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75" yWindow="75" windowWidth="15600" windowHeight="12075"/>
  </bookViews>
  <sheets>
    <sheet name="Regulated DF Calc" sheetId="2" r:id="rId1"/>
    <sheet name="Non-Regulated" sheetId="5" r:id="rId2"/>
    <sheet name="Proposed Rates" sheetId="3" r:id="rId3"/>
    <sheet name="Disposal" sheetId="4" r:id="rId4"/>
    <sheet name="References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3" hidden="1">#REF!</definedName>
    <definedName name="_132Graph_h" localSheetId="2" hidden="1">#REF!</definedName>
    <definedName name="_132Graph_h" hidden="1">#REF!</definedName>
    <definedName name="_ACT1" localSheetId="3">[4]Hidden!#REF!</definedName>
    <definedName name="_ACT1" localSheetId="1">[5]Hidden!#REF!</definedName>
    <definedName name="_ACT1" localSheetId="2">[6]Hidden!#REF!</definedName>
    <definedName name="_ACT1">[5]Hidden!#REF!</definedName>
    <definedName name="_ACT2" localSheetId="3">[4]Hidden!#REF!</definedName>
    <definedName name="_ACT2" localSheetId="1">[5]Hidden!#REF!</definedName>
    <definedName name="_ACT2" localSheetId="2">[6]Hidden!#REF!</definedName>
    <definedName name="_ACT2">[5]Hidden!#REF!</definedName>
    <definedName name="_ACT3" localSheetId="3">[4]Hidden!#REF!</definedName>
    <definedName name="_ACT3" localSheetId="1">[5]Hidden!#REF!</definedName>
    <definedName name="_ACT3" localSheetId="2">[6]Hidden!#REF!</definedName>
    <definedName name="_ACT3">[5]Hidden!#REF!</definedName>
    <definedName name="_COS1" localSheetId="3">#REF!</definedName>
    <definedName name="_COS1" localSheetId="2">#REF!</definedName>
    <definedName name="_COS1">#REF!</definedName>
    <definedName name="_COS2" localSheetId="2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1" hidden="1">'Non-Regulated'!$A$71:$AA$71</definedName>
    <definedName name="_Key1" localSheetId="3" hidden="1">#REF!</definedName>
    <definedName name="_Key1" localSheetId="2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3" hidden="1">#REF!</definedName>
    <definedName name="_max" localSheetId="2" hidden="1">#REF!</definedName>
    <definedName name="_max" hidden="1">#REF!</definedName>
    <definedName name="_Mon" localSheetId="2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3" hidden="1">#REF!</definedName>
    <definedName name="_Sort" localSheetId="2" hidden="1">#REF!</definedName>
    <definedName name="_Sort" hidden="1">#REF!</definedName>
    <definedName name="_Sort1" hidden="1">'[2]#REF'!$A$10:$Z$281</definedName>
    <definedName name="_sort3" hidden="1">[3]XXXXXX!$G$10:$J$11</definedName>
    <definedName name="Accounts" localSheetId="3">#REF!</definedName>
    <definedName name="Accounts">#REF!</definedName>
    <definedName name="ACCT" localSheetId="3">[1]Hidden!$D$11</definedName>
    <definedName name="ACCT" localSheetId="1">[5]Hidden!#REF!</definedName>
    <definedName name="ACCT" localSheetId="2">[6]Hidden!#REF!</definedName>
    <definedName name="ACCT">[5]Hidden!#REF!</definedName>
    <definedName name="ACCT.ConsolSum">[1]Hidden!$Q$11</definedName>
    <definedName name="ACT_CUR" localSheetId="3">[4]Hidden!#REF!</definedName>
    <definedName name="ACT_CUR" localSheetId="1">[5]Hidden!#REF!</definedName>
    <definedName name="ACT_CUR" localSheetId="2">[6]Hidden!#REF!</definedName>
    <definedName name="ACT_CUR">[5]Hidden!#REF!</definedName>
    <definedName name="ACT_YTD" localSheetId="3">[4]Hidden!#REF!</definedName>
    <definedName name="ACT_YTD" localSheetId="1">[5]Hidden!#REF!</definedName>
    <definedName name="ACT_YTD" localSheetId="2">[6]Hidden!#REF!</definedName>
    <definedName name="ACT_YTD">[5]Hidden!#REF!</definedName>
    <definedName name="AmountCount" localSheetId="3">#REF!</definedName>
    <definedName name="AmountCount" localSheetId="1">#REF!</definedName>
    <definedName name="AmountCount" localSheetId="2">#REF!</definedName>
    <definedName name="AmountCount">#REF!</definedName>
    <definedName name="AmountCount1" localSheetId="3">#REF!</definedName>
    <definedName name="AmountCount1">#REF!</definedName>
    <definedName name="AmountFrom" localSheetId="3">#REF!</definedName>
    <definedName name="AmountFrom">#REF!</definedName>
    <definedName name="AmountTo" localSheetId="3">#REF!</definedName>
    <definedName name="AmountTo">#REF!</definedName>
    <definedName name="AmountTotal" localSheetId="1">#REF!</definedName>
    <definedName name="AmountTotal" localSheetId="2">#REF!</definedName>
    <definedName name="AmountTotal">#REF!</definedName>
    <definedName name="AmountTotal1">#REF!</definedName>
    <definedName name="BookRev" localSheetId="3">'[7]Pacific Regulated - Price Out'!$F$50</definedName>
    <definedName name="BookRev" localSheetId="2">'[8]Pacific Regulated - Price Out'!$F$50</definedName>
    <definedName name="BookRev">'[9]Pacific Regulated - Price Out'!$F$50</definedName>
    <definedName name="BookRev_com" localSheetId="3">'[7]Pacific Regulated - Price Out'!$F$214</definedName>
    <definedName name="BookRev_com" localSheetId="2">'[8]Pacific Regulated - Price Out'!$F$214</definedName>
    <definedName name="BookRev_com">'[9]Pacific Regulated - Price Out'!$F$214</definedName>
    <definedName name="BookRev_mfr" localSheetId="3">'[7]Pacific Regulated - Price Out'!$F$222</definedName>
    <definedName name="BookRev_mfr" localSheetId="2">'[8]Pacific Regulated - Price Out'!$F$222</definedName>
    <definedName name="BookRev_mfr">'[9]Pacific Regulated - Price Out'!$F$222</definedName>
    <definedName name="BookRev_ro" localSheetId="3">'[7]Pacific Regulated - Price Out'!$F$282</definedName>
    <definedName name="BookRev_ro" localSheetId="2">'[8]Pacific Regulated - Price Out'!$F$282</definedName>
    <definedName name="BookRev_ro">'[9]Pacific Regulated - Price Out'!$F$282</definedName>
    <definedName name="BookRev_rr" localSheetId="3">'[7]Pacific Regulated - Price Out'!$F$59</definedName>
    <definedName name="BookRev_rr" localSheetId="2">'[8]Pacific Regulated - Price Out'!$F$59</definedName>
    <definedName name="BookRev_rr">'[9]Pacific Regulated - Price Out'!$F$59</definedName>
    <definedName name="BookRev_yw" localSheetId="3">'[7]Pacific Regulated - Price Out'!$F$70</definedName>
    <definedName name="BookRev_yw" localSheetId="2">'[8]Pacific Regulated - Price Out'!$F$70</definedName>
    <definedName name="BookRev_yw">'[9]Pacific Regulated - Price Out'!$F$70</definedName>
    <definedName name="BREMAIR_COST_of_SERVICE_STUDY" localSheetId="3">#REF!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BUD_CUR" localSheetId="3">[4]Hidden!#REF!</definedName>
    <definedName name="BUD_CUR" localSheetId="1">[5]Hidden!#REF!</definedName>
    <definedName name="BUD_CUR" localSheetId="2">[6]Hidden!#REF!</definedName>
    <definedName name="BUD_CUR">[5]Hidden!#REF!</definedName>
    <definedName name="BUD_YTD" localSheetId="3">[4]Hidden!#REF!</definedName>
    <definedName name="BUD_YTD" localSheetId="1">[5]Hidden!#REF!</definedName>
    <definedName name="BUD_YTD" localSheetId="2">[6]Hidden!#REF!</definedName>
    <definedName name="BUD_YTD">[5]Hidden!#REF!</definedName>
    <definedName name="CalRecyTons" localSheetId="3">'[10]Recycl Tons, Commodity Value'!$L$23</definedName>
    <definedName name="CalRecyTons" localSheetId="2">'[11]Recycl Tons, Commodity Value'!$L$23</definedName>
    <definedName name="CalRecyTons">'[12]Recycl Tons, Commodity Value'!$L$23</definedName>
    <definedName name="CheckTotals" localSheetId="3">#REF!</definedName>
    <definedName name="CheckTotals" localSheetId="1">#REF!</definedName>
    <definedName name="CheckTotals" localSheetId="2">#REF!</definedName>
    <definedName name="CheckTotals">#REF!</definedName>
    <definedName name="colgroup">[1]Orientation!$G$6</definedName>
    <definedName name="colsegment">[1]Orientation!$F$6</definedName>
    <definedName name="CommlStaffPriceOut" localSheetId="3">'[13]Price Out-Reg EASTSIDE-Resi'!#REF!</definedName>
    <definedName name="CommlStaffPriceOut" localSheetId="2">'[13]Price Out-Reg EASTSIDE-Resi'!#REF!</definedName>
    <definedName name="CommlStaffPriceOut">'[13]Price Out-Reg EASTSIDE-Resi'!#REF!</definedName>
    <definedName name="CRCTable" localSheetId="3">#REF!</definedName>
    <definedName name="CRCTable" localSheetId="1">#REF!</definedName>
    <definedName name="CRCTable" localSheetId="2">#REF!</definedName>
    <definedName name="CRCTable">#REF!</definedName>
    <definedName name="CRCTableOLD" localSheetId="1">#REF!</definedName>
    <definedName name="CRCTableOLD" localSheetId="2">#REF!</definedName>
    <definedName name="CRCTableOLD">#REF!</definedName>
    <definedName name="CriteriaType">[14]ControlPanel!$Z$2:$Z$5</definedName>
    <definedName name="CurrentMonth" localSheetId="3">'[15]JE Query'!$J$8</definedName>
    <definedName name="CurrentMonth">'[16]38000 Other Rev'!$H$8</definedName>
    <definedName name="Cutomers" localSheetId="3">#REF!</definedName>
    <definedName name="Cutomers" localSheetId="1">#REF!</definedName>
    <definedName name="Cutomers" localSheetId="2">#REF!</definedName>
    <definedName name="Cutomers">#REF!</definedName>
    <definedName name="_xlnm.Database" localSheetId="3">#REF!</definedName>
    <definedName name="_xlnm.Database" localSheetId="1">#REF!</definedName>
    <definedName name="_xlnm.Database" localSheetId="2">#REF!</definedName>
    <definedName name="_xlnm.Database">#REF!</definedName>
    <definedName name="Database1" localSheetId="1">#REF!</definedName>
    <definedName name="Database1" localSheetId="2">#REF!</definedName>
    <definedName name="Database1">#REF!</definedName>
    <definedName name="DateFrom" localSheetId="3">'[15]JE Query'!$I$12</definedName>
    <definedName name="DateFrom">'[16]38000 Other Rev'!$G$12</definedName>
    <definedName name="DateTo" localSheetId="3">'[15]JE Query'!$I$13</definedName>
    <definedName name="DateTo">'[16]38000 Other Rev'!$G$13</definedName>
    <definedName name="DBxStaffPriceOut" localSheetId="3">'[13]Price Out-Reg EASTSIDE-Resi'!#REF!</definedName>
    <definedName name="DBxStaffPriceOut" localSheetId="2">'[13]Price Out-Reg EASTSIDE-Resi'!#REF!</definedName>
    <definedName name="DBxStaffPriceOut">'[13]Price Out-Reg EASTSIDE-Resi'!#REF!</definedName>
    <definedName name="DEPT" localSheetId="3">[4]Hidden!#REF!</definedName>
    <definedName name="DEPT" localSheetId="1">[5]Hidden!#REF!</definedName>
    <definedName name="DEPT" localSheetId="2">[6]Hidden!#REF!</definedName>
    <definedName name="DEPT">[5]Hidden!#REF!</definedName>
    <definedName name="Dist" localSheetId="2">[17]Data!$E$3</definedName>
    <definedName name="Dist">[18]Data!$E$3</definedName>
    <definedName name="District" localSheetId="3">'[19]Yakima BS'!#REF!</definedName>
    <definedName name="District" localSheetId="1">'[20]Vashon BS'!#REF!</definedName>
    <definedName name="District" localSheetId="2">'[21]Vashon BS'!#REF!</definedName>
    <definedName name="District">'[20]Vashon BS'!#REF!</definedName>
    <definedName name="DistrictNum" localSheetId="3">#REF!</definedName>
    <definedName name="DistrictNum" localSheetId="1">#REF!</definedName>
    <definedName name="DistrictNum" localSheetId="2">#REF!</definedName>
    <definedName name="DistrictNum">#REF!</definedName>
    <definedName name="Districts" localSheetId="3">#REF!</definedName>
    <definedName name="Districts">#REF!</definedName>
    <definedName name="dOG" localSheetId="2">#REF!</definedName>
    <definedName name="dOG">#REF!</definedName>
    <definedName name="drlFilter">[1]Settings!$D$27</definedName>
    <definedName name="End" localSheetId="3">#REF!</definedName>
    <definedName name="End" localSheetId="1">#REF!</definedName>
    <definedName name="End" localSheetId="2">#REF!</definedName>
    <definedName name="End">#REF!</definedName>
    <definedName name="EntrieShownLimit" localSheetId="3">'[15]JE Query'!$D$6</definedName>
    <definedName name="EntrieShownLimit">'[16]38000 Other Rev'!$D$6</definedName>
    <definedName name="ExcludeIC" localSheetId="3">'[19]Yakima BS'!#REF!</definedName>
    <definedName name="ExcludeIC" localSheetId="1">'[20]Vashon BS'!#REF!</definedName>
    <definedName name="ExcludeIC" localSheetId="2">'[22]2009 BS'!#REF!</definedName>
    <definedName name="ExcludeIC">'[20]Vashon BS'!#REF!</definedName>
    <definedName name="EXT" localSheetId="3">#REF!</definedName>
    <definedName name="EXT" localSheetId="2">#REF!</definedName>
    <definedName name="EXT">#REF!</definedName>
    <definedName name="FBTable" localSheetId="1">#REF!</definedName>
    <definedName name="FBTable" localSheetId="2">#REF!</definedName>
    <definedName name="FBTable">#REF!</definedName>
    <definedName name="FBTableOld" localSheetId="1">#REF!</definedName>
    <definedName name="FBTableOld" localSheetId="2">#REF!</definedName>
    <definedName name="FBTableOld">#REF!</definedName>
    <definedName name="filter">[1]Settings!$B$14:$H$25</definedName>
    <definedName name="FromMonth" localSheetId="3">#REF!</definedName>
    <definedName name="FromMonth">#REF!</definedName>
    <definedName name="FundsApprPend" localSheetId="3">[18]Data!#REF!</definedName>
    <definedName name="FundsApprPend" localSheetId="2">[17]Data!#REF!</definedName>
    <definedName name="FundsApprPend">[18]Data!#REF!</definedName>
    <definedName name="FundsBudUnbud" localSheetId="2">[17]Data!#REF!</definedName>
    <definedName name="FundsBudUnbud">[18]Data!#REF!</definedName>
    <definedName name="GLMappingStart" localSheetId="3">#REF!</definedName>
    <definedName name="GLMappingStart" localSheetId="1">#REF!</definedName>
    <definedName name="GLMappingStart" localSheetId="2">#REF!</definedName>
    <definedName name="GLMappingStart">#REF!</definedName>
    <definedName name="GLMappingStart1" localSheetId="3">#REF!</definedName>
    <definedName name="GLMappingStart1">#REF!</definedName>
    <definedName name="Import_Range" localSheetId="3">[18]Data!#REF!</definedName>
    <definedName name="Import_Range" localSheetId="2">[17]Data!#REF!</definedName>
    <definedName name="Import_Range">[18]Data!#REF!</definedName>
    <definedName name="IncomeStmnt" localSheetId="3">#REF!</definedName>
    <definedName name="IncomeStmnt" localSheetId="1">#REF!</definedName>
    <definedName name="IncomeStmnt" localSheetId="2">#REF!</definedName>
    <definedName name="IncomeStmnt">#REF!</definedName>
    <definedName name="INPUT" localSheetId="1">#REF!</definedName>
    <definedName name="INPUT" localSheetId="2">#REF!</definedName>
    <definedName name="INPUT">#REF!</definedName>
    <definedName name="Insurance" localSheetId="2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3">[18]Invoice_Drill!#REF!</definedName>
    <definedName name="Invoice_Start" localSheetId="2">[17]Invoice_Drill!#REF!</definedName>
    <definedName name="Invoice_Start">[18]Invoice_Drill!#REF!</definedName>
    <definedName name="JEDetail" localSheetId="3">#REF!</definedName>
    <definedName name="JEDetail" localSheetId="1">#REF!</definedName>
    <definedName name="JEDetail" localSheetId="2">#REF!</definedName>
    <definedName name="JEDetail">#REF!</definedName>
    <definedName name="JEDetail1" localSheetId="3">#REF!</definedName>
    <definedName name="JEDetail1">#REF!</definedName>
    <definedName name="JEType" localSheetId="2">#REF!</definedName>
    <definedName name="JEType">#REF!</definedName>
    <definedName name="JEType1">#REF!</definedName>
    <definedName name="lblBillAreaStatus" localSheetId="2">#REF!</definedName>
    <definedName name="lblBillAreaStatus">#REF!</definedName>
    <definedName name="lblBillCycleStatus" localSheetId="2">#REF!</definedName>
    <definedName name="lblBillCycleStatus">#REF!</definedName>
    <definedName name="lblCategoryStatus" localSheetId="2">#REF!</definedName>
    <definedName name="lblCategoryStatus">#REF!</definedName>
    <definedName name="lblCompanyStatus" localSheetId="2">#REF!</definedName>
    <definedName name="lblCompanyStatus">#REF!</definedName>
    <definedName name="lblDatabaseStatus" localSheetId="2">#REF!</definedName>
    <definedName name="lblDatabaseStatus">#REF!</definedName>
    <definedName name="lblPullStatus" localSheetId="2">#REF!</definedName>
    <definedName name="lblPullStatus">#REF!</definedName>
    <definedName name="lllllllllllllllllllll" localSheetId="2">#REF!</definedName>
    <definedName name="lllllllllllllllllllll">#REF!</definedName>
    <definedName name="MainDataEnd" localSheetId="2">#REF!</definedName>
    <definedName name="MainDataEnd">#REF!</definedName>
    <definedName name="MainDataStart" localSheetId="2">#REF!</definedName>
    <definedName name="MainDataStart">#REF!</definedName>
    <definedName name="MapKeyStart" localSheetId="2">#REF!</definedName>
    <definedName name="MapKeyStart">#REF!</definedName>
    <definedName name="master_def" localSheetId="3">#REF!</definedName>
    <definedName name="master_def" localSheetId="2">#REF!</definedName>
    <definedName name="master_def">#REF!</definedName>
    <definedName name="MATRIX" localSheetId="2">#REF!</definedName>
    <definedName name="MATRIX">#REF!</definedName>
    <definedName name="MemoAttachment" localSheetId="2">#REF!</definedName>
    <definedName name="MemoAttachment">#REF!</definedName>
    <definedName name="MetaSet">[1]Orientation!$C$22</definedName>
    <definedName name="MFStaffPriceOut" localSheetId="3">'[13]Price Out-Reg EASTSIDE-Resi'!#REF!</definedName>
    <definedName name="MFStaffPriceOut" localSheetId="2">'[13]Price Out-Reg EASTSIDE-Resi'!#REF!</definedName>
    <definedName name="MFStaffPriceOut">'[13]Price Out-Reg EASTSIDE-Resi'!#REF!</definedName>
    <definedName name="MonthList" localSheetId="2">'[17]Lookup Tables'!$A$1:$A$13</definedName>
    <definedName name="MonthList">'[18]Lookup Tables'!$A$1:$A$13</definedName>
    <definedName name="NewOnlyOrg">#N/A</definedName>
    <definedName name="nn" localSheetId="3">#REF!</definedName>
    <definedName name="nn" localSheetId="2">#REF!</definedName>
    <definedName name="nn">#REF!</definedName>
    <definedName name="NOTES" localSheetId="1">#REF!</definedName>
    <definedName name="NOTES" localSheetId="2">#REF!</definedName>
    <definedName name="NOTES">#REF!</definedName>
    <definedName name="NR" localSheetId="1">#REF!</definedName>
    <definedName name="NR" localSheetId="2">#REF!</definedName>
    <definedName name="NR">#REF!</definedName>
    <definedName name="OfficerSalary">#N/A</definedName>
    <definedName name="OffsetAcctBil">[23]JEexport!$L$10</definedName>
    <definedName name="OffsetAcctPmt">[23]JEexport!$L$9</definedName>
    <definedName name="Org11_13">#N/A</definedName>
    <definedName name="Org7_10">#N/A</definedName>
    <definedName name="p" localSheetId="3">#REF!</definedName>
    <definedName name="p" localSheetId="1">#REF!</definedName>
    <definedName name="p" localSheetId="2">#REF!</definedName>
    <definedName name="p">#REF!</definedName>
    <definedName name="PAGE_1" localSheetId="1">#REF!</definedName>
    <definedName name="PAGE_1" localSheetId="2">#REF!</definedName>
    <definedName name="PAGE_1">#REF!</definedName>
    <definedName name="Page16" localSheetId="2">#REF!</definedName>
    <definedName name="Page16">#REF!</definedName>
    <definedName name="Page17" localSheetId="2">#REF!</definedName>
    <definedName name="Page17">#REF!</definedName>
    <definedName name="Page18" localSheetId="2">#REF!</definedName>
    <definedName name="Page18">#REF!</definedName>
    <definedName name="Page7a" localSheetId="2">#REF!</definedName>
    <definedName name="Page7a">#REF!</definedName>
    <definedName name="pBatchID" localSheetId="1">#REF!</definedName>
    <definedName name="pBatchID" localSheetId="2">#REF!</definedName>
    <definedName name="pBatchID">#REF!</definedName>
    <definedName name="pBillArea" localSheetId="2">#REF!</definedName>
    <definedName name="pBillArea">#REF!</definedName>
    <definedName name="pBillCycle" localSheetId="2">#REF!</definedName>
    <definedName name="pBillCycle">#REF!</definedName>
    <definedName name="pCategory" localSheetId="2">#REF!</definedName>
    <definedName name="pCategory">#REF!</definedName>
    <definedName name="pCompany" localSheetId="2">#REF!</definedName>
    <definedName name="pCompany">#REF!</definedName>
    <definedName name="pCustomerNumber" localSheetId="2">#REF!</definedName>
    <definedName name="pCustomerNumber">#REF!</definedName>
    <definedName name="pDatabase" localSheetId="2">#REF!</definedName>
    <definedName name="pDatabase">#REF!</definedName>
    <definedName name="pEndPostDate" localSheetId="2">#REF!</definedName>
    <definedName name="pEndPostDate">#REF!</definedName>
    <definedName name="Period" localSheetId="2">#REF!</definedName>
    <definedName name="Period">#REF!</definedName>
    <definedName name="pMonth" localSheetId="2">#REF!</definedName>
    <definedName name="pMonth">#REF!</definedName>
    <definedName name="pOnlyShowLastTranx" localSheetId="2">#REF!</definedName>
    <definedName name="pOnlyShowLastTranx">#REF!</definedName>
    <definedName name="Posting" localSheetId="3">#REF!</definedName>
    <definedName name="Posting">#REF!</definedName>
    <definedName name="primtbl">[1]Orientation!$C$23</definedName>
    <definedName name="_xlnm.Print_Area" localSheetId="3">Disposal!$A$1:$E$41</definedName>
    <definedName name="_xlnm.Print_Area" localSheetId="1">'Non-Regulated'!$A$1:$AA$209</definedName>
    <definedName name="_xlnm.Print_Area" localSheetId="2">'Proposed Rates'!$A$1:$F$135</definedName>
    <definedName name="_xlnm.Print_Area" localSheetId="4">References!$A$1:$I$79</definedName>
    <definedName name="_xlnm.Print_Area" localSheetId="0">'Regulated DF Calc'!$A$1:$V$104,'Regulated DF Calc'!$A$105:$M$127</definedName>
    <definedName name="_xlnm.Print_Area">#REF!</definedName>
    <definedName name="Print_Area_MI" localSheetId="3">#REF!</definedName>
    <definedName name="Print_Area_MI" localSheetId="1">#REF!</definedName>
    <definedName name="Print_Area_MI" localSheetId="2">#REF!</definedName>
    <definedName name="Print_Area_MI">#REF!</definedName>
    <definedName name="Print_Area1" localSheetId="1">#REF!</definedName>
    <definedName name="Print_Area1" localSheetId="2">#REF!</definedName>
    <definedName name="Print_Area1">#REF!</definedName>
    <definedName name="Print_Area2" localSheetId="2">#REF!</definedName>
    <definedName name="Print_Area2">#REF!</definedName>
    <definedName name="Print_Area3" localSheetId="2">#REF!</definedName>
    <definedName name="Print_Area3">#REF!</definedName>
    <definedName name="Print_Area5" localSheetId="2">#REF!</definedName>
    <definedName name="Print_Area5">#REF!</definedName>
    <definedName name="_xlnm.Print_Titles" localSheetId="1">'Non-Regulated'!$A:$B,'Non-Regulated'!$5:$8</definedName>
    <definedName name="_xlnm.Print_Titles" localSheetId="2">'Proposed Rates'!$5:$7</definedName>
    <definedName name="_xlnm.Print_Titles" localSheetId="0">'Regulated DF Calc'!$A:$B,'Regulated DF Calc'!$5:$6</definedName>
    <definedName name="Print1" localSheetId="3">#REF!</definedName>
    <definedName name="Print1" localSheetId="1">#REF!</definedName>
    <definedName name="Print1" localSheetId="2">#REF!</definedName>
    <definedName name="Print1">#REF!</definedName>
    <definedName name="Print2" localSheetId="2">#REF!</definedName>
    <definedName name="Print2">#REF!</definedName>
    <definedName name="Print5" localSheetId="2">#REF!</definedName>
    <definedName name="Print5">#REF!</definedName>
    <definedName name="ProRev" localSheetId="3">'[7]Pacific Regulated - Price Out'!$M$49</definedName>
    <definedName name="ProRev" localSheetId="2">'[8]Pacific Regulated - Price Out'!$M$49</definedName>
    <definedName name="ProRev">'[9]Pacific Regulated - Price Out'!$M$49</definedName>
    <definedName name="ProRev_com" localSheetId="3">'[7]Pacific Regulated - Price Out'!$M$213</definedName>
    <definedName name="ProRev_com" localSheetId="2">'[8]Pacific Regulated - Price Out'!$M$213</definedName>
    <definedName name="ProRev_com">'[9]Pacific Regulated - Price Out'!$M$213</definedName>
    <definedName name="ProRev_mfr" localSheetId="3">'[7]Pacific Regulated - Price Out'!$M$221</definedName>
    <definedName name="ProRev_mfr" localSheetId="2">'[8]Pacific Regulated - Price Out'!$M$221</definedName>
    <definedName name="ProRev_mfr">'[9]Pacific Regulated - Price Out'!$M$221</definedName>
    <definedName name="ProRev_ro" localSheetId="3">'[7]Pacific Regulated - Price Out'!$M$281</definedName>
    <definedName name="ProRev_ro" localSheetId="2">'[8]Pacific Regulated - Price Out'!$M$281</definedName>
    <definedName name="ProRev_ro">'[9]Pacific Regulated - Price Out'!$M$281</definedName>
    <definedName name="ProRev_rr" localSheetId="3">'[7]Pacific Regulated - Price Out'!$M$58</definedName>
    <definedName name="ProRev_rr" localSheetId="2">'[8]Pacific Regulated - Price Out'!$M$58</definedName>
    <definedName name="ProRev_rr">'[9]Pacific Regulated - Price Out'!$M$58</definedName>
    <definedName name="ProRev_yw" localSheetId="3">'[7]Pacific Regulated - Price Out'!$M$69</definedName>
    <definedName name="ProRev_yw" localSheetId="2">'[8]Pacific Regulated - Price Out'!$M$69</definedName>
    <definedName name="ProRev_yw">'[9]Pacific Regulated - Price Out'!$M$69</definedName>
    <definedName name="pServer" localSheetId="3">#REF!</definedName>
    <definedName name="pServer" localSheetId="1">#REF!</definedName>
    <definedName name="pServer" localSheetId="2">#REF!</definedName>
    <definedName name="pServer">#REF!</definedName>
    <definedName name="pServiceCode" localSheetId="1">#REF!</definedName>
    <definedName name="pServiceCode" localSheetId="2">#REF!</definedName>
    <definedName name="pServiceCode">#REF!</definedName>
    <definedName name="pShowAllUnposted" localSheetId="1">#REF!</definedName>
    <definedName name="pShowAllUnposted" localSheetId="2">#REF!</definedName>
    <definedName name="pShowAllUnposted">#REF!</definedName>
    <definedName name="pShowCustomerDetail" localSheetId="2">#REF!</definedName>
    <definedName name="pShowCustomerDetail">#REF!</definedName>
    <definedName name="pSortOption" localSheetId="2">#REF!</definedName>
    <definedName name="pSortOption">#REF!</definedName>
    <definedName name="pStartPostDate" localSheetId="2">#REF!</definedName>
    <definedName name="pStartPostDate">#REF!</definedName>
    <definedName name="pTransType" localSheetId="2">#REF!</definedName>
    <definedName name="pTransType">#REF!</definedName>
    <definedName name="RCW_81.04.080">#N/A</definedName>
    <definedName name="RecyDisposal">#N/A</definedName>
    <definedName name="Reg_Cust_Billed_Percent" localSheetId="2">'[24]Consolidated IS 2009 2010'!$AK$20</definedName>
    <definedName name="Reg_Cust_Billed_Percent">'[25]Consolidated IS 2009 2010'!$AK$20</definedName>
    <definedName name="Reg_Cust_Percent" localSheetId="2">'[24]Consolidated IS 2009 2010'!$AC$20</definedName>
    <definedName name="Reg_Cust_Percent">'[25]Consolidated IS 2009 2010'!$AC$20</definedName>
    <definedName name="Reg_Drive_Percent" localSheetId="2">'[24]Consolidated IS 2009 2010'!$AC$40</definedName>
    <definedName name="Reg_Drive_Percent">'[25]Consolidated IS 2009 2010'!$AC$40</definedName>
    <definedName name="Reg_Haul_Rev_Percent" localSheetId="2">'[24]Consolidated IS 2009 2010'!$Z$18</definedName>
    <definedName name="Reg_Haul_Rev_Percent">'[25]Consolidated IS 2009 2010'!$Z$18</definedName>
    <definedName name="Reg_Lab_Percent" localSheetId="2">'[24]Consolidated IS 2009 2010'!$AC$39</definedName>
    <definedName name="Reg_Lab_Percent">'[25]Consolidated IS 2009 2010'!$AC$39</definedName>
    <definedName name="Reg_Steel_Cont_Percent" localSheetId="2">'[24]Consolidated IS 2009 2010'!$AE$120</definedName>
    <definedName name="Reg_Steel_Cont_Percent">'[25]Consolidated IS 2009 2010'!$AE$120</definedName>
    <definedName name="RegulatedIS" localSheetId="2">'[24]2009 IS'!$A$12:$Q$655</definedName>
    <definedName name="RegulatedIS">'[25]2009 IS'!$A$12:$Q$655</definedName>
    <definedName name="RelatedSalary">#N/A</definedName>
    <definedName name="report_type">[1]Orientation!$C$24</definedName>
    <definedName name="ReportNames">[26]ControlPanel!$S$2:$S$16</definedName>
    <definedName name="ReportVersion">[1]Settings!$D$5</definedName>
    <definedName name="ReslStaffPriceOut" localSheetId="3">'[13]Price Out-Reg EASTSIDE-Resi'!#REF!</definedName>
    <definedName name="ReslStaffPriceOut" localSheetId="2">'[13]Price Out-Reg EASTSIDE-Resi'!#REF!</definedName>
    <definedName name="ReslStaffPriceOut">'[13]Price Out-Reg EASTSIDE-Resi'!#REF!</definedName>
    <definedName name="RetainedEarnings" localSheetId="3">#REF!</definedName>
    <definedName name="RetainedEarnings" localSheetId="1">#REF!</definedName>
    <definedName name="RetainedEarnings" localSheetId="2">#REF!</definedName>
    <definedName name="RetainedEarnings">#REF!</definedName>
    <definedName name="RevCust" localSheetId="3">[27]RevenuesCust!#REF!</definedName>
    <definedName name="RevCust" localSheetId="1">[28]RevenuesCust!#REF!</definedName>
    <definedName name="RevCust" localSheetId="2">[29]RevenuesCust!#REF!</definedName>
    <definedName name="RevCust">[28]RevenuesCust!#REF!</definedName>
    <definedName name="RevCustomer" localSheetId="3">#REF!</definedName>
    <definedName name="RevCustomer" localSheetId="1">#REF!</definedName>
    <definedName name="RevCustomer" localSheetId="2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1">#REF!</definedName>
    <definedName name="sortcol" localSheetId="2">#REF!</definedName>
    <definedName name="sortcol">#REF!</definedName>
    <definedName name="sSRCDate" localSheetId="3">'[30]Feb''12 FAR Data'!#REF!</definedName>
    <definedName name="sSRCDate" localSheetId="1">'[31]Feb''12 FAR Data'!#REF!</definedName>
    <definedName name="sSRCDate" localSheetId="2">'[32]Feb''12 FAR Data'!#REF!</definedName>
    <definedName name="sSRCDate">'[31]Feb''12 FAR Data'!#REF!</definedName>
    <definedName name="SubSystems" localSheetId="3">#REF!</definedName>
    <definedName name="SubSystems">#REF!</definedName>
    <definedName name="Supplemental_filter">[1]Settings!$C$31</definedName>
    <definedName name="SWDisposal">#N/A</definedName>
    <definedName name="System" localSheetId="3">'[19]Yakima BS'!#REF!</definedName>
    <definedName name="System" localSheetId="2">[33]BS_Close!$V$8</definedName>
    <definedName name="System">[33]BS_Close!$V$8</definedName>
    <definedName name="Systems" localSheetId="3">#REF!</definedName>
    <definedName name="Systems">#REF!</definedName>
    <definedName name="TemplateEnd" localSheetId="3">#REF!</definedName>
    <definedName name="TemplateEnd" localSheetId="1">#REF!</definedName>
    <definedName name="TemplateEnd" localSheetId="2">#REF!</definedName>
    <definedName name="TemplateEnd">#REF!</definedName>
    <definedName name="TemplateStart" localSheetId="1">#REF!</definedName>
    <definedName name="TemplateStart" localSheetId="2">#REF!</definedName>
    <definedName name="TemplateStart">#REF!</definedName>
    <definedName name="TheTable" localSheetId="1">#REF!</definedName>
    <definedName name="TheTable" localSheetId="2">#REF!</definedName>
    <definedName name="TheTable">#REF!</definedName>
    <definedName name="TheTableOLD" localSheetId="2">#REF!</definedName>
    <definedName name="TheTableOLD">#REF!</definedName>
    <definedName name="timeseries">[1]Orientation!$B$6:$C$13</definedName>
    <definedName name="ToMonth" localSheetId="3">#REF!</definedName>
    <definedName name="ToMonth">#REF!</definedName>
    <definedName name="Tons" localSheetId="3">#REF!</definedName>
    <definedName name="Tons" localSheetId="2">#REF!</definedName>
    <definedName name="Tons">#REF!</definedName>
    <definedName name="Total_Comm" localSheetId="3">'[10]Tariff Rate Sheet'!$L$214</definedName>
    <definedName name="Total_Comm" localSheetId="2">'[11]Tariff Rate Sheet'!$L$214</definedName>
    <definedName name="Total_Comm">'[12]Tariff Rate Sheet'!$L$214</definedName>
    <definedName name="Total_DB" localSheetId="3">'[10]Tariff Rate Sheet'!$L$278</definedName>
    <definedName name="Total_DB" localSheetId="2">'[11]Tariff Rate Sheet'!$L$278</definedName>
    <definedName name="Total_DB">'[12]Tariff Rate Sheet'!$L$278</definedName>
    <definedName name="Total_Resi" localSheetId="3">'[10]Tariff Rate Sheet'!$L$107</definedName>
    <definedName name="Total_Resi" localSheetId="2">'[11]Tariff Rate Sheet'!$L$107</definedName>
    <definedName name="Total_Resi">'[12]Tariff Rate Sheet'!$L$107</definedName>
    <definedName name="Transactions" localSheetId="3">#REF!</definedName>
    <definedName name="Transactions" localSheetId="1">#REF!</definedName>
    <definedName name="Transactions" localSheetId="2">#REF!</definedName>
    <definedName name="Transactions">#REF!</definedName>
    <definedName name="UnregulatedIS" localSheetId="2">'[24]2010 IS'!$A$12:$Q$654</definedName>
    <definedName name="UnregulatedIS">'[25]2010 IS'!$A$12:$Q$654</definedName>
    <definedName name="VendorCode" localSheetId="3">#REF!</definedName>
    <definedName name="VendorCode">#REF!</definedName>
    <definedName name="Version" localSheetId="3">[18]Data!#REF!</definedName>
    <definedName name="Version" localSheetId="2">[17]Data!#REF!</definedName>
    <definedName name="Version">[18]Data!#REF!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localSheetId="2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3" hidden="1">{"Page1",#N/A,TRUE,"SUMM";"Page2",#N/A,TRUE,"Rev";"Page3",#N/A,TRUE,"Dir_Costs"}</definedName>
    <definedName name="wrn.test." localSheetId="2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3">#REF!</definedName>
    <definedName name="WTable" localSheetId="1">#REF!</definedName>
    <definedName name="WTable" localSheetId="2">#REF!</definedName>
    <definedName name="WTable">#REF!</definedName>
    <definedName name="WTableOld" localSheetId="1">#REF!</definedName>
    <definedName name="WTableOld" localSheetId="2">#REF!</definedName>
    <definedName name="WTableOld">#REF!</definedName>
    <definedName name="ww" localSheetId="2">#REF!</definedName>
    <definedName name="ww">#REF!</definedName>
    <definedName name="xperiod">[1]Orientation!$G$15</definedName>
    <definedName name="xtabin" localSheetId="3">[4]Hidden!#REF!</definedName>
    <definedName name="xtabin" localSheetId="1">[5]Hidden!#REF!</definedName>
    <definedName name="xtabin" localSheetId="2">[6]Hidden!#REF!</definedName>
    <definedName name="xtabin">[5]Hidden!#REF!</definedName>
    <definedName name="xx" localSheetId="3">#REF!</definedName>
    <definedName name="xx" localSheetId="1">#REF!</definedName>
    <definedName name="xx" localSheetId="2">#REF!</definedName>
    <definedName name="xx">#REF!</definedName>
    <definedName name="xxx" localSheetId="1">#REF!</definedName>
    <definedName name="xxx" localSheetId="2">#REF!</definedName>
    <definedName name="xxx">#REF!</definedName>
    <definedName name="xxxx" localSheetId="1">#REF!</definedName>
    <definedName name="xxxx" localSheetId="2">#REF!</definedName>
    <definedName name="xxxx">#REF!</definedName>
    <definedName name="YearMonth" localSheetId="3">'[19]Yakima BS'!#REF!</definedName>
    <definedName name="YearMonth" localSheetId="1">'[20]Vashon BS'!#REF!</definedName>
    <definedName name="YearMonth" localSheetId="2">'[21]Vashon BS'!#REF!</definedName>
    <definedName name="YearMonth">'[20]Vashon BS'!#REF!</definedName>
    <definedName name="YWMedWasteDisp">#N/A</definedName>
    <definedName name="yy" localSheetId="3">#REF!</definedName>
    <definedName name="yy" localSheetId="1">#REF!</definedName>
    <definedName name="yy" localSheetId="2">#REF!</definedName>
    <definedName name="yy">#REF!</definedName>
  </definedNames>
  <calcPr calcId="145621" concurrentManualCount="4"/>
</workbook>
</file>

<file path=xl/calcChain.xml><?xml version="1.0" encoding="utf-8"?>
<calcChain xmlns="http://schemas.openxmlformats.org/spreadsheetml/2006/main">
  <c r="G88" i="2" l="1"/>
  <c r="K88" i="2"/>
  <c r="Q88" i="2"/>
  <c r="T88" i="2" s="1"/>
  <c r="V12" i="5"/>
  <c r="K20" i="2"/>
  <c r="G10" i="2"/>
  <c r="Q32" i="2" l="1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9" i="2"/>
  <c r="Q90" i="2"/>
  <c r="Q91" i="2"/>
  <c r="Q92" i="2"/>
  <c r="Q93" i="2"/>
  <c r="Q94" i="2"/>
  <c r="Q95" i="2"/>
  <c r="Q96" i="2"/>
  <c r="Q97" i="2"/>
  <c r="Q98" i="2"/>
  <c r="Q10" i="2"/>
  <c r="T10" i="2" s="1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C55" i="1" l="1"/>
  <c r="Y72" i="5" s="1"/>
  <c r="C56" i="1"/>
  <c r="K76" i="2" s="1"/>
  <c r="C50" i="1"/>
  <c r="Y93" i="5" l="1"/>
  <c r="K69" i="2"/>
  <c r="Y187" i="5"/>
  <c r="E27" i="2" l="1"/>
  <c r="T206" i="5" l="1"/>
  <c r="S206" i="5"/>
  <c r="Q206" i="5"/>
  <c r="P206" i="5"/>
  <c r="N206" i="5"/>
  <c r="M206" i="5"/>
  <c r="K206" i="5"/>
  <c r="J206" i="5"/>
  <c r="H206" i="5"/>
  <c r="G206" i="5"/>
  <c r="E206" i="5"/>
  <c r="D206" i="5"/>
  <c r="V204" i="5"/>
  <c r="V203" i="5"/>
  <c r="X203" i="5" s="1"/>
  <c r="V202" i="5"/>
  <c r="V201" i="5"/>
  <c r="X201" i="5" s="1"/>
  <c r="V200" i="5"/>
  <c r="V199" i="5"/>
  <c r="X199" i="5" s="1"/>
  <c r="V198" i="5"/>
  <c r="V197" i="5"/>
  <c r="X197" i="5" s="1"/>
  <c r="V196" i="5"/>
  <c r="V195" i="5"/>
  <c r="X195" i="5" s="1"/>
  <c r="V194" i="5"/>
  <c r="V193" i="5"/>
  <c r="X193" i="5" s="1"/>
  <c r="V192" i="5"/>
  <c r="V191" i="5"/>
  <c r="X191" i="5" s="1"/>
  <c r="V190" i="5"/>
  <c r="V189" i="5"/>
  <c r="X189" i="5" s="1"/>
  <c r="V188" i="5"/>
  <c r="V187" i="5"/>
  <c r="X187" i="5" s="1"/>
  <c r="Z187" i="5" s="1"/>
  <c r="V186" i="5"/>
  <c r="V185" i="5"/>
  <c r="X185" i="5" s="1"/>
  <c r="V184" i="5"/>
  <c r="V183" i="5"/>
  <c r="X183" i="5" s="1"/>
  <c r="V182" i="5"/>
  <c r="V181" i="5"/>
  <c r="X181" i="5" s="1"/>
  <c r="V180" i="5"/>
  <c r="V179" i="5"/>
  <c r="X179" i="5" s="1"/>
  <c r="V178" i="5"/>
  <c r="V177" i="5"/>
  <c r="X177" i="5" s="1"/>
  <c r="V176" i="5"/>
  <c r="V175" i="5"/>
  <c r="X175" i="5" s="1"/>
  <c r="V174" i="5"/>
  <c r="V173" i="5"/>
  <c r="X173" i="5" s="1"/>
  <c r="V172" i="5"/>
  <c r="V171" i="5"/>
  <c r="X171" i="5" s="1"/>
  <c r="V170" i="5"/>
  <c r="V169" i="5"/>
  <c r="X169" i="5" s="1"/>
  <c r="V168" i="5"/>
  <c r="V167" i="5"/>
  <c r="X167" i="5" s="1"/>
  <c r="V166" i="5"/>
  <c r="V165" i="5"/>
  <c r="X165" i="5" s="1"/>
  <c r="V164" i="5"/>
  <c r="V163" i="5"/>
  <c r="X163" i="5" s="1"/>
  <c r="V162" i="5"/>
  <c r="V161" i="5"/>
  <c r="X161" i="5" s="1"/>
  <c r="V160" i="5"/>
  <c r="V159" i="5"/>
  <c r="X159" i="5" s="1"/>
  <c r="V158" i="5"/>
  <c r="V157" i="5"/>
  <c r="X157" i="5" s="1"/>
  <c r="V156" i="5"/>
  <c r="V155" i="5"/>
  <c r="X155" i="5" s="1"/>
  <c r="V154" i="5"/>
  <c r="V153" i="5"/>
  <c r="X153" i="5" s="1"/>
  <c r="Z153" i="5" s="1"/>
  <c r="V152" i="5"/>
  <c r="V151" i="5"/>
  <c r="X151" i="5" s="1"/>
  <c r="V150" i="5"/>
  <c r="V149" i="5"/>
  <c r="X149" i="5" s="1"/>
  <c r="Z149" i="5" s="1"/>
  <c r="V148" i="5"/>
  <c r="X148" i="5" s="1"/>
  <c r="V147" i="5"/>
  <c r="X147" i="5" s="1"/>
  <c r="V146" i="5"/>
  <c r="V145" i="5"/>
  <c r="X145" i="5" s="1"/>
  <c r="Z145" i="5" s="1"/>
  <c r="V144" i="5"/>
  <c r="V143" i="5"/>
  <c r="X143" i="5" s="1"/>
  <c r="V142" i="5"/>
  <c r="V141" i="5"/>
  <c r="X141" i="5" s="1"/>
  <c r="V140" i="5"/>
  <c r="V139" i="5"/>
  <c r="X139" i="5" s="1"/>
  <c r="V138" i="5"/>
  <c r="V137" i="5"/>
  <c r="X137" i="5" s="1"/>
  <c r="V136" i="5"/>
  <c r="V135" i="5"/>
  <c r="X135" i="5" s="1"/>
  <c r="V134" i="5"/>
  <c r="V133" i="5"/>
  <c r="X133" i="5" s="1"/>
  <c r="V132" i="5"/>
  <c r="V131" i="5"/>
  <c r="X131" i="5" s="1"/>
  <c r="V130" i="5"/>
  <c r="V129" i="5"/>
  <c r="X129" i="5" s="1"/>
  <c r="V128" i="5"/>
  <c r="V127" i="5"/>
  <c r="X127" i="5" s="1"/>
  <c r="V126" i="5"/>
  <c r="V125" i="5"/>
  <c r="X125" i="5" s="1"/>
  <c r="V124" i="5"/>
  <c r="V123" i="5"/>
  <c r="X123" i="5" s="1"/>
  <c r="V122" i="5"/>
  <c r="X122" i="5" s="1"/>
  <c r="V121" i="5"/>
  <c r="V120" i="5"/>
  <c r="V119" i="5"/>
  <c r="X119" i="5" s="1"/>
  <c r="V118" i="5"/>
  <c r="X118" i="5" s="1"/>
  <c r="V117" i="5"/>
  <c r="V116" i="5"/>
  <c r="V115" i="5"/>
  <c r="X115" i="5" s="1"/>
  <c r="V114" i="5"/>
  <c r="V113" i="5"/>
  <c r="X113" i="5" s="1"/>
  <c r="V112" i="5"/>
  <c r="V111" i="5"/>
  <c r="X111" i="5" s="1"/>
  <c r="V110" i="5"/>
  <c r="V109" i="5"/>
  <c r="X109" i="5" s="1"/>
  <c r="V108" i="5"/>
  <c r="V107" i="5"/>
  <c r="X107" i="5" s="1"/>
  <c r="V106" i="5"/>
  <c r="V105" i="5"/>
  <c r="X105" i="5" s="1"/>
  <c r="V104" i="5"/>
  <c r="V103" i="5"/>
  <c r="X103" i="5" s="1"/>
  <c r="V102" i="5"/>
  <c r="V101" i="5"/>
  <c r="X101" i="5" s="1"/>
  <c r="V100" i="5"/>
  <c r="V99" i="5"/>
  <c r="X99" i="5" s="1"/>
  <c r="V98" i="5"/>
  <c r="V97" i="5"/>
  <c r="X97" i="5" s="1"/>
  <c r="Z97" i="5" s="1"/>
  <c r="V96" i="5"/>
  <c r="V95" i="5"/>
  <c r="X95" i="5" s="1"/>
  <c r="V94" i="5"/>
  <c r="V93" i="5"/>
  <c r="X93" i="5" s="1"/>
  <c r="Z93" i="5" s="1"/>
  <c r="V92" i="5"/>
  <c r="V91" i="5"/>
  <c r="X91" i="5" s="1"/>
  <c r="V90" i="5"/>
  <c r="V89" i="5"/>
  <c r="X89" i="5" s="1"/>
  <c r="Z89" i="5" s="1"/>
  <c r="V88" i="5"/>
  <c r="V87" i="5"/>
  <c r="X87" i="5" s="1"/>
  <c r="V86" i="5"/>
  <c r="V85" i="5"/>
  <c r="X85" i="5" s="1"/>
  <c r="Z85" i="5" s="1"/>
  <c r="V84" i="5"/>
  <c r="V83" i="5"/>
  <c r="X83" i="5" s="1"/>
  <c r="V82" i="5"/>
  <c r="V81" i="5"/>
  <c r="X81" i="5" s="1"/>
  <c r="V80" i="5"/>
  <c r="V79" i="5"/>
  <c r="X79" i="5" s="1"/>
  <c r="V78" i="5"/>
  <c r="V77" i="5"/>
  <c r="X77" i="5" s="1"/>
  <c r="V76" i="5"/>
  <c r="V75" i="5"/>
  <c r="X75" i="5" s="1"/>
  <c r="V74" i="5"/>
  <c r="V73" i="5"/>
  <c r="X73" i="5" s="1"/>
  <c r="V72" i="5"/>
  <c r="T66" i="5"/>
  <c r="S66" i="5"/>
  <c r="Q66" i="5"/>
  <c r="P66" i="5"/>
  <c r="N66" i="5"/>
  <c r="M66" i="5"/>
  <c r="K66" i="5"/>
  <c r="J66" i="5"/>
  <c r="H66" i="5"/>
  <c r="G66" i="5"/>
  <c r="E66" i="5"/>
  <c r="D66" i="5"/>
  <c r="V64" i="5"/>
  <c r="V63" i="5"/>
  <c r="X63" i="5" s="1"/>
  <c r="Z63" i="5" s="1"/>
  <c r="V62" i="5"/>
  <c r="X62" i="5" s="1"/>
  <c r="V61" i="5"/>
  <c r="X61" i="5" s="1"/>
  <c r="V60" i="5"/>
  <c r="V59" i="5"/>
  <c r="X59" i="5" s="1"/>
  <c r="Z59" i="5" s="1"/>
  <c r="V58" i="5"/>
  <c r="V57" i="5"/>
  <c r="X57" i="5" s="1"/>
  <c r="V56" i="5"/>
  <c r="V55" i="5"/>
  <c r="X55" i="5" s="1"/>
  <c r="V54" i="5"/>
  <c r="V53" i="5"/>
  <c r="X53" i="5" s="1"/>
  <c r="Z53" i="5" s="1"/>
  <c r="V52" i="5"/>
  <c r="X52" i="5" s="1"/>
  <c r="V51" i="5"/>
  <c r="X51" i="5" s="1"/>
  <c r="V50" i="5"/>
  <c r="V49" i="5"/>
  <c r="X49" i="5" s="1"/>
  <c r="Z49" i="5" s="1"/>
  <c r="V48" i="5"/>
  <c r="X48" i="5" s="1"/>
  <c r="V47" i="5"/>
  <c r="X47" i="5" s="1"/>
  <c r="V46" i="5"/>
  <c r="V45" i="5"/>
  <c r="X45" i="5" s="1"/>
  <c r="V44" i="5"/>
  <c r="V43" i="5"/>
  <c r="X43" i="5" s="1"/>
  <c r="V42" i="5"/>
  <c r="V41" i="5"/>
  <c r="X41" i="5" s="1"/>
  <c r="V40" i="5"/>
  <c r="V39" i="5"/>
  <c r="X39" i="5" s="1"/>
  <c r="V38" i="5"/>
  <c r="V37" i="5"/>
  <c r="X37" i="5" s="1"/>
  <c r="Z37" i="5" s="1"/>
  <c r="V36" i="5"/>
  <c r="V35" i="5"/>
  <c r="X35" i="5" s="1"/>
  <c r="Z35" i="5" s="1"/>
  <c r="V34" i="5"/>
  <c r="V33" i="5"/>
  <c r="X33" i="5" s="1"/>
  <c r="Z33" i="5" s="1"/>
  <c r="V32" i="5"/>
  <c r="V31" i="5"/>
  <c r="X31" i="5" s="1"/>
  <c r="Z31" i="5" s="1"/>
  <c r="V30" i="5"/>
  <c r="V29" i="5"/>
  <c r="X29" i="5" s="1"/>
  <c r="Z29" i="5" s="1"/>
  <c r="V28" i="5"/>
  <c r="V27" i="5"/>
  <c r="X27" i="5" s="1"/>
  <c r="V26" i="5"/>
  <c r="V25" i="5"/>
  <c r="X25" i="5" s="1"/>
  <c r="V24" i="5"/>
  <c r="V23" i="5"/>
  <c r="X23" i="5" s="1"/>
  <c r="V22" i="5"/>
  <c r="V21" i="5"/>
  <c r="X21" i="5" s="1"/>
  <c r="V20" i="5"/>
  <c r="V19" i="5"/>
  <c r="X19" i="5" s="1"/>
  <c r="V18" i="5"/>
  <c r="V17" i="5"/>
  <c r="X17" i="5" s="1"/>
  <c r="V16" i="5"/>
  <c r="V15" i="5"/>
  <c r="V14" i="5"/>
  <c r="X14" i="5" s="1"/>
  <c r="V13" i="5"/>
  <c r="V206" i="5" l="1"/>
  <c r="X156" i="5"/>
  <c r="Z156" i="5" s="1"/>
  <c r="Z157" i="5"/>
  <c r="Z161" i="5"/>
  <c r="X164" i="5"/>
  <c r="Z165" i="5"/>
  <c r="Z169" i="5"/>
  <c r="Z177" i="5"/>
  <c r="Z62" i="5"/>
  <c r="X188" i="5"/>
  <c r="Z188" i="5" s="1"/>
  <c r="Z189" i="5"/>
  <c r="Z193" i="5"/>
  <c r="X196" i="5"/>
  <c r="Z197" i="5"/>
  <c r="X86" i="5"/>
  <c r="Z87" i="5"/>
  <c r="Z118" i="5"/>
  <c r="X121" i="5"/>
  <c r="Z121" i="5" s="1"/>
  <c r="Z122" i="5"/>
  <c r="X146" i="5"/>
  <c r="Z146" i="5" s="1"/>
  <c r="Z147" i="5"/>
  <c r="X150" i="5"/>
  <c r="Z150" i="5" s="1"/>
  <c r="Z151" i="5"/>
  <c r="X162" i="5"/>
  <c r="Z163" i="5"/>
  <c r="X166" i="5"/>
  <c r="Z166" i="5" s="1"/>
  <c r="Z167" i="5"/>
  <c r="X170" i="5"/>
  <c r="Z170" i="5" s="1"/>
  <c r="Z171" i="5"/>
  <c r="X174" i="5"/>
  <c r="Z174" i="5" s="1"/>
  <c r="Z175" i="5"/>
  <c r="X178" i="5"/>
  <c r="Z178" i="5" s="1"/>
  <c r="Z179" i="5"/>
  <c r="X182" i="5"/>
  <c r="Z182" i="5" s="1"/>
  <c r="Z183" i="5"/>
  <c r="Z17" i="5"/>
  <c r="Z21" i="5"/>
  <c r="Z73" i="5"/>
  <c r="X76" i="5"/>
  <c r="Z76" i="5" s="1"/>
  <c r="Z77" i="5"/>
  <c r="X100" i="5"/>
  <c r="Z100" i="5" s="1"/>
  <c r="Z101" i="5"/>
  <c r="Z105" i="5"/>
  <c r="X108" i="5"/>
  <c r="Z108" i="5" s="1"/>
  <c r="Z109" i="5"/>
  <c r="Z113" i="5"/>
  <c r="Z52" i="5"/>
  <c r="Z19" i="5"/>
  <c r="X60" i="5"/>
  <c r="X64" i="5"/>
  <c r="Z64" i="5" s="1"/>
  <c r="X190" i="5"/>
  <c r="Z190" i="5" s="1"/>
  <c r="Z191" i="5"/>
  <c r="Z199" i="5"/>
  <c r="X202" i="5"/>
  <c r="Z202" i="5" s="1"/>
  <c r="Z203" i="5"/>
  <c r="Z25" i="5"/>
  <c r="Z39" i="5"/>
  <c r="Z47" i="5"/>
  <c r="Z51" i="5"/>
  <c r="Z79" i="5"/>
  <c r="X82" i="5"/>
  <c r="Z82" i="5" s="1"/>
  <c r="Z83" i="5"/>
  <c r="X94" i="5"/>
  <c r="Z94" i="5" s="1"/>
  <c r="Z95" i="5"/>
  <c r="X106" i="5"/>
  <c r="Z107" i="5"/>
  <c r="X110" i="5"/>
  <c r="Z110" i="5" s="1"/>
  <c r="Z111" i="5"/>
  <c r="X114" i="5"/>
  <c r="Z115" i="5"/>
  <c r="Z119" i="5"/>
  <c r="X130" i="5"/>
  <c r="Z130" i="5" s="1"/>
  <c r="Z131" i="5"/>
  <c r="X134" i="5"/>
  <c r="Z134" i="5" s="1"/>
  <c r="Z135" i="5"/>
  <c r="X138" i="5"/>
  <c r="Z138" i="5" s="1"/>
  <c r="Z139" i="5"/>
  <c r="X142" i="5"/>
  <c r="Z142" i="5" s="1"/>
  <c r="Z143" i="5"/>
  <c r="X180" i="5"/>
  <c r="Z180" i="5" s="1"/>
  <c r="Z181" i="5"/>
  <c r="Z185" i="5"/>
  <c r="Z14" i="5"/>
  <c r="Z23" i="5"/>
  <c r="Z27" i="5"/>
  <c r="Z41" i="5"/>
  <c r="X56" i="5"/>
  <c r="Z56" i="5" s="1"/>
  <c r="Z57" i="5"/>
  <c r="X124" i="5"/>
  <c r="Z124" i="5" s="1"/>
  <c r="Z125" i="5"/>
  <c r="Z129" i="5"/>
  <c r="X132" i="5"/>
  <c r="Z132" i="5" s="1"/>
  <c r="Z133" i="5"/>
  <c r="Z137" i="5"/>
  <c r="X92" i="5"/>
  <c r="Z92" i="5" s="1"/>
  <c r="Z148" i="5"/>
  <c r="Z196" i="5"/>
  <c r="Z164" i="5"/>
  <c r="W66" i="5"/>
  <c r="X44" i="5"/>
  <c r="Z44" i="5" s="1"/>
  <c r="Z45" i="5"/>
  <c r="X54" i="5"/>
  <c r="Z54" i="5" s="1"/>
  <c r="Z55" i="5"/>
  <c r="X74" i="5"/>
  <c r="Z74" i="5" s="1"/>
  <c r="Z75" i="5"/>
  <c r="X90" i="5"/>
  <c r="Z90" i="5" s="1"/>
  <c r="Z91" i="5"/>
  <c r="X98" i="5"/>
  <c r="Z98" i="5" s="1"/>
  <c r="Z99" i="5"/>
  <c r="X102" i="5"/>
  <c r="Z102" i="5" s="1"/>
  <c r="Z103" i="5"/>
  <c r="X116" i="5"/>
  <c r="Z116" i="5" s="1"/>
  <c r="Z123" i="5"/>
  <c r="X126" i="5"/>
  <c r="Z126" i="5" s="1"/>
  <c r="Z127" i="5"/>
  <c r="X140" i="5"/>
  <c r="Z140" i="5" s="1"/>
  <c r="Z141" i="5"/>
  <c r="X154" i="5"/>
  <c r="Z154" i="5" s="1"/>
  <c r="Z155" i="5"/>
  <c r="X158" i="5"/>
  <c r="Z158" i="5" s="1"/>
  <c r="Z159" i="5"/>
  <c r="X172" i="5"/>
  <c r="Z172" i="5" s="1"/>
  <c r="Z173" i="5"/>
  <c r="X186" i="5"/>
  <c r="Z186" i="5" s="1"/>
  <c r="X194" i="5"/>
  <c r="Z194" i="5" s="1"/>
  <c r="X13" i="5"/>
  <c r="Z13" i="5" s="1"/>
  <c r="X15" i="5"/>
  <c r="Z15" i="5" s="1"/>
  <c r="Z43" i="5"/>
  <c r="X46" i="5"/>
  <c r="Z46" i="5" s="1"/>
  <c r="Z60" i="5"/>
  <c r="Z61" i="5"/>
  <c r="X78" i="5"/>
  <c r="Z78" i="5" s="1"/>
  <c r="Z81" i="5"/>
  <c r="X84" i="5"/>
  <c r="Z84" i="5" s="1"/>
  <c r="X117" i="5"/>
  <c r="Z117" i="5" s="1"/>
  <c r="Y206" i="5"/>
  <c r="Z48" i="5"/>
  <c r="Z86" i="5"/>
  <c r="Z195" i="5"/>
  <c r="X198" i="5"/>
  <c r="Z198" i="5" s="1"/>
  <c r="Z106" i="5"/>
  <c r="Z114" i="5"/>
  <c r="Z162" i="5"/>
  <c r="Y66" i="5"/>
  <c r="X16" i="5"/>
  <c r="Z16" i="5" s="1"/>
  <c r="X18" i="5"/>
  <c r="Z18" i="5" s="1"/>
  <c r="X20" i="5"/>
  <c r="Z20" i="5" s="1"/>
  <c r="X22" i="5"/>
  <c r="Z22" i="5" s="1"/>
  <c r="X24" i="5"/>
  <c r="Z24" i="5" s="1"/>
  <c r="X26" i="5"/>
  <c r="Z26" i="5" s="1"/>
  <c r="X28" i="5"/>
  <c r="Z28" i="5" s="1"/>
  <c r="X30" i="5"/>
  <c r="Z30" i="5" s="1"/>
  <c r="X32" i="5"/>
  <c r="Z32" i="5" s="1"/>
  <c r="X34" i="5"/>
  <c r="Z34" i="5" s="1"/>
  <c r="X36" i="5"/>
  <c r="Z36" i="5" s="1"/>
  <c r="X38" i="5"/>
  <c r="Z38" i="5" s="1"/>
  <c r="X40" i="5"/>
  <c r="Z40" i="5" s="1"/>
  <c r="X42" i="5"/>
  <c r="Z42" i="5" s="1"/>
  <c r="X50" i="5"/>
  <c r="Z50" i="5" s="1"/>
  <c r="X58" i="5"/>
  <c r="Z58" i="5" s="1"/>
  <c r="X80" i="5"/>
  <c r="Z80" i="5" s="1"/>
  <c r="X88" i="5"/>
  <c r="Z88" i="5" s="1"/>
  <c r="X96" i="5"/>
  <c r="Z96" i="5" s="1"/>
  <c r="X104" i="5"/>
  <c r="Z104" i="5" s="1"/>
  <c r="X112" i="5"/>
  <c r="Z112" i="5" s="1"/>
  <c r="X120" i="5"/>
  <c r="Z120" i="5" s="1"/>
  <c r="X128" i="5"/>
  <c r="Z128" i="5" s="1"/>
  <c r="X136" i="5"/>
  <c r="Z136" i="5" s="1"/>
  <c r="X144" i="5"/>
  <c r="Z144" i="5" s="1"/>
  <c r="X152" i="5"/>
  <c r="Z152" i="5" s="1"/>
  <c r="X160" i="5"/>
  <c r="Z160" i="5" s="1"/>
  <c r="X168" i="5"/>
  <c r="Z168" i="5" s="1"/>
  <c r="X176" i="5"/>
  <c r="Z176" i="5" s="1"/>
  <c r="X184" i="5"/>
  <c r="Z184" i="5" s="1"/>
  <c r="X192" i="5"/>
  <c r="Z192" i="5" s="1"/>
  <c r="X200" i="5"/>
  <c r="Z200" i="5" s="1"/>
  <c r="Z201" i="5"/>
  <c r="X204" i="5"/>
  <c r="Z204" i="5" s="1"/>
  <c r="V66" i="5"/>
  <c r="X12" i="5"/>
  <c r="V208" i="5"/>
  <c r="W206" i="5"/>
  <c r="X72" i="5"/>
  <c r="W208" i="5" l="1"/>
  <c r="Y208" i="5"/>
  <c r="X66" i="5"/>
  <c r="Z12" i="5"/>
  <c r="X206" i="5"/>
  <c r="Z72" i="5"/>
  <c r="X208" i="5" l="1"/>
  <c r="Z206" i="5"/>
  <c r="D119" i="2" s="1"/>
  <c r="AA206" i="5"/>
  <c r="E119" i="2" s="1"/>
  <c r="Z66" i="5"/>
  <c r="D118" i="2" s="1"/>
  <c r="AA66" i="5"/>
  <c r="E118" i="2" s="1"/>
  <c r="D120" i="2" l="1"/>
  <c r="E120" i="2"/>
  <c r="G118" i="2" s="1"/>
  <c r="AA208" i="5"/>
  <c r="Z208" i="5"/>
  <c r="G119" i="2" l="1"/>
  <c r="G120" i="2" s="1"/>
  <c r="C12" i="1"/>
  <c r="C13" i="1"/>
  <c r="I10" i="2" s="1"/>
  <c r="J10" i="2" s="1"/>
  <c r="C11" i="1" l="1"/>
  <c r="I88" i="2"/>
  <c r="J88" i="2" s="1"/>
  <c r="L88" i="2" s="1"/>
  <c r="C8" i="1"/>
  <c r="C9" i="1"/>
  <c r="C10" i="1"/>
  <c r="I41" i="2" l="1"/>
  <c r="I40" i="2"/>
  <c r="D8" i="1"/>
  <c r="E8" i="1"/>
  <c r="I13" i="1"/>
  <c r="I12" i="1"/>
  <c r="I11" i="1"/>
  <c r="I10" i="1"/>
  <c r="I9" i="1"/>
  <c r="I8" i="1"/>
  <c r="H13" i="1"/>
  <c r="H12" i="1"/>
  <c r="H11" i="1"/>
  <c r="H10" i="1"/>
  <c r="H9" i="1"/>
  <c r="H8" i="1"/>
  <c r="G13" i="1"/>
  <c r="G12" i="1"/>
  <c r="G11" i="1"/>
  <c r="G10" i="1"/>
  <c r="G9" i="1"/>
  <c r="G8" i="1"/>
  <c r="F13" i="1"/>
  <c r="F12" i="1"/>
  <c r="F11" i="1"/>
  <c r="F10" i="1"/>
  <c r="F9" i="1"/>
  <c r="F8" i="1"/>
  <c r="E13" i="1"/>
  <c r="E12" i="1"/>
  <c r="E11" i="1"/>
  <c r="E10" i="1"/>
  <c r="E9" i="1"/>
  <c r="D13" i="1"/>
  <c r="D12" i="1"/>
  <c r="D11" i="1"/>
  <c r="D10" i="1"/>
  <c r="D9" i="1"/>
  <c r="G32" i="2"/>
  <c r="C30" i="4"/>
  <c r="C31" i="4" l="1"/>
  <c r="C13" i="4"/>
  <c r="C16" i="4" s="1"/>
  <c r="D13" i="4"/>
  <c r="C40" i="4" s="1"/>
  <c r="C41" i="4" s="1"/>
  <c r="C22" i="4"/>
  <c r="C25" i="4" s="1"/>
  <c r="C29" i="4"/>
  <c r="D22" i="4"/>
  <c r="D25" i="4" s="1"/>
  <c r="C35" i="4" l="1"/>
  <c r="C36" i="4" s="1"/>
  <c r="D16" i="4"/>
  <c r="F58" i="3" l="1"/>
  <c r="F62" i="3"/>
  <c r="F59" i="3"/>
  <c r="F63" i="3"/>
  <c r="F60" i="3"/>
  <c r="F64" i="3"/>
  <c r="F57" i="3"/>
  <c r="F61" i="3"/>
  <c r="F65" i="3"/>
  <c r="E69" i="1" l="1"/>
  <c r="L111" i="2" s="1"/>
  <c r="F68" i="1"/>
  <c r="F67" i="1"/>
  <c r="K98" i="2"/>
  <c r="I98" i="2"/>
  <c r="G98" i="2"/>
  <c r="T98" i="2" s="1"/>
  <c r="K97" i="2"/>
  <c r="I97" i="2"/>
  <c r="K96" i="2"/>
  <c r="I96" i="2"/>
  <c r="K95" i="2"/>
  <c r="K94" i="2"/>
  <c r="K93" i="2"/>
  <c r="K92" i="2"/>
  <c r="K91" i="2"/>
  <c r="K90" i="2"/>
  <c r="K89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I80" i="2"/>
  <c r="I79" i="2"/>
  <c r="K78" i="2"/>
  <c r="I78" i="2"/>
  <c r="I77" i="2"/>
  <c r="I76" i="2"/>
  <c r="K75" i="2"/>
  <c r="I75" i="2"/>
  <c r="K74" i="2"/>
  <c r="I74" i="2"/>
  <c r="K73" i="2"/>
  <c r="I73" i="2"/>
  <c r="K72" i="2"/>
  <c r="I72" i="2"/>
  <c r="K68" i="2"/>
  <c r="K67" i="2"/>
  <c r="K66" i="2"/>
  <c r="K65" i="2"/>
  <c r="K64" i="2"/>
  <c r="K63" i="2"/>
  <c r="K62" i="2"/>
  <c r="K61" i="2"/>
  <c r="K60" i="2"/>
  <c r="K59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25" i="2"/>
  <c r="I25" i="2"/>
  <c r="K24" i="2"/>
  <c r="I24" i="2"/>
  <c r="K23" i="2"/>
  <c r="I23" i="2"/>
  <c r="K22" i="2"/>
  <c r="I22" i="2"/>
  <c r="K19" i="2"/>
  <c r="K18" i="2"/>
  <c r="K17" i="2"/>
  <c r="K16" i="2"/>
  <c r="K15" i="2"/>
  <c r="K14" i="2"/>
  <c r="K13" i="2"/>
  <c r="K12" i="2"/>
  <c r="K11" i="2"/>
  <c r="K10" i="2"/>
  <c r="L10" i="2" s="1"/>
  <c r="C69" i="1"/>
  <c r="F74" i="1"/>
  <c r="D68" i="1"/>
  <c r="F73" i="1"/>
  <c r="D67" i="1"/>
  <c r="C62" i="1"/>
  <c r="C61" i="1"/>
  <c r="C59" i="1"/>
  <c r="C58" i="1"/>
  <c r="C57" i="1"/>
  <c r="C53" i="1"/>
  <c r="C52" i="1"/>
  <c r="C51" i="1"/>
  <c r="C48" i="1"/>
  <c r="C47" i="1"/>
  <c r="C46" i="1"/>
  <c r="C42" i="1"/>
  <c r="C31" i="1"/>
  <c r="C29" i="1"/>
  <c r="C26" i="1"/>
  <c r="C14" i="1"/>
  <c r="D56" i="3" l="1"/>
  <c r="C73" i="1"/>
  <c r="D55" i="3"/>
  <c r="F55" i="3" s="1"/>
  <c r="E70" i="1"/>
  <c r="M111" i="2" s="1"/>
  <c r="F56" i="3"/>
  <c r="G62" i="2"/>
  <c r="G14" i="1"/>
  <c r="I51" i="2"/>
  <c r="G80" i="2"/>
  <c r="G81" i="2"/>
  <c r="G82" i="2"/>
  <c r="G84" i="2"/>
  <c r="G85" i="2"/>
  <c r="G86" i="2"/>
  <c r="G87" i="2"/>
  <c r="G75" i="2"/>
  <c r="G11" i="2"/>
  <c r="T11" i="2" s="1"/>
  <c r="G15" i="2"/>
  <c r="T15" i="2" s="1"/>
  <c r="G19" i="2"/>
  <c r="T19" i="2" s="1"/>
  <c r="G78" i="2"/>
  <c r="G83" i="2"/>
  <c r="G22" i="2"/>
  <c r="G24" i="2"/>
  <c r="G25" i="2"/>
  <c r="G77" i="2"/>
  <c r="G79" i="2"/>
  <c r="G72" i="2"/>
  <c r="G73" i="2"/>
  <c r="G74" i="2"/>
  <c r="G14" i="2"/>
  <c r="T14" i="2" s="1"/>
  <c r="G18" i="2"/>
  <c r="T18" i="2" s="1"/>
  <c r="G13" i="2"/>
  <c r="T13" i="2" s="1"/>
  <c r="G17" i="2"/>
  <c r="T17" i="2" s="1"/>
  <c r="G21" i="2"/>
  <c r="T21" i="2" s="1"/>
  <c r="G68" i="2"/>
  <c r="G76" i="2"/>
  <c r="F69" i="1"/>
  <c r="I14" i="1"/>
  <c r="F76" i="1"/>
  <c r="F78" i="1" s="1"/>
  <c r="G12" i="2"/>
  <c r="T12" i="2" s="1"/>
  <c r="G16" i="2"/>
  <c r="T16" i="2" s="1"/>
  <c r="G20" i="2"/>
  <c r="T20" i="2" s="1"/>
  <c r="G23" i="2"/>
  <c r="G96" i="2"/>
  <c r="G97" i="2"/>
  <c r="D14" i="1"/>
  <c r="D69" i="1"/>
  <c r="H14" i="1"/>
  <c r="E14" i="1"/>
  <c r="I13" i="2"/>
  <c r="F14" i="1"/>
  <c r="C70" i="1"/>
  <c r="K21" i="2"/>
  <c r="I67" i="2"/>
  <c r="I53" i="2"/>
  <c r="I68" i="2"/>
  <c r="I63" i="2"/>
  <c r="I58" i="2"/>
  <c r="I56" i="2"/>
  <c r="I62" i="2"/>
  <c r="I54" i="2"/>
  <c r="I95" i="2"/>
  <c r="I94" i="2"/>
  <c r="I71" i="2"/>
  <c r="I70" i="2"/>
  <c r="I69" i="2"/>
  <c r="I64" i="2"/>
  <c r="I59" i="2"/>
  <c r="I57" i="2"/>
  <c r="I55" i="2"/>
  <c r="K79" i="2"/>
  <c r="K57" i="2"/>
  <c r="K70" i="2"/>
  <c r="I33" i="2"/>
  <c r="I35" i="2"/>
  <c r="I37" i="2"/>
  <c r="I39" i="2"/>
  <c r="I43" i="2"/>
  <c r="I45" i="2"/>
  <c r="I47" i="2"/>
  <c r="I49" i="2"/>
  <c r="I65" i="2"/>
  <c r="I60" i="2"/>
  <c r="K71" i="2"/>
  <c r="K77" i="2"/>
  <c r="I11" i="2"/>
  <c r="I12" i="2"/>
  <c r="I14" i="2"/>
  <c r="I15" i="2"/>
  <c r="I16" i="2"/>
  <c r="I17" i="2"/>
  <c r="I18" i="2"/>
  <c r="I19" i="2"/>
  <c r="I20" i="2"/>
  <c r="I21" i="2"/>
  <c r="E100" i="2"/>
  <c r="I66" i="2"/>
  <c r="I61" i="2"/>
  <c r="I52" i="2"/>
  <c r="I32" i="2"/>
  <c r="T32" i="2" s="1"/>
  <c r="I34" i="2"/>
  <c r="I36" i="2"/>
  <c r="I38" i="2"/>
  <c r="I42" i="2"/>
  <c r="I44" i="2"/>
  <c r="I46" i="2"/>
  <c r="I48" i="2"/>
  <c r="I50" i="2"/>
  <c r="K58" i="2"/>
  <c r="J98" i="2"/>
  <c r="L98" i="2" s="1"/>
  <c r="T68" i="2" l="1"/>
  <c r="J23" i="2"/>
  <c r="L23" i="2" s="1"/>
  <c r="T23" i="2"/>
  <c r="J72" i="2"/>
  <c r="L72" i="2" s="1"/>
  <c r="T72" i="2"/>
  <c r="J24" i="2"/>
  <c r="L24" i="2" s="1"/>
  <c r="T24" i="2"/>
  <c r="J87" i="2"/>
  <c r="L87" i="2" s="1"/>
  <c r="T87" i="2"/>
  <c r="J82" i="2"/>
  <c r="L82" i="2" s="1"/>
  <c r="T82" i="2"/>
  <c r="J97" i="2"/>
  <c r="L97" i="2" s="1"/>
  <c r="T97" i="2"/>
  <c r="J79" i="2"/>
  <c r="L79" i="2" s="1"/>
  <c r="T79" i="2"/>
  <c r="J22" i="2"/>
  <c r="L22" i="2" s="1"/>
  <c r="T22" i="2"/>
  <c r="J86" i="2"/>
  <c r="L86" i="2" s="1"/>
  <c r="T86" i="2"/>
  <c r="J81" i="2"/>
  <c r="L81" i="2" s="1"/>
  <c r="T81" i="2"/>
  <c r="T62" i="2"/>
  <c r="J96" i="2"/>
  <c r="L96" i="2" s="1"/>
  <c r="T96" i="2"/>
  <c r="J74" i="2"/>
  <c r="L74" i="2" s="1"/>
  <c r="T74" i="2"/>
  <c r="J77" i="2"/>
  <c r="T77" i="2"/>
  <c r="J83" i="2"/>
  <c r="L83" i="2" s="1"/>
  <c r="T83" i="2"/>
  <c r="J85" i="2"/>
  <c r="L85" i="2" s="1"/>
  <c r="T85" i="2"/>
  <c r="J80" i="2"/>
  <c r="L80" i="2" s="1"/>
  <c r="T80" i="2"/>
  <c r="J76" i="2"/>
  <c r="L76" i="2" s="1"/>
  <c r="T76" i="2"/>
  <c r="J73" i="2"/>
  <c r="L73" i="2" s="1"/>
  <c r="T73" i="2"/>
  <c r="J25" i="2"/>
  <c r="L25" i="2" s="1"/>
  <c r="T25" i="2"/>
  <c r="J78" i="2"/>
  <c r="L78" i="2" s="1"/>
  <c r="T78" i="2"/>
  <c r="J75" i="2"/>
  <c r="L75" i="2" s="1"/>
  <c r="T75" i="2"/>
  <c r="J84" i="2"/>
  <c r="L84" i="2" s="1"/>
  <c r="T84" i="2"/>
  <c r="C74" i="1"/>
  <c r="I42" i="3"/>
  <c r="G95" i="2"/>
  <c r="G36" i="2"/>
  <c r="G42" i="2"/>
  <c r="G47" i="2"/>
  <c r="G49" i="2"/>
  <c r="T49" i="2" s="1"/>
  <c r="G46" i="2"/>
  <c r="G55" i="2"/>
  <c r="G63" i="2"/>
  <c r="T63" i="2" s="1"/>
  <c r="G61" i="2"/>
  <c r="G70" i="2"/>
  <c r="G33" i="2"/>
  <c r="T33" i="2" s="1"/>
  <c r="G34" i="2"/>
  <c r="T34" i="2" s="1"/>
  <c r="G38" i="2"/>
  <c r="G41" i="2"/>
  <c r="G51" i="2"/>
  <c r="G54" i="2"/>
  <c r="G58" i="2"/>
  <c r="T58" i="2" s="1"/>
  <c r="G65" i="2"/>
  <c r="G67" i="2"/>
  <c r="G69" i="2"/>
  <c r="G37" i="2"/>
  <c r="T37" i="2" s="1"/>
  <c r="G43" i="2"/>
  <c r="T43" i="2" s="1"/>
  <c r="G50" i="2"/>
  <c r="G45" i="2"/>
  <c r="G48" i="2"/>
  <c r="G56" i="2"/>
  <c r="T56" i="2" s="1"/>
  <c r="G60" i="2"/>
  <c r="G53" i="2"/>
  <c r="G71" i="2"/>
  <c r="G35" i="2"/>
  <c r="G39" i="2"/>
  <c r="G40" i="2"/>
  <c r="G44" i="2"/>
  <c r="G52" i="2"/>
  <c r="G57" i="2"/>
  <c r="G59" i="2"/>
  <c r="G66" i="2"/>
  <c r="G64" i="2"/>
  <c r="J32" i="2"/>
  <c r="G94" i="2"/>
  <c r="I93" i="2"/>
  <c r="I92" i="2"/>
  <c r="I91" i="2"/>
  <c r="I90" i="2"/>
  <c r="I89" i="2"/>
  <c r="J68" i="2"/>
  <c r="L68" i="2" s="1"/>
  <c r="E102" i="2"/>
  <c r="J17" i="2"/>
  <c r="L17" i="2" s="1"/>
  <c r="J12" i="2"/>
  <c r="L12" i="2" s="1"/>
  <c r="J14" i="2"/>
  <c r="L14" i="2" s="1"/>
  <c r="J16" i="2"/>
  <c r="L16" i="2" s="1"/>
  <c r="J21" i="2"/>
  <c r="L21" i="2" s="1"/>
  <c r="J19" i="2"/>
  <c r="L19" i="2" s="1"/>
  <c r="J18" i="2"/>
  <c r="L18" i="2" s="1"/>
  <c r="J20" i="2"/>
  <c r="L20" i="2" s="1"/>
  <c r="J62" i="2"/>
  <c r="L62" i="2" s="1"/>
  <c r="J13" i="2"/>
  <c r="L13" i="2" s="1"/>
  <c r="J15" i="2"/>
  <c r="L15" i="2" s="1"/>
  <c r="J11" i="2"/>
  <c r="L11" i="2" s="1"/>
  <c r="L77" i="2"/>
  <c r="G27" i="2"/>
  <c r="T27" i="2" l="1"/>
  <c r="J57" i="2"/>
  <c r="L57" i="2" s="1"/>
  <c r="T57" i="2"/>
  <c r="J39" i="2"/>
  <c r="L39" i="2" s="1"/>
  <c r="T39" i="2"/>
  <c r="J60" i="2"/>
  <c r="L60" i="2" s="1"/>
  <c r="T60" i="2"/>
  <c r="J50" i="2"/>
  <c r="L50" i="2" s="1"/>
  <c r="T50" i="2"/>
  <c r="J67" i="2"/>
  <c r="L67" i="2" s="1"/>
  <c r="T67" i="2"/>
  <c r="J51" i="2"/>
  <c r="L51" i="2" s="1"/>
  <c r="T51" i="2"/>
  <c r="J55" i="2"/>
  <c r="L55" i="2" s="1"/>
  <c r="T55" i="2"/>
  <c r="J42" i="2"/>
  <c r="L42" i="2" s="1"/>
  <c r="T42" i="2"/>
  <c r="J64" i="2"/>
  <c r="L64" i="2" s="1"/>
  <c r="T64" i="2"/>
  <c r="J52" i="2"/>
  <c r="L52" i="2" s="1"/>
  <c r="T52" i="2"/>
  <c r="J35" i="2"/>
  <c r="L35" i="2" s="1"/>
  <c r="T35" i="2"/>
  <c r="J65" i="2"/>
  <c r="L65" i="2" s="1"/>
  <c r="T65" i="2"/>
  <c r="J41" i="2"/>
  <c r="L41" i="2" s="1"/>
  <c r="T41" i="2"/>
  <c r="J70" i="2"/>
  <c r="L70" i="2" s="1"/>
  <c r="T70" i="2"/>
  <c r="J46" i="2"/>
  <c r="L46" i="2" s="1"/>
  <c r="T46" i="2"/>
  <c r="J36" i="2"/>
  <c r="L36" i="2" s="1"/>
  <c r="T36" i="2"/>
  <c r="J66" i="2"/>
  <c r="L66" i="2" s="1"/>
  <c r="T66" i="2"/>
  <c r="J44" i="2"/>
  <c r="L44" i="2" s="1"/>
  <c r="T44" i="2"/>
  <c r="J71" i="2"/>
  <c r="L71" i="2" s="1"/>
  <c r="T71" i="2"/>
  <c r="J48" i="2"/>
  <c r="L48" i="2" s="1"/>
  <c r="T48" i="2"/>
  <c r="J38" i="2"/>
  <c r="L38" i="2" s="1"/>
  <c r="T38" i="2"/>
  <c r="J61" i="2"/>
  <c r="L61" i="2" s="1"/>
  <c r="T61" i="2"/>
  <c r="J95" i="2"/>
  <c r="L95" i="2" s="1"/>
  <c r="T95" i="2"/>
  <c r="J94" i="2"/>
  <c r="L94" i="2" s="1"/>
  <c r="T94" i="2"/>
  <c r="J59" i="2"/>
  <c r="L59" i="2" s="1"/>
  <c r="T59" i="2"/>
  <c r="J40" i="2"/>
  <c r="L40" i="2" s="1"/>
  <c r="T40" i="2"/>
  <c r="J53" i="2"/>
  <c r="L53" i="2" s="1"/>
  <c r="T53" i="2"/>
  <c r="J45" i="2"/>
  <c r="L45" i="2" s="1"/>
  <c r="T45" i="2"/>
  <c r="J69" i="2"/>
  <c r="L69" i="2" s="1"/>
  <c r="T69" i="2"/>
  <c r="J54" i="2"/>
  <c r="L54" i="2" s="1"/>
  <c r="T54" i="2"/>
  <c r="J47" i="2"/>
  <c r="L47" i="2" s="1"/>
  <c r="T47" i="2"/>
  <c r="D42" i="3"/>
  <c r="F42" i="3" s="1"/>
  <c r="D43" i="3"/>
  <c r="F43" i="3" s="1"/>
  <c r="D46" i="3"/>
  <c r="F46" i="3" s="1"/>
  <c r="D47" i="3"/>
  <c r="F47" i="3" s="1"/>
  <c r="D45" i="3"/>
  <c r="F45" i="3" s="1"/>
  <c r="D48" i="3"/>
  <c r="F48" i="3" s="1"/>
  <c r="D44" i="3"/>
  <c r="F44" i="3" s="1"/>
  <c r="J33" i="2"/>
  <c r="L33" i="2" s="1"/>
  <c r="J27" i="2"/>
  <c r="J34" i="2"/>
  <c r="L34" i="2" s="1"/>
  <c r="J56" i="2"/>
  <c r="L56" i="2" s="1"/>
  <c r="J43" i="2"/>
  <c r="L43" i="2" s="1"/>
  <c r="J37" i="2"/>
  <c r="L37" i="2" s="1"/>
  <c r="J58" i="2"/>
  <c r="L58" i="2" s="1"/>
  <c r="J49" i="2"/>
  <c r="L49" i="2" s="1"/>
  <c r="J63" i="2"/>
  <c r="L63" i="2" s="1"/>
  <c r="G89" i="2"/>
  <c r="G91" i="2"/>
  <c r="G93" i="2"/>
  <c r="G90" i="2"/>
  <c r="G92" i="2"/>
  <c r="L32" i="2"/>
  <c r="J92" i="2" l="1"/>
  <c r="L92" i="2" s="1"/>
  <c r="T92" i="2"/>
  <c r="J89" i="2"/>
  <c r="L89" i="2" s="1"/>
  <c r="T89" i="2"/>
  <c r="J90" i="2"/>
  <c r="L90" i="2" s="1"/>
  <c r="T90" i="2"/>
  <c r="J93" i="2"/>
  <c r="L93" i="2" s="1"/>
  <c r="T93" i="2"/>
  <c r="J91" i="2"/>
  <c r="L91" i="2" s="1"/>
  <c r="T91" i="2"/>
  <c r="G100" i="2"/>
  <c r="G102" i="2" s="1"/>
  <c r="J100" i="2"/>
  <c r="J102" i="2" s="1"/>
  <c r="L27" i="2"/>
  <c r="D113" i="2" s="1"/>
  <c r="L100" i="2" l="1"/>
  <c r="D114" i="2" s="1"/>
  <c r="D115" i="2" s="1"/>
  <c r="D122" i="2" s="1"/>
  <c r="T100" i="2"/>
  <c r="T102" i="2" s="1"/>
  <c r="D124" i="2"/>
  <c r="D125" i="2"/>
  <c r="L102" i="2"/>
  <c r="D108" i="2" l="1"/>
  <c r="C75" i="1" l="1"/>
  <c r="C76" i="1" s="1"/>
  <c r="D109" i="2"/>
  <c r="D110" i="2" s="1"/>
  <c r="M88" i="2" s="1"/>
  <c r="N88" i="2" s="1"/>
  <c r="O88" i="2" s="1"/>
  <c r="P88" i="2" l="1"/>
  <c r="R88" i="2" s="1"/>
  <c r="U88" i="2" s="1"/>
  <c r="V88" i="2" s="1"/>
  <c r="M58" i="2"/>
  <c r="N58" i="2" s="1"/>
  <c r="O58" i="2" s="1"/>
  <c r="P58" i="2" s="1"/>
  <c r="R58" i="2" s="1"/>
  <c r="U58" i="2" s="1"/>
  <c r="V58" i="2" s="1"/>
  <c r="M33" i="2"/>
  <c r="N33" i="2" s="1"/>
  <c r="O33" i="2" s="1"/>
  <c r="P33" i="2" s="1"/>
  <c r="R33" i="2" s="1"/>
  <c r="U33" i="2" s="1"/>
  <c r="V33" i="2" s="1"/>
  <c r="M94" i="2"/>
  <c r="N94" i="2" s="1"/>
  <c r="O94" i="2" s="1"/>
  <c r="P94" i="2" s="1"/>
  <c r="R94" i="2" s="1"/>
  <c r="U94" i="2" s="1"/>
  <c r="V94" i="2" s="1"/>
  <c r="M53" i="2"/>
  <c r="N53" i="2" s="1"/>
  <c r="O53" i="2" s="1"/>
  <c r="P53" i="2" s="1"/>
  <c r="R53" i="2" s="1"/>
  <c r="U53" i="2" s="1"/>
  <c r="V53" i="2" s="1"/>
  <c r="M56" i="2"/>
  <c r="N56" i="2" s="1"/>
  <c r="O56" i="2" s="1"/>
  <c r="P56" i="2" s="1"/>
  <c r="R56" i="2" s="1"/>
  <c r="U56" i="2" s="1"/>
  <c r="V56" i="2" s="1"/>
  <c r="M63" i="2"/>
  <c r="N63" i="2" s="1"/>
  <c r="O63" i="2" s="1"/>
  <c r="P63" i="2" s="1"/>
  <c r="R63" i="2" s="1"/>
  <c r="U63" i="2" s="1"/>
  <c r="V63" i="2" s="1"/>
  <c r="M51" i="2"/>
  <c r="N51" i="2" s="1"/>
  <c r="O51" i="2" s="1"/>
  <c r="P51" i="2" s="1"/>
  <c r="R51" i="2" s="1"/>
  <c r="U51" i="2" s="1"/>
  <c r="V51" i="2" s="1"/>
  <c r="M66" i="2"/>
  <c r="N66" i="2" s="1"/>
  <c r="O66" i="2" s="1"/>
  <c r="P66" i="2" s="1"/>
  <c r="R66" i="2" s="1"/>
  <c r="U66" i="2" s="1"/>
  <c r="V66" i="2" s="1"/>
  <c r="M45" i="2"/>
  <c r="N45" i="2" s="1"/>
  <c r="O45" i="2" s="1"/>
  <c r="P45" i="2" s="1"/>
  <c r="R45" i="2" s="1"/>
  <c r="U45" i="2" s="1"/>
  <c r="V45" i="2" s="1"/>
  <c r="M85" i="2"/>
  <c r="N85" i="2" s="1"/>
  <c r="O85" i="2" s="1"/>
  <c r="P85" i="2" s="1"/>
  <c r="M41" i="2"/>
  <c r="N41" i="2" s="1"/>
  <c r="O41" i="2" s="1"/>
  <c r="P41" i="2" s="1"/>
  <c r="R41" i="2" s="1"/>
  <c r="U41" i="2" s="1"/>
  <c r="V41" i="2" s="1"/>
  <c r="M25" i="2"/>
  <c r="N25" i="2" s="1"/>
  <c r="O25" i="2" s="1"/>
  <c r="P25" i="2" s="1"/>
  <c r="R25" i="2" s="1"/>
  <c r="U25" i="2" s="1"/>
  <c r="V25" i="2" s="1"/>
  <c r="M34" i="2"/>
  <c r="N34" i="2" s="1"/>
  <c r="O34" i="2" s="1"/>
  <c r="P34" i="2" s="1"/>
  <c r="R34" i="2" s="1"/>
  <c r="U34" i="2" s="1"/>
  <c r="V34" i="2" s="1"/>
  <c r="M91" i="2"/>
  <c r="N91" i="2" s="1"/>
  <c r="O91" i="2" s="1"/>
  <c r="P91" i="2" s="1"/>
  <c r="R91" i="2" s="1"/>
  <c r="U91" i="2" s="1"/>
  <c r="V91" i="2" s="1"/>
  <c r="M18" i="2"/>
  <c r="N18" i="2" s="1"/>
  <c r="O18" i="2" s="1"/>
  <c r="P18" i="2" s="1"/>
  <c r="M73" i="2"/>
  <c r="N73" i="2" s="1"/>
  <c r="O73" i="2" s="1"/>
  <c r="P73" i="2" s="1"/>
  <c r="M49" i="2"/>
  <c r="N49" i="2" s="1"/>
  <c r="O49" i="2" s="1"/>
  <c r="P49" i="2" s="1"/>
  <c r="R49" i="2" s="1"/>
  <c r="U49" i="2" s="1"/>
  <c r="V49" i="2" s="1"/>
  <c r="M37" i="2"/>
  <c r="N37" i="2" s="1"/>
  <c r="O37" i="2" s="1"/>
  <c r="P37" i="2" s="1"/>
  <c r="R37" i="2" s="1"/>
  <c r="U37" i="2" s="1"/>
  <c r="V37" i="2" s="1"/>
  <c r="M42" i="2"/>
  <c r="N42" i="2" s="1"/>
  <c r="O42" i="2" s="1"/>
  <c r="P42" i="2" s="1"/>
  <c r="R42" i="2" s="1"/>
  <c r="U42" i="2" s="1"/>
  <c r="V42" i="2" s="1"/>
  <c r="M39" i="2"/>
  <c r="N39" i="2" s="1"/>
  <c r="O39" i="2" s="1"/>
  <c r="P39" i="2" s="1"/>
  <c r="R39" i="2" s="1"/>
  <c r="U39" i="2" s="1"/>
  <c r="V39" i="2" s="1"/>
  <c r="M54" i="2"/>
  <c r="N54" i="2" s="1"/>
  <c r="O54" i="2" s="1"/>
  <c r="P54" i="2" s="1"/>
  <c r="R54" i="2" s="1"/>
  <c r="U54" i="2" s="1"/>
  <c r="V54" i="2" s="1"/>
  <c r="M98" i="2"/>
  <c r="N98" i="2" s="1"/>
  <c r="O98" i="2" s="1"/>
  <c r="P98" i="2" s="1"/>
  <c r="M19" i="2"/>
  <c r="N19" i="2" s="1"/>
  <c r="O19" i="2" s="1"/>
  <c r="P19" i="2" s="1"/>
  <c r="M13" i="2"/>
  <c r="N13" i="2" s="1"/>
  <c r="O13" i="2" s="1"/>
  <c r="P13" i="2" s="1"/>
  <c r="M82" i="2"/>
  <c r="N82" i="2" s="1"/>
  <c r="O82" i="2" s="1"/>
  <c r="P82" i="2" s="1"/>
  <c r="M48" i="2"/>
  <c r="N48" i="2" s="1"/>
  <c r="O48" i="2" s="1"/>
  <c r="P48" i="2" s="1"/>
  <c r="R48" i="2" s="1"/>
  <c r="U48" i="2" s="1"/>
  <c r="V48" i="2" s="1"/>
  <c r="M90" i="2"/>
  <c r="N90" i="2" s="1"/>
  <c r="O90" i="2" s="1"/>
  <c r="P90" i="2" s="1"/>
  <c r="M93" i="2"/>
  <c r="N93" i="2" s="1"/>
  <c r="O93" i="2" s="1"/>
  <c r="P93" i="2" s="1"/>
  <c r="R93" i="2" s="1"/>
  <c r="U93" i="2" s="1"/>
  <c r="V93" i="2" s="1"/>
  <c r="M60" i="2"/>
  <c r="N60" i="2" s="1"/>
  <c r="O60" i="2" s="1"/>
  <c r="P60" i="2" s="1"/>
  <c r="R60" i="2" s="1"/>
  <c r="U60" i="2" s="1"/>
  <c r="V60" i="2" s="1"/>
  <c r="M76" i="2"/>
  <c r="N76" i="2" s="1"/>
  <c r="O76" i="2" s="1"/>
  <c r="P76" i="2" s="1"/>
  <c r="M67" i="2"/>
  <c r="N67" i="2" s="1"/>
  <c r="O67" i="2" s="1"/>
  <c r="P67" i="2" s="1"/>
  <c r="R67" i="2" s="1"/>
  <c r="U67" i="2" s="1"/>
  <c r="V67" i="2" s="1"/>
  <c r="M52" i="2"/>
  <c r="N52" i="2" s="1"/>
  <c r="O52" i="2" s="1"/>
  <c r="P52" i="2" s="1"/>
  <c r="R52" i="2" s="1"/>
  <c r="U52" i="2" s="1"/>
  <c r="V52" i="2" s="1"/>
  <c r="M36" i="2"/>
  <c r="N36" i="2" s="1"/>
  <c r="O36" i="2" s="1"/>
  <c r="P36" i="2" s="1"/>
  <c r="R36" i="2" s="1"/>
  <c r="U36" i="2" s="1"/>
  <c r="V36" i="2" s="1"/>
  <c r="M43" i="2"/>
  <c r="N43" i="2" s="1"/>
  <c r="O43" i="2" s="1"/>
  <c r="P43" i="2" s="1"/>
  <c r="R43" i="2" s="1"/>
  <c r="U43" i="2" s="1"/>
  <c r="V43" i="2" s="1"/>
  <c r="M22" i="2"/>
  <c r="N22" i="2" s="1"/>
  <c r="O22" i="2" s="1"/>
  <c r="P22" i="2" s="1"/>
  <c r="M40" i="2"/>
  <c r="N40" i="2" s="1"/>
  <c r="O40" i="2" s="1"/>
  <c r="P40" i="2" s="1"/>
  <c r="R40" i="2" s="1"/>
  <c r="U40" i="2" s="1"/>
  <c r="V40" i="2" s="1"/>
  <c r="M64" i="2"/>
  <c r="N64" i="2" s="1"/>
  <c r="O64" i="2" s="1"/>
  <c r="P64" i="2" s="1"/>
  <c r="R64" i="2" s="1"/>
  <c r="U64" i="2" s="1"/>
  <c r="V64" i="2" s="1"/>
  <c r="M92" i="2"/>
  <c r="N92" i="2" s="1"/>
  <c r="O92" i="2" s="1"/>
  <c r="P92" i="2" s="1"/>
  <c r="M55" i="2"/>
  <c r="N55" i="2" s="1"/>
  <c r="O55" i="2" s="1"/>
  <c r="P55" i="2" s="1"/>
  <c r="R55" i="2" s="1"/>
  <c r="U55" i="2" s="1"/>
  <c r="V55" i="2" s="1"/>
  <c r="M46" i="2"/>
  <c r="N46" i="2" s="1"/>
  <c r="O46" i="2" s="1"/>
  <c r="P46" i="2" s="1"/>
  <c r="R46" i="2" s="1"/>
  <c r="U46" i="2" s="1"/>
  <c r="V46" i="2" s="1"/>
  <c r="M47" i="2"/>
  <c r="N47" i="2" s="1"/>
  <c r="O47" i="2" s="1"/>
  <c r="P47" i="2" s="1"/>
  <c r="R47" i="2" s="1"/>
  <c r="U47" i="2" s="1"/>
  <c r="V47" i="2" s="1"/>
  <c r="M65" i="2"/>
  <c r="N65" i="2" s="1"/>
  <c r="O65" i="2" s="1"/>
  <c r="P65" i="2" s="1"/>
  <c r="H115" i="3"/>
  <c r="I115" i="3" s="1"/>
  <c r="M21" i="2"/>
  <c r="N21" i="2" s="1"/>
  <c r="O21" i="2" s="1"/>
  <c r="P21" i="2" s="1"/>
  <c r="M68" i="2"/>
  <c r="N68" i="2" s="1"/>
  <c r="O68" i="2" s="1"/>
  <c r="P68" i="2" s="1"/>
  <c r="M11" i="2"/>
  <c r="N11" i="2" s="1"/>
  <c r="O11" i="2" s="1"/>
  <c r="P11" i="2" s="1"/>
  <c r="M23" i="2"/>
  <c r="N23" i="2" s="1"/>
  <c r="O23" i="2" s="1"/>
  <c r="P23" i="2" s="1"/>
  <c r="M12" i="2"/>
  <c r="N12" i="2" s="1"/>
  <c r="O12" i="2" s="1"/>
  <c r="P12" i="2" s="1"/>
  <c r="M87" i="2"/>
  <c r="N87" i="2" s="1"/>
  <c r="O87" i="2" s="1"/>
  <c r="P87" i="2" s="1"/>
  <c r="M61" i="2"/>
  <c r="N61" i="2" s="1"/>
  <c r="O61" i="2" s="1"/>
  <c r="P61" i="2" s="1"/>
  <c r="R61" i="2" s="1"/>
  <c r="U61" i="2" s="1"/>
  <c r="V61" i="2" s="1"/>
  <c r="M44" i="2"/>
  <c r="N44" i="2" s="1"/>
  <c r="O44" i="2" s="1"/>
  <c r="P44" i="2" s="1"/>
  <c r="M32" i="2"/>
  <c r="M20" i="2"/>
  <c r="N20" i="2" s="1"/>
  <c r="O20" i="2" s="1"/>
  <c r="P20" i="2" s="1"/>
  <c r="M59" i="2"/>
  <c r="N59" i="2" s="1"/>
  <c r="O59" i="2" s="1"/>
  <c r="P59" i="2" s="1"/>
  <c r="M50" i="2"/>
  <c r="N50" i="2" s="1"/>
  <c r="O50" i="2" s="1"/>
  <c r="P50" i="2" s="1"/>
  <c r="M81" i="2"/>
  <c r="N81" i="2" s="1"/>
  <c r="O81" i="2" s="1"/>
  <c r="P81" i="2" s="1"/>
  <c r="M62" i="2"/>
  <c r="N62" i="2" s="1"/>
  <c r="O62" i="2" s="1"/>
  <c r="P62" i="2" s="1"/>
  <c r="R62" i="2" s="1"/>
  <c r="U62" i="2" s="1"/>
  <c r="V62" i="2" s="1"/>
  <c r="M96" i="2"/>
  <c r="N96" i="2" s="1"/>
  <c r="O96" i="2" s="1"/>
  <c r="P96" i="2" s="1"/>
  <c r="R96" i="2" s="1"/>
  <c r="U96" i="2" s="1"/>
  <c r="V96" i="2" s="1"/>
  <c r="M95" i="2"/>
  <c r="N95" i="2" s="1"/>
  <c r="O95" i="2" s="1"/>
  <c r="P95" i="2" s="1"/>
  <c r="R95" i="2" s="1"/>
  <c r="U95" i="2" s="1"/>
  <c r="V95" i="2" s="1"/>
  <c r="M79" i="2"/>
  <c r="N79" i="2" s="1"/>
  <c r="O79" i="2" s="1"/>
  <c r="P79" i="2" s="1"/>
  <c r="M89" i="2"/>
  <c r="N89" i="2" s="1"/>
  <c r="O89" i="2" s="1"/>
  <c r="P89" i="2" s="1"/>
  <c r="M97" i="2"/>
  <c r="N97" i="2" s="1"/>
  <c r="O97" i="2" s="1"/>
  <c r="P97" i="2" s="1"/>
  <c r="M38" i="2"/>
  <c r="N38" i="2" s="1"/>
  <c r="O38" i="2" s="1"/>
  <c r="P38" i="2" s="1"/>
  <c r="M17" i="2"/>
  <c r="N17" i="2" s="1"/>
  <c r="O17" i="2" s="1"/>
  <c r="P17" i="2" s="1"/>
  <c r="M70" i="2"/>
  <c r="N70" i="2" s="1"/>
  <c r="O70" i="2" s="1"/>
  <c r="P70" i="2" s="1"/>
  <c r="M24" i="2"/>
  <c r="N24" i="2" s="1"/>
  <c r="O24" i="2" s="1"/>
  <c r="P24" i="2" s="1"/>
  <c r="M84" i="2"/>
  <c r="N84" i="2" s="1"/>
  <c r="O84" i="2" s="1"/>
  <c r="P84" i="2" s="1"/>
  <c r="M72" i="2"/>
  <c r="N72" i="2" s="1"/>
  <c r="O72" i="2" s="1"/>
  <c r="P72" i="2" s="1"/>
  <c r="M78" i="2"/>
  <c r="N78" i="2" s="1"/>
  <c r="O78" i="2" s="1"/>
  <c r="P78" i="2" s="1"/>
  <c r="M77" i="2"/>
  <c r="N77" i="2" s="1"/>
  <c r="O77" i="2" s="1"/>
  <c r="P77" i="2" s="1"/>
  <c r="M75" i="2"/>
  <c r="N75" i="2" s="1"/>
  <c r="O75" i="2" s="1"/>
  <c r="P75" i="2" s="1"/>
  <c r="M10" i="2"/>
  <c r="M14" i="2"/>
  <c r="N14" i="2" s="1"/>
  <c r="O14" i="2" s="1"/>
  <c r="P14" i="2" s="1"/>
  <c r="M80" i="2"/>
  <c r="N80" i="2" s="1"/>
  <c r="O80" i="2" s="1"/>
  <c r="P80" i="2" s="1"/>
  <c r="M57" i="2"/>
  <c r="N57" i="2" s="1"/>
  <c r="O57" i="2" s="1"/>
  <c r="P57" i="2" s="1"/>
  <c r="M69" i="2"/>
  <c r="N69" i="2" s="1"/>
  <c r="O69" i="2" s="1"/>
  <c r="P69" i="2" s="1"/>
  <c r="M71" i="2"/>
  <c r="N71" i="2" s="1"/>
  <c r="O71" i="2" s="1"/>
  <c r="P71" i="2" s="1"/>
  <c r="M35" i="2"/>
  <c r="N35" i="2" s="1"/>
  <c r="O35" i="2" s="1"/>
  <c r="P35" i="2" s="1"/>
  <c r="M86" i="2"/>
  <c r="N86" i="2" s="1"/>
  <c r="O86" i="2" s="1"/>
  <c r="P86" i="2" s="1"/>
  <c r="M15" i="2"/>
  <c r="N15" i="2" s="1"/>
  <c r="O15" i="2" s="1"/>
  <c r="P15" i="2" s="1"/>
  <c r="M74" i="2"/>
  <c r="N74" i="2" s="1"/>
  <c r="O74" i="2" s="1"/>
  <c r="P74" i="2" s="1"/>
  <c r="M16" i="2"/>
  <c r="N16" i="2" s="1"/>
  <c r="O16" i="2" s="1"/>
  <c r="P16" i="2" s="1"/>
  <c r="M83" i="2"/>
  <c r="N83" i="2" s="1"/>
  <c r="O83" i="2" s="1"/>
  <c r="P83" i="2" s="1"/>
  <c r="R90" i="2" l="1"/>
  <c r="U90" i="2" s="1"/>
  <c r="V90" i="2" s="1"/>
  <c r="R65" i="2"/>
  <c r="U65" i="2" s="1"/>
  <c r="V65" i="2" s="1"/>
  <c r="R92" i="2"/>
  <c r="U92" i="2" s="1"/>
  <c r="V92" i="2" s="1"/>
  <c r="D95" i="3"/>
  <c r="F95" i="3" s="1"/>
  <c r="S86" i="2" s="1"/>
  <c r="R86" i="2"/>
  <c r="U86" i="2" s="1"/>
  <c r="V86" i="2" s="1"/>
  <c r="R57" i="2"/>
  <c r="U57" i="2" s="1"/>
  <c r="V57" i="2" s="1"/>
  <c r="D75" i="3"/>
  <c r="F75" i="3" s="1"/>
  <c r="D83" i="3"/>
  <c r="F83" i="3" s="1"/>
  <c r="S75" i="2" s="1"/>
  <c r="R75" i="2"/>
  <c r="U75" i="2" s="1"/>
  <c r="V75" i="2" s="1"/>
  <c r="D80" i="3"/>
  <c r="F80" i="3" s="1"/>
  <c r="S72" i="2" s="1"/>
  <c r="R72" i="2"/>
  <c r="U72" i="2" s="1"/>
  <c r="V72" i="2" s="1"/>
  <c r="R17" i="2"/>
  <c r="U17" i="2" s="1"/>
  <c r="V17" i="2" s="1"/>
  <c r="D17" i="3"/>
  <c r="F17" i="3" s="1"/>
  <c r="S17" i="2" s="1"/>
  <c r="R79" i="2"/>
  <c r="U79" i="2" s="1"/>
  <c r="V79" i="2" s="1"/>
  <c r="D85" i="3"/>
  <c r="R81" i="2"/>
  <c r="U81" i="2" s="1"/>
  <c r="V81" i="2" s="1"/>
  <c r="D87" i="3"/>
  <c r="F87" i="3" s="1"/>
  <c r="N32" i="2"/>
  <c r="M100" i="2"/>
  <c r="E114" i="2" s="1"/>
  <c r="D25" i="3"/>
  <c r="F25" i="3" s="1"/>
  <c r="S12" i="2" s="1"/>
  <c r="R12" i="2"/>
  <c r="U12" i="2" s="1"/>
  <c r="V12" i="2" s="1"/>
  <c r="R21" i="2"/>
  <c r="U21" i="2" s="1"/>
  <c r="V21" i="2" s="1"/>
  <c r="D21" i="3"/>
  <c r="R13" i="2"/>
  <c r="U13" i="2" s="1"/>
  <c r="V13" i="2" s="1"/>
  <c r="D24" i="3"/>
  <c r="F24" i="3" s="1"/>
  <c r="S13" i="2" s="1"/>
  <c r="R73" i="2"/>
  <c r="U73" i="2" s="1"/>
  <c r="V73" i="2" s="1"/>
  <c r="D81" i="3"/>
  <c r="F81" i="3" s="1"/>
  <c r="S73" i="2" s="1"/>
  <c r="D71" i="3"/>
  <c r="F71" i="3" s="1"/>
  <c r="R35" i="2"/>
  <c r="U35" i="2" s="1"/>
  <c r="V35" i="2" s="1"/>
  <c r="D120" i="3"/>
  <c r="F120" i="3" s="1"/>
  <c r="S77" i="2" s="1"/>
  <c r="R77" i="2"/>
  <c r="U77" i="2" s="1"/>
  <c r="V77" i="2" s="1"/>
  <c r="R38" i="2"/>
  <c r="U38" i="2" s="1"/>
  <c r="V38" i="2" s="1"/>
  <c r="D72" i="3"/>
  <c r="F72" i="3" s="1"/>
  <c r="D74" i="3"/>
  <c r="F74" i="3" s="1"/>
  <c r="R50" i="2"/>
  <c r="U50" i="2" s="1"/>
  <c r="V50" i="2" s="1"/>
  <c r="D33" i="3"/>
  <c r="F33" i="3" s="1"/>
  <c r="S23" i="2" s="1"/>
  <c r="R23" i="2"/>
  <c r="U23" i="2" s="1"/>
  <c r="V23" i="2" s="1"/>
  <c r="R22" i="2"/>
  <c r="U22" i="2" s="1"/>
  <c r="V22" i="2" s="1"/>
  <c r="D28" i="3"/>
  <c r="F28" i="3" s="1"/>
  <c r="S22" i="2" s="1"/>
  <c r="R19" i="2"/>
  <c r="U19" i="2" s="1"/>
  <c r="V19" i="2" s="1"/>
  <c r="D19" i="3"/>
  <c r="F19" i="3" s="1"/>
  <c r="S19" i="2" s="1"/>
  <c r="D18" i="3"/>
  <c r="F18" i="3" s="1"/>
  <c r="S18" i="2" s="1"/>
  <c r="R18" i="2"/>
  <c r="U18" i="2" s="1"/>
  <c r="V18" i="2" s="1"/>
  <c r="R16" i="2"/>
  <c r="U16" i="2" s="1"/>
  <c r="V16" i="2" s="1"/>
  <c r="D16" i="3"/>
  <c r="F16" i="3" s="1"/>
  <c r="S16" i="2" s="1"/>
  <c r="R80" i="2"/>
  <c r="U80" i="2" s="1"/>
  <c r="V80" i="2" s="1"/>
  <c r="D86" i="3"/>
  <c r="R84" i="2"/>
  <c r="U84" i="2" s="1"/>
  <c r="V84" i="2" s="1"/>
  <c r="D93" i="3"/>
  <c r="F93" i="3" s="1"/>
  <c r="S84" i="2" s="1"/>
  <c r="D73" i="3"/>
  <c r="F73" i="3" s="1"/>
  <c r="R44" i="2"/>
  <c r="U44" i="2" s="1"/>
  <c r="V44" i="2" s="1"/>
  <c r="R74" i="2"/>
  <c r="U74" i="2" s="1"/>
  <c r="V74" i="2" s="1"/>
  <c r="D82" i="3"/>
  <c r="F82" i="3" s="1"/>
  <c r="S74" i="2" s="1"/>
  <c r="D114" i="3"/>
  <c r="R71" i="2"/>
  <c r="U71" i="2" s="1"/>
  <c r="V71" i="2" s="1"/>
  <c r="R14" i="2"/>
  <c r="U14" i="2" s="1"/>
  <c r="V14" i="2" s="1"/>
  <c r="D14" i="3"/>
  <c r="D9" i="3"/>
  <c r="D23" i="3" s="1"/>
  <c r="F23" i="3" s="1"/>
  <c r="R24" i="2"/>
  <c r="U24" i="2" s="1"/>
  <c r="V24" i="2" s="1"/>
  <c r="R97" i="2"/>
  <c r="U97" i="2" s="1"/>
  <c r="V97" i="2" s="1"/>
  <c r="D50" i="3"/>
  <c r="R59" i="2"/>
  <c r="U59" i="2" s="1"/>
  <c r="V59" i="2" s="1"/>
  <c r="D76" i="3"/>
  <c r="F76" i="3" s="1"/>
  <c r="R11" i="2"/>
  <c r="U11" i="2" s="1"/>
  <c r="V11" i="2" s="1"/>
  <c r="D12" i="3"/>
  <c r="D29" i="3" s="1"/>
  <c r="R76" i="2"/>
  <c r="U76" i="2" s="1"/>
  <c r="V76" i="2" s="1"/>
  <c r="D118" i="3"/>
  <c r="F118" i="3" s="1"/>
  <c r="S76" i="2" s="1"/>
  <c r="D51" i="3"/>
  <c r="F51" i="3" s="1"/>
  <c r="S98" i="2" s="1"/>
  <c r="R98" i="2"/>
  <c r="U98" i="2" s="1"/>
  <c r="V98" i="2" s="1"/>
  <c r="R85" i="2"/>
  <c r="U85" i="2" s="1"/>
  <c r="V85" i="2" s="1"/>
  <c r="D94" i="3"/>
  <c r="F94" i="3" s="1"/>
  <c r="S85" i="2" s="1"/>
  <c r="R83" i="2"/>
  <c r="U83" i="2" s="1"/>
  <c r="V83" i="2" s="1"/>
  <c r="D92" i="3"/>
  <c r="F92" i="3" s="1"/>
  <c r="S83" i="2" s="1"/>
  <c r="D15" i="3"/>
  <c r="F15" i="3" s="1"/>
  <c r="S15" i="2" s="1"/>
  <c r="R15" i="2"/>
  <c r="U15" i="2" s="1"/>
  <c r="V15" i="2" s="1"/>
  <c r="D112" i="3"/>
  <c r="D115" i="3" s="1"/>
  <c r="F115" i="3" s="1"/>
  <c r="R69" i="2"/>
  <c r="U69" i="2" s="1"/>
  <c r="V69" i="2" s="1"/>
  <c r="M27" i="2"/>
  <c r="E113" i="2" s="1"/>
  <c r="N10" i="2"/>
  <c r="R78" i="2"/>
  <c r="U78" i="2" s="1"/>
  <c r="V78" i="2" s="1"/>
  <c r="D84" i="3"/>
  <c r="F84" i="3" s="1"/>
  <c r="S78" i="2" s="1"/>
  <c r="R70" i="2"/>
  <c r="U70" i="2" s="1"/>
  <c r="V70" i="2" s="1"/>
  <c r="D113" i="3"/>
  <c r="D101" i="3"/>
  <c r="R89" i="2"/>
  <c r="U89" i="2" s="1"/>
  <c r="V89" i="2" s="1"/>
  <c r="D20" i="3"/>
  <c r="F20" i="3" s="1"/>
  <c r="S20" i="2" s="1"/>
  <c r="R20" i="2"/>
  <c r="U20" i="2" s="1"/>
  <c r="V20" i="2" s="1"/>
  <c r="D98" i="3"/>
  <c r="F98" i="3" s="1"/>
  <c r="S87" i="2" s="1"/>
  <c r="R87" i="2"/>
  <c r="U87" i="2" s="1"/>
  <c r="V87" i="2" s="1"/>
  <c r="R68" i="2"/>
  <c r="U68" i="2" s="1"/>
  <c r="V68" i="2" s="1"/>
  <c r="D77" i="3"/>
  <c r="F77" i="3" s="1"/>
  <c r="D91" i="3"/>
  <c r="F91" i="3" s="1"/>
  <c r="S82" i="2" s="1"/>
  <c r="R82" i="2"/>
  <c r="U82" i="2" s="1"/>
  <c r="V82" i="2" s="1"/>
  <c r="S81" i="2" l="1"/>
  <c r="E115" i="2"/>
  <c r="E122" i="2" s="1"/>
  <c r="D121" i="3"/>
  <c r="F121" i="3" s="1"/>
  <c r="D128" i="3"/>
  <c r="F128" i="3" s="1"/>
  <c r="F9" i="3"/>
  <c r="S24" i="2" s="1"/>
  <c r="D32" i="3"/>
  <c r="F32" i="3" s="1"/>
  <c r="D31" i="3"/>
  <c r="F31" i="3" s="1"/>
  <c r="D30" i="3"/>
  <c r="F30" i="3" s="1"/>
  <c r="S67" i="2"/>
  <c r="S64" i="2"/>
  <c r="S68" i="2"/>
  <c r="S66" i="2"/>
  <c r="S65" i="2"/>
  <c r="F113" i="3"/>
  <c r="S70" i="2" s="1"/>
  <c r="D126" i="3"/>
  <c r="F126" i="3" s="1"/>
  <c r="D119" i="3"/>
  <c r="F119" i="3" s="1"/>
  <c r="N27" i="2"/>
  <c r="O10" i="2"/>
  <c r="S63" i="2"/>
  <c r="S60" i="2"/>
  <c r="S62" i="2"/>
  <c r="S59" i="2"/>
  <c r="S61" i="2"/>
  <c r="D135" i="3"/>
  <c r="F135" i="3" s="1"/>
  <c r="F114" i="3"/>
  <c r="S71" i="2" s="1"/>
  <c r="D127" i="3"/>
  <c r="F127" i="3" s="1"/>
  <c r="D132" i="3"/>
  <c r="F132" i="3" s="1"/>
  <c r="S42" i="2"/>
  <c r="S43" i="2"/>
  <c r="S41" i="2"/>
  <c r="S38" i="2"/>
  <c r="S40" i="2"/>
  <c r="S39" i="2"/>
  <c r="F12" i="3"/>
  <c r="S11" i="2" s="1"/>
  <c r="F29" i="3"/>
  <c r="D38" i="3"/>
  <c r="F38" i="3" s="1"/>
  <c r="D36" i="3"/>
  <c r="F36" i="3" s="1"/>
  <c r="F50" i="3"/>
  <c r="S97" i="2" s="1"/>
  <c r="D37" i="3"/>
  <c r="F37" i="3" s="1"/>
  <c r="F14" i="3"/>
  <c r="S14" i="2" s="1"/>
  <c r="S35" i="2"/>
  <c r="S36" i="2"/>
  <c r="S37" i="2"/>
  <c r="F101" i="3"/>
  <c r="D104" i="3"/>
  <c r="F104" i="3" s="1"/>
  <c r="D107" i="3"/>
  <c r="F107" i="3" s="1"/>
  <c r="S96" i="2" s="1"/>
  <c r="D106" i="3"/>
  <c r="F106" i="3" s="1"/>
  <c r="S88" i="2" s="1"/>
  <c r="F112" i="3"/>
  <c r="S69" i="2" s="1"/>
  <c r="D125" i="3"/>
  <c r="F125" i="3" s="1"/>
  <c r="F86" i="3"/>
  <c r="S80" i="2" s="1"/>
  <c r="D97" i="3"/>
  <c r="F97" i="3" s="1"/>
  <c r="F21" i="3"/>
  <c r="S21" i="2" s="1"/>
  <c r="D22" i="3"/>
  <c r="M102" i="2"/>
  <c r="D96" i="3"/>
  <c r="F96" i="3" s="1"/>
  <c r="F85" i="3"/>
  <c r="S79" i="2" s="1"/>
  <c r="S58" i="2"/>
  <c r="S57" i="2"/>
  <c r="S48" i="2"/>
  <c r="S44" i="2"/>
  <c r="S46" i="2"/>
  <c r="S49" i="2"/>
  <c r="S45" i="2"/>
  <c r="S47" i="2"/>
  <c r="S52" i="2"/>
  <c r="S54" i="2"/>
  <c r="S56" i="2"/>
  <c r="S51" i="2"/>
  <c r="S50" i="2"/>
  <c r="S53" i="2"/>
  <c r="S55" i="2"/>
  <c r="O32" i="2"/>
  <c r="N100" i="2"/>
  <c r="G113" i="2" l="1"/>
  <c r="G114" i="2"/>
  <c r="F22" i="3"/>
  <c r="S25" i="2"/>
  <c r="N102" i="2"/>
  <c r="O100" i="2"/>
  <c r="P32" i="2"/>
  <c r="S91" i="2"/>
  <c r="S89" i="2"/>
  <c r="S93" i="2"/>
  <c r="S94" i="2"/>
  <c r="S90" i="2"/>
  <c r="S92" i="2"/>
  <c r="S95" i="2"/>
  <c r="O27" i="2"/>
  <c r="P10" i="2"/>
  <c r="R10" i="2" s="1"/>
  <c r="G115" i="2" l="1"/>
  <c r="R32" i="2"/>
  <c r="D70" i="3"/>
  <c r="F70" i="3" s="1"/>
  <c r="O102" i="2"/>
  <c r="D13" i="3"/>
  <c r="F13" i="3" s="1"/>
  <c r="S10" i="2" s="1"/>
  <c r="S34" i="2" l="1"/>
  <c r="S32" i="2"/>
  <c r="S33" i="2"/>
  <c r="U10" i="2"/>
  <c r="V10" i="2" s="1"/>
  <c r="U32" i="2"/>
  <c r="V32" i="2" s="1"/>
  <c r="V100" i="2" l="1"/>
  <c r="L107" i="2" s="1"/>
  <c r="M107" i="2" s="1"/>
  <c r="U100" i="2"/>
  <c r="U27" i="2"/>
  <c r="V27" i="2"/>
  <c r="L106" i="2" s="1"/>
  <c r="M106" i="2" l="1"/>
  <c r="L108" i="2"/>
  <c r="U102" i="2"/>
  <c r="V102" i="2"/>
  <c r="V103" i="2" s="1"/>
</calcChain>
</file>

<file path=xl/comments1.xml><?xml version="1.0" encoding="utf-8"?>
<comments xmlns="http://schemas.openxmlformats.org/spreadsheetml/2006/main">
  <authors>
    <author>Lindsay Waldram</author>
    <author>Ben Thompson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Revenue per Price Out workpaper.  Copy and pasted values to maintain data integrity.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This service is not listed in the Meeks weight.  Used the % increase between 5 &amp; 6 cans to determine the step increase for 7 cans.</t>
        </r>
      </text>
    </comment>
    <comment ref="L110" authorId="1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charset val="1"/>
          </rPr>
          <t xml:space="preserve">
11/13/2018 2:46:35 PM
From the general filing.  No need to change.</t>
        </r>
      </text>
    </comment>
  </commentList>
</comments>
</file>

<file path=xl/comments2.xml><?xml version="1.0" encoding="utf-8"?>
<comments xmlns="http://schemas.openxmlformats.org/spreadsheetml/2006/main">
  <authors>
    <author>Lindsay Waldram</author>
    <author>HeatherL</author>
  </authors>
  <commentList>
    <comment ref="E7" author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G7" author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J7" author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M7" author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P7" author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S7" authorId="0">
      <text>
        <r>
          <rPr>
            <sz val="9"/>
            <color indexed="81"/>
            <rFont val="Tahoma"/>
            <family val="2"/>
          </rPr>
          <t>Rates were obtained from the Price Out.  Copy and pasted values to maintain data integrity.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7" authorId="0">
      <text>
        <r>
          <rPr>
            <sz val="9"/>
            <color indexed="81"/>
            <rFont val="Tahoma"/>
            <family val="2"/>
          </rPr>
          <t>Revenue was obtained from the Price Out.  Copy and pasted values to maintain data integrity.</t>
        </r>
      </text>
    </comment>
    <comment ref="B126" authorId="1">
      <text>
        <r>
          <rPr>
            <b/>
            <sz val="8"/>
            <color indexed="81"/>
            <rFont val="Tahoma"/>
            <family val="2"/>
          </rPr>
          <t>HeatherL:</t>
        </r>
        <r>
          <rPr>
            <sz val="8"/>
            <color indexed="81"/>
            <rFont val="Tahoma"/>
            <family val="2"/>
          </rPr>
          <t xml:space="preserve">
Camas Walgreens - special compactor haul uses county rates.</t>
        </r>
      </text>
    </comment>
  </commentList>
</comments>
</file>

<file path=xl/comments3.xml><?xml version="1.0" encoding="utf-8"?>
<comments xmlns="http://schemas.openxmlformats.org/spreadsheetml/2006/main">
  <authors>
    <author>Heather Garland</author>
  </authors>
  <commentList>
    <comment ref="D23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No customers.  Assumed standard 32 gallon increase.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Service not offered - assumed 32 gallon weight/increase x2 to approximate 60 gallons.  Will likely remove in next filing.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Service not offered - assumed 32 gallon weight/increase x3 to approximate 90 gallons.  Will likely remove in next filing.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Tariff item is stated "per 50 lbs."</t>
        </r>
      </text>
    </comment>
  </commentList>
</comments>
</file>

<file path=xl/sharedStrings.xml><?xml version="1.0" encoding="utf-8"?>
<sst xmlns="http://schemas.openxmlformats.org/spreadsheetml/2006/main" count="889" uniqueCount="629">
  <si>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</si>
  <si>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</si>
  <si>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</si>
  <si>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</si>
  <si>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</si>
  <si>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</si>
  <si>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</si>
  <si>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</si>
  <si>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</si>
  <si>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</si>
  <si>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</si>
  <si>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</si>
  <si>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</si>
  <si>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</si>
  <si>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</si>
  <si>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</si>
  <si>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Extra Units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</si>
  <si>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</si>
  <si>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</si>
  <si>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</si>
  <si>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</si>
  <si>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</si>
  <si>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</si>
  <si>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</si>
  <si>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</si>
  <si>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</si>
  <si>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</si>
  <si>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5 cans</t>
  </si>
  <si>
    <t>6 cans</t>
  </si>
  <si>
    <t>Annual</t>
  </si>
  <si>
    <t>8 cans</t>
  </si>
  <si>
    <t>40 gallon Can</t>
  </si>
  <si>
    <t>*</t>
  </si>
  <si>
    <t>Supercan 60</t>
  </si>
  <si>
    <t>Supercan 64</t>
  </si>
  <si>
    <t>Supercan 90</t>
  </si>
  <si>
    <t>Supercan 96</t>
  </si>
  <si>
    <t>Once a month</t>
  </si>
  <si>
    <t>Extras</t>
  </si>
  <si>
    <t>Com'l</t>
  </si>
  <si>
    <t>Cans</t>
  </si>
  <si>
    <t>Yards</t>
  </si>
  <si>
    <t>1 yd container</t>
  </si>
  <si>
    <t>1.5 yd container</t>
  </si>
  <si>
    <t>2 yd container</t>
  </si>
  <si>
    <t>3 yd container</t>
  </si>
  <si>
    <t>4 yd container</t>
  </si>
  <si>
    <t>5 yd container</t>
  </si>
  <si>
    <t>6 yd container</t>
  </si>
  <si>
    <t>8 yd container</t>
  </si>
  <si>
    <t>Compaction Ratio:   2:25</t>
  </si>
  <si>
    <t>2 yd packer/compactor</t>
  </si>
  <si>
    <t>4 yd packer/compactor</t>
  </si>
  <si>
    <t>6 yd packer/compactor</t>
  </si>
  <si>
    <t>Compaction Ratio:   3:1</t>
  </si>
  <si>
    <t>3 yd packer/compactor</t>
  </si>
  <si>
    <t>Compaction Ratio:   4:1</t>
  </si>
  <si>
    <t>Compaction Ratio:   5:1</t>
  </si>
  <si>
    <t>Vancouver Hauling</t>
  </si>
  <si>
    <t>Per Pound</t>
  </si>
  <si>
    <t>Gross Up Factors</t>
  </si>
  <si>
    <t>B&amp;O tax</t>
  </si>
  <si>
    <t>WUTC fees</t>
  </si>
  <si>
    <t>Increase</t>
  </si>
  <si>
    <t>Total</t>
  </si>
  <si>
    <t>Transfer Station</t>
  </si>
  <si>
    <t>Increase per ton</t>
  </si>
  <si>
    <t>Factor</t>
  </si>
  <si>
    <t>Disposal Fee Revenue Increase</t>
  </si>
  <si>
    <t>Rates</t>
  </si>
  <si>
    <t>Revenue</t>
  </si>
  <si>
    <t>Annual Customer Count</t>
  </si>
  <si>
    <t>Monthly Frequency</t>
  </si>
  <si>
    <t>Annual PU's</t>
  </si>
  <si>
    <t>Calculated Annual Pounds</t>
  </si>
  <si>
    <t>Adjusted Annual Pounds</t>
  </si>
  <si>
    <t>RESIDENTIAL SERVICES</t>
  </si>
  <si>
    <t>Residential Garbage</t>
  </si>
  <si>
    <t>CRMCEOW</t>
  </si>
  <si>
    <t>20GAL CAN EOW</t>
  </si>
  <si>
    <t>CRMC</t>
  </si>
  <si>
    <t>20GAL CAN WEEKLY</t>
  </si>
  <si>
    <t>CREOW</t>
  </si>
  <si>
    <t>1 32GAL CAN EOW</t>
  </si>
  <si>
    <t>CR32MO</t>
  </si>
  <si>
    <t>1 32GAL CAN ONCE A MTH</t>
  </si>
  <si>
    <t>CR32W1</t>
  </si>
  <si>
    <t>1 32GAL CAN WEEKLY</t>
  </si>
  <si>
    <t>CR32W2</t>
  </si>
  <si>
    <t>2-32GAL CANS WEEKLY</t>
  </si>
  <si>
    <t>CR32W3</t>
  </si>
  <si>
    <t>3-32GAL CANS WEEKLY</t>
  </si>
  <si>
    <t>CR32W4</t>
  </si>
  <si>
    <t>4-32GAL CANS WEEKLY</t>
  </si>
  <si>
    <t>CR32W5</t>
  </si>
  <si>
    <t>5-32GAL CANS WEEKLY</t>
  </si>
  <si>
    <t>CR32W6</t>
  </si>
  <si>
    <t>6-32GAL CANS WEEKLY</t>
  </si>
  <si>
    <t>CR32W7</t>
  </si>
  <si>
    <t>7-32GAL CANS WEEKLY</t>
  </si>
  <si>
    <t>CR32W8</t>
  </si>
  <si>
    <t>8-32GAL CANS WEEKLY</t>
  </si>
  <si>
    <t>9-32GAL CANS WEEKLY</t>
  </si>
  <si>
    <t>RREXC</t>
  </si>
  <si>
    <t>EXTRA CANS, BAGS,BOXES</t>
  </si>
  <si>
    <t>RRCALL</t>
  </si>
  <si>
    <t>ON CALL CAN</t>
  </si>
  <si>
    <t>ROFOW</t>
  </si>
  <si>
    <t>OVERWGHT-OVERFILL CAN</t>
  </si>
  <si>
    <t>COFOW</t>
  </si>
  <si>
    <t>TOTAL RESIDENTIAL SERVICES</t>
  </si>
  <si>
    <t xml:space="preserve">COMMERCIAL SERVICES </t>
  </si>
  <si>
    <t>Commercial Garbage</t>
  </si>
  <si>
    <t>CC1Y1W</t>
  </si>
  <si>
    <t>1YD CONT 1X WEEKLY</t>
  </si>
  <si>
    <t>CC1Y2W</t>
  </si>
  <si>
    <t>1YD CONT 2X WEEKLY</t>
  </si>
  <si>
    <t>CC1YEOW</t>
  </si>
  <si>
    <t>1YD CONTAINER EOW</t>
  </si>
  <si>
    <t>CC15Y1W</t>
  </si>
  <si>
    <t>1.5YD CONT 1X WEEKLY</t>
  </si>
  <si>
    <t>CC15Y2W</t>
  </si>
  <si>
    <t>1.5YD CONT 2X WEEKLY</t>
  </si>
  <si>
    <t>CC15YEOW</t>
  </si>
  <si>
    <t>1.5YD CONTAINER EOW</t>
  </si>
  <si>
    <t>CC2Y1W</t>
  </si>
  <si>
    <t>2YD CONT 1X WEEKLY</t>
  </si>
  <si>
    <t>CC2Y2W</t>
  </si>
  <si>
    <t>2YD CONT 2X WEEKLY</t>
  </si>
  <si>
    <t>CC2Y3W</t>
  </si>
  <si>
    <t>2YD CONT 3X WEEKLY</t>
  </si>
  <si>
    <t>CC2Y4W</t>
  </si>
  <si>
    <t>2YD CONT 4X WEEKLY</t>
  </si>
  <si>
    <t>CC2Y5W</t>
  </si>
  <si>
    <t>2YD CONT 5X WEEKLY</t>
  </si>
  <si>
    <t>CC2YEOW</t>
  </si>
  <si>
    <t>2YD CONTAINER EOW</t>
  </si>
  <si>
    <t>CC3Y1W</t>
  </si>
  <si>
    <t>3YD CONT 1X WEEKLY</t>
  </si>
  <si>
    <t>CC3Y2W</t>
  </si>
  <si>
    <t>3YD CONT 2X WEEKLY</t>
  </si>
  <si>
    <t>CC3Y3W</t>
  </si>
  <si>
    <t>3YD CONT 3X WEEKLY</t>
  </si>
  <si>
    <t>CC3Y4W</t>
  </si>
  <si>
    <t>3YD CONT 4X WEEKLY</t>
  </si>
  <si>
    <t>CC3Y5W</t>
  </si>
  <si>
    <t>3YD CONT 5X WEEKLY</t>
  </si>
  <si>
    <t>CC3YEOW</t>
  </si>
  <si>
    <t>3YD CONTAINER EOW</t>
  </si>
  <si>
    <t>CC4Y1W</t>
  </si>
  <si>
    <t>4YD CONT 1X WEEKLY</t>
  </si>
  <si>
    <t>CC4Y2W</t>
  </si>
  <si>
    <t>4YD CONT 2X WEEKLY</t>
  </si>
  <si>
    <t>CC4Y3W</t>
  </si>
  <si>
    <t>4YD CONT 3X WEEKLY</t>
  </si>
  <si>
    <t>CC4Y4W</t>
  </si>
  <si>
    <t>4YD CONT 4X WEEKLY</t>
  </si>
  <si>
    <t>CC4Y5W</t>
  </si>
  <si>
    <t>4YD CONT 5X WEEKLY</t>
  </si>
  <si>
    <t>CC4Y6W</t>
  </si>
  <si>
    <t>4YD CONT 6X WEEKLY</t>
  </si>
  <si>
    <t>CC4YEOW</t>
  </si>
  <si>
    <t>4YD CONTAINER EOW</t>
  </si>
  <si>
    <t>CC5Y1W</t>
  </si>
  <si>
    <t>5YD CONT 1X WEEKLY</t>
  </si>
  <si>
    <t>CC5YEOW</t>
  </si>
  <si>
    <t>5YD CONTAINER EOW</t>
  </si>
  <si>
    <t>CC6Y1W</t>
  </si>
  <si>
    <t>6YD CONT 1X WEEKLY</t>
  </si>
  <si>
    <t>CC6Y2W</t>
  </si>
  <si>
    <t>6YD CONT 2X WEEKLY</t>
  </si>
  <si>
    <t>CC6Y3W</t>
  </si>
  <si>
    <t>6YD CONT 3X WEEKLY</t>
  </si>
  <si>
    <t>CC6Y5W</t>
  </si>
  <si>
    <t>6YD CONT 5X WEEKLY</t>
  </si>
  <si>
    <t>CC6YEOW</t>
  </si>
  <si>
    <t>6YD CONTAINER EOW</t>
  </si>
  <si>
    <t>CC8Y1W</t>
  </si>
  <si>
    <t>8YD CONT 1X WEEKLY</t>
  </si>
  <si>
    <t>CC8Y2W</t>
  </si>
  <si>
    <t>8YD CONT 2X WEEKLY</t>
  </si>
  <si>
    <t>CC8Y3W</t>
  </si>
  <si>
    <t>8YD CONT 3X WEEKLY</t>
  </si>
  <si>
    <t>CC8Y4W</t>
  </si>
  <si>
    <t>8YD CONT 4X WEEKLY</t>
  </si>
  <si>
    <t>CC8YEOW</t>
  </si>
  <si>
    <t>8YD CONTAINER EOW</t>
  </si>
  <si>
    <t>CCCMP2Y</t>
  </si>
  <si>
    <t>2YD COMP CONT 1X WKLY</t>
  </si>
  <si>
    <t>CCCMP3Y</t>
  </si>
  <si>
    <t>3YD COMP CONT 1X WKLY</t>
  </si>
  <si>
    <t>CCCMP4Y</t>
  </si>
  <si>
    <t>4YD COMP CONT 1X WKLY</t>
  </si>
  <si>
    <t>CCSP1Y</t>
  </si>
  <si>
    <t>SPECIAL PICKUP 1YD CONT</t>
  </si>
  <si>
    <t>CCSP15Y</t>
  </si>
  <si>
    <t>SPECIAL PICKUP 1.5YD CONT</t>
  </si>
  <si>
    <t>CCSP2Y</t>
  </si>
  <si>
    <t>SPECIAL PICKUP 2YD CONT</t>
  </si>
  <si>
    <t>CCSP3Y</t>
  </si>
  <si>
    <t>SPECIAL PICKUP 3YD CONT</t>
  </si>
  <si>
    <t>VCSP2YC</t>
  </si>
  <si>
    <t>SPECIAL PICKUP 2YD COMP</t>
  </si>
  <si>
    <t>VCSP4YC</t>
  </si>
  <si>
    <t>SPECIAL PICKUP 4YD COMP</t>
  </si>
  <si>
    <t>CCSP4Y</t>
  </si>
  <si>
    <t>SPECIAL PICKUP 4YD CONT</t>
  </si>
  <si>
    <t>CCSP5Y</t>
  </si>
  <si>
    <t>SPECIAL PICKUP 5YD CONT</t>
  </si>
  <si>
    <t>CCSP6Y</t>
  </si>
  <si>
    <t>SPECIAL PICKUP 6YD CONT</t>
  </si>
  <si>
    <t>CCSP8Y</t>
  </si>
  <si>
    <t>SPECIAL PICKUP 8YD CONT</t>
  </si>
  <si>
    <t>CCTP1Y</t>
  </si>
  <si>
    <t>TEMP PICKUP 1YD CONT</t>
  </si>
  <si>
    <t>CCTP15Y</t>
  </si>
  <si>
    <t>TEMP PICKUP 1.5YD CONT</t>
  </si>
  <si>
    <t>CCTP2Y</t>
  </si>
  <si>
    <t>TEMP PICKUP 2YD CONT</t>
  </si>
  <si>
    <t>CCTP3Y</t>
  </si>
  <si>
    <t>TEMP PICKUP 3YD CONT</t>
  </si>
  <si>
    <t>CCTP4Y</t>
  </si>
  <si>
    <t>TEMP PICKUP 4YD CONT</t>
  </si>
  <si>
    <t>CCTP8Y</t>
  </si>
  <si>
    <t>TEMP PICKUP 8YD CONT</t>
  </si>
  <si>
    <t>CC32W1</t>
  </si>
  <si>
    <t>32GAL CAN WEEKLY-COM</t>
  </si>
  <si>
    <t>CC32W2</t>
  </si>
  <si>
    <t>CC32W3</t>
  </si>
  <si>
    <t>CC32W4</t>
  </si>
  <si>
    <t>CC32W5</t>
  </si>
  <si>
    <t>CC32W6</t>
  </si>
  <si>
    <t>CC32W8</t>
  </si>
  <si>
    <t>CC32W9</t>
  </si>
  <si>
    <t>CCEXCAN</t>
  </si>
  <si>
    <t>EXTRA = CANS - COM</t>
  </si>
  <si>
    <t>CCEXYD</t>
  </si>
  <si>
    <t>EXTRA = YARDS</t>
  </si>
  <si>
    <t>RCOF</t>
  </si>
  <si>
    <t>OVERFILLED CONTAINER</t>
  </si>
  <si>
    <t>TOTAL COMMERCIAL SERVICES</t>
  </si>
  <si>
    <t>GRAND TOTAL</t>
  </si>
  <si>
    <t>Adjustment Factor Calculation</t>
  </si>
  <si>
    <t>Clark County</t>
  </si>
  <si>
    <t>Adj lbs</t>
  </si>
  <si>
    <t>Residential</t>
  </si>
  <si>
    <t>Total Tonnage</t>
  </si>
  <si>
    <t>Commercial</t>
  </si>
  <si>
    <t>Total Pounds</t>
  </si>
  <si>
    <t>Non-Regulated</t>
  </si>
  <si>
    <t>Per Ton (Packer)</t>
  </si>
  <si>
    <t>Per Ton (RO)</t>
  </si>
  <si>
    <t>Current</t>
  </si>
  <si>
    <t>Proposed</t>
  </si>
  <si>
    <t>Rate</t>
  </si>
  <si>
    <t>Item 55, pg 16</t>
  </si>
  <si>
    <t>Minimum</t>
  </si>
  <si>
    <t>Item 100, pg 21</t>
  </si>
  <si>
    <t>7 can</t>
  </si>
  <si>
    <t xml:space="preserve">8 can </t>
  </si>
  <si>
    <t>9 can</t>
  </si>
  <si>
    <t>1 can per month</t>
  </si>
  <si>
    <t>1 can every other week</t>
  </si>
  <si>
    <t>Item 100, pg 22</t>
  </si>
  <si>
    <t>Mini-can</t>
  </si>
  <si>
    <t>60-gal toter</t>
  </si>
  <si>
    <t>90-gal toter</t>
  </si>
  <si>
    <t>Bag</t>
  </si>
  <si>
    <t>On Call</t>
  </si>
  <si>
    <t>Item 150, pg 28</t>
  </si>
  <si>
    <t>Loose and Bulky</t>
  </si>
  <si>
    <t>Additional</t>
  </si>
  <si>
    <t>Item 207, pg 32</t>
  </si>
  <si>
    <t>Excess Weight:</t>
  </si>
  <si>
    <t>1 yard</t>
  </si>
  <si>
    <t>5 yard</t>
  </si>
  <si>
    <t>Item 230, pg 34</t>
  </si>
  <si>
    <t>Disposal Fees:</t>
  </si>
  <si>
    <t>Refuse (per ton)</t>
  </si>
  <si>
    <t>All other (per load)</t>
  </si>
  <si>
    <t>Washer/Dryer</t>
  </si>
  <si>
    <t>Refrigerator/Freezer</t>
  </si>
  <si>
    <t>Water Heater</t>
  </si>
  <si>
    <t>Car Tire</t>
  </si>
  <si>
    <t>Car Tire with rim</t>
  </si>
  <si>
    <t>Truck Tire</t>
  </si>
  <si>
    <t>Truck Tire with rim</t>
  </si>
  <si>
    <t>All tires greater</t>
  </si>
  <si>
    <t>Item 240, pg 35</t>
  </si>
  <si>
    <t>2 yard</t>
  </si>
  <si>
    <t xml:space="preserve"> </t>
  </si>
  <si>
    <t xml:space="preserve">Special Pickups: </t>
  </si>
  <si>
    <t>Temporary:</t>
  </si>
  <si>
    <t>Each additional unit</t>
  </si>
  <si>
    <t>3 yard</t>
  </si>
  <si>
    <t>4 yard</t>
  </si>
  <si>
    <t>6 yard</t>
  </si>
  <si>
    <t>Special Pickup:</t>
  </si>
  <si>
    <t>Gross Up</t>
  </si>
  <si>
    <t>Tariff Rate Increase</t>
  </si>
  <si>
    <t>Extra yard</t>
  </si>
  <si>
    <t>Overfilled</t>
  </si>
  <si>
    <t>Calculated Rate</t>
  </si>
  <si>
    <t>Occasional Extra</t>
  </si>
  <si>
    <t>Actual Weight</t>
  </si>
  <si>
    <t>Revised Revenue Increase</t>
  </si>
  <si>
    <t>Disposal Reconciliation</t>
  </si>
  <si>
    <t>Tons</t>
  </si>
  <si>
    <t>Dollars</t>
  </si>
  <si>
    <t>Per GL</t>
  </si>
  <si>
    <t>RO</t>
  </si>
  <si>
    <t>Account</t>
  </si>
  <si>
    <t>RO - Food Waste</t>
  </si>
  <si>
    <t>Waste Works RO - Garbage Only</t>
  </si>
  <si>
    <t>40139</t>
  </si>
  <si>
    <t>RO - Other</t>
  </si>
  <si>
    <t>Waste Works MSW/Comm Garbage Only</t>
  </si>
  <si>
    <t>Waste Works Other (FW, YD, etc)</t>
  </si>
  <si>
    <t>Metro - food waste</t>
  </si>
  <si>
    <t>40131</t>
  </si>
  <si>
    <t>RO Rpt Total</t>
  </si>
  <si>
    <t>IC Triangle/Wasco (Wood, SW, C&amp;D, ASB)</t>
  </si>
  <si>
    <t>40109</t>
  </si>
  <si>
    <t>Variance to Breakout</t>
  </si>
  <si>
    <t>Wood, C&amp;D, YD, Other</t>
  </si>
  <si>
    <t>40101</t>
  </si>
  <si>
    <t>Variance to GL</t>
  </si>
  <si>
    <t>MSW/Comm</t>
  </si>
  <si>
    <t>MSW Food Waste</t>
  </si>
  <si>
    <t>Reconciliation of Pass-Through Expense</t>
  </si>
  <si>
    <t>MSW - Other</t>
  </si>
  <si>
    <t>Pass-Through per Billing</t>
  </si>
  <si>
    <t>Pass-Through in Acct. 40139</t>
  </si>
  <si>
    <t>Pass-Through In Other Accts.</t>
  </si>
  <si>
    <t>MSW/Comm Rpt Total</t>
  </si>
  <si>
    <t>UTC Non-Reg</t>
  </si>
  <si>
    <t>Camas</t>
  </si>
  <si>
    <t>Ridgefield</t>
  </si>
  <si>
    <t>Vancouver</t>
  </si>
  <si>
    <t>Washougal</t>
  </si>
  <si>
    <t>West Vancouver</t>
  </si>
  <si>
    <t>Customer Count</t>
  </si>
  <si>
    <t>RESIDENTIAL GARBAGE</t>
  </si>
  <si>
    <t>RR32W1</t>
  </si>
  <si>
    <t>VRA20EOWCO</t>
  </si>
  <si>
    <t>20Gal Auto Eow-Carryout</t>
  </si>
  <si>
    <t>VRA20WCO</t>
  </si>
  <si>
    <t>20Gal Auto Wkly-Carryout</t>
  </si>
  <si>
    <t>RRMC</t>
  </si>
  <si>
    <t>RR32W2</t>
  </si>
  <si>
    <t>RREOW</t>
  </si>
  <si>
    <t>32GAL CAN EOW-RIDGE</t>
  </si>
  <si>
    <t>RR32MO</t>
  </si>
  <si>
    <t>32GAL CAN MONTHLY</t>
  </si>
  <si>
    <t>RR32W3</t>
  </si>
  <si>
    <t>WRG40EOWHEL15</t>
  </si>
  <si>
    <t>40GAL EOW HELICO 15</t>
  </si>
  <si>
    <t>WRG40EOWHEL20</t>
  </si>
  <si>
    <t>40GAL EOW HELICO 20</t>
  </si>
  <si>
    <t>WRG40EOWROL</t>
  </si>
  <si>
    <t>40GAL EOW ROLLOUT</t>
  </si>
  <si>
    <t>WRG40EOW</t>
  </si>
  <si>
    <t>40GAL EVERY OTHER WEEK</t>
  </si>
  <si>
    <t>WRG40MTHHEL</t>
  </si>
  <si>
    <t>40GAL MONTHLY-HELICO</t>
  </si>
  <si>
    <t>WRG40MTH</t>
  </si>
  <si>
    <t>40GAL MONTHLY-RESIDENTIAL</t>
  </si>
  <si>
    <t>WRG40WKHEL15</t>
  </si>
  <si>
    <t>40GAL WEEKLY HELICO 15</t>
  </si>
  <si>
    <t>WRG40WKHEL20</t>
  </si>
  <si>
    <t>40GAL WEEKLY HELICO 20</t>
  </si>
  <si>
    <t>WRG40WKROL</t>
  </si>
  <si>
    <t>40GAL WEEKLY ROLLOUT</t>
  </si>
  <si>
    <t>WRG40WK</t>
  </si>
  <si>
    <t>40GAL WEEKLY-RESIDENTIAL</t>
  </si>
  <si>
    <t>RR32W4</t>
  </si>
  <si>
    <t>RR32W5</t>
  </si>
  <si>
    <t>WRG90WK</t>
  </si>
  <si>
    <t>90GAL WEEKLY</t>
  </si>
  <si>
    <t>WRG90WKROL</t>
  </si>
  <si>
    <t>90GAL WEEKLY ROLLOUT</t>
  </si>
  <si>
    <t>VRA20W</t>
  </si>
  <si>
    <t>Automated 20g Cart Wkly</t>
  </si>
  <si>
    <t>VRA20EOWHEL</t>
  </si>
  <si>
    <t>Automated 20g Eow Helico</t>
  </si>
  <si>
    <t>VRA20WHEL</t>
  </si>
  <si>
    <t>Automated 20g Wkly Helico</t>
  </si>
  <si>
    <t>VRA20EOW</t>
  </si>
  <si>
    <t>Automated 20gal Cart EOW</t>
  </si>
  <si>
    <t>VRA64W2</t>
  </si>
  <si>
    <t>Automated 2-64g Carts Wk</t>
  </si>
  <si>
    <t>VRA32CO</t>
  </si>
  <si>
    <t>Automated 32g Cart Carry</t>
  </si>
  <si>
    <t>VRA32EOW</t>
  </si>
  <si>
    <t>Automated 32g Cart Eow</t>
  </si>
  <si>
    <t>VRA32MO</t>
  </si>
  <si>
    <t>Automated 32g Cart Mnth</t>
  </si>
  <si>
    <t>VRA32W</t>
  </si>
  <si>
    <t>Automated 32g Cart Wkly</t>
  </si>
  <si>
    <t>VRA32EOWHEL</t>
  </si>
  <si>
    <t>Automated 32g Eow Helico</t>
  </si>
  <si>
    <t>VRA32MHEL</t>
  </si>
  <si>
    <t>Automated 32g Mnth Helico</t>
  </si>
  <si>
    <t>VRA32WHEL</t>
  </si>
  <si>
    <t>Automated 32g Wk Helico</t>
  </si>
  <si>
    <t>VRA32EOWCO</t>
  </si>
  <si>
    <t>Automated 32gal Eow Carry</t>
  </si>
  <si>
    <t>VRA32MCO</t>
  </si>
  <si>
    <t>Automated 32gal Mth Carry</t>
  </si>
  <si>
    <t>VRA64W</t>
  </si>
  <si>
    <t>Automated 64g Cart Wkly</t>
  </si>
  <si>
    <t>VRA64EOWCO</t>
  </si>
  <si>
    <t>Automated 64g EOW Carry</t>
  </si>
  <si>
    <t>SRA64MO</t>
  </si>
  <si>
    <t>Automated 64g Monthly</t>
  </si>
  <si>
    <t>VRA64WHEL</t>
  </si>
  <si>
    <t>Automated 64g Wk Helico</t>
  </si>
  <si>
    <t>VRA64WCO</t>
  </si>
  <si>
    <t>Automated 64g Wkly Carry</t>
  </si>
  <si>
    <t>VRA64EOW</t>
  </si>
  <si>
    <t>Automated 64gal Cart EOW</t>
  </si>
  <si>
    <t>VRA96WCO</t>
  </si>
  <si>
    <t>Automated 96g Wkly Carry</t>
  </si>
  <si>
    <t>VRA96W</t>
  </si>
  <si>
    <t>Automated 96gal Cart Wkly</t>
  </si>
  <si>
    <t>WBMISC</t>
  </si>
  <si>
    <t>BULKY ITEM CHARGE-MISC</t>
  </si>
  <si>
    <t>RREXHEL</t>
  </si>
  <si>
    <t>EXTRA CANS OR BAGS-HELICO</t>
  </si>
  <si>
    <t>TOTAL RESIDENTIAL GARBAGE</t>
  </si>
  <si>
    <t>COMMERCIAL GARBAGE</t>
  </si>
  <si>
    <t>VCCMP15Y</t>
  </si>
  <si>
    <t>1.5YD COMP CONT 1X WKLY</t>
  </si>
  <si>
    <t>RC15Y1W</t>
  </si>
  <si>
    <t>VC15Y1W</t>
  </si>
  <si>
    <t>WC15Y1W</t>
  </si>
  <si>
    <t>VC15Y2W</t>
  </si>
  <si>
    <t>VC15Y3W</t>
  </si>
  <si>
    <t>1.5YD CONT 3X WEEKLY</t>
  </si>
  <si>
    <t>VC15Y4W</t>
  </si>
  <si>
    <t>1.5YD CONT 4X WEEKLY</t>
  </si>
  <si>
    <t>VC15Y6W</t>
  </si>
  <si>
    <t>1.5YD CONT 6X WEEKLY</t>
  </si>
  <si>
    <t>RC1Y1W</t>
  </si>
  <si>
    <t>VC1Y1W</t>
  </si>
  <si>
    <t>WC1Y1W</t>
  </si>
  <si>
    <t xml:space="preserve">VC1Y2W </t>
  </si>
  <si>
    <t>WC1Y2W</t>
  </si>
  <si>
    <t>VC1Y3W</t>
  </si>
  <si>
    <t>1YD CONT 3X WEEKLY</t>
  </si>
  <si>
    <t>VC1Y4W</t>
  </si>
  <si>
    <t>1YD CONT 4X WEEKLY</t>
  </si>
  <si>
    <t>VC1Y5W</t>
  </si>
  <si>
    <t>1YD CONT 5X WEEKLY</t>
  </si>
  <si>
    <t>RC32W2</t>
  </si>
  <si>
    <t>VCCMP2Y</t>
  </si>
  <si>
    <t>RC2Y1W</t>
  </si>
  <si>
    <t>VC2Y1W</t>
  </si>
  <si>
    <t>WC2Y1W</t>
  </si>
  <si>
    <t>VC2Y2W</t>
  </si>
  <si>
    <t>WC2Y2W</t>
  </si>
  <si>
    <t>VC2Y3W</t>
  </si>
  <si>
    <t>WC2Y3W</t>
  </si>
  <si>
    <t>VC2Y4W</t>
  </si>
  <si>
    <t>VC2Y5W</t>
  </si>
  <si>
    <t>VC2Y6W</t>
  </si>
  <si>
    <t>2YD CONT 6X WEEKLY</t>
  </si>
  <si>
    <t>RC32EOW</t>
  </si>
  <si>
    <t>32GAL CAN EOW-COM</t>
  </si>
  <si>
    <t>RC32MO</t>
  </si>
  <si>
    <t>32GAL CAN MONTHLY-COM</t>
  </si>
  <si>
    <t>RC32W1</t>
  </si>
  <si>
    <t>RC32W3</t>
  </si>
  <si>
    <t>VCCMP3Y</t>
  </si>
  <si>
    <t>RC3Y1W</t>
  </si>
  <si>
    <t>VC3Y1W</t>
  </si>
  <si>
    <t>WC3Y1W</t>
  </si>
  <si>
    <t>RC3Y2W</t>
  </si>
  <si>
    <t>VC3Y2W</t>
  </si>
  <si>
    <t>WC3Y2W</t>
  </si>
  <si>
    <t>VC3Y3W</t>
  </si>
  <si>
    <t>WC3Y3W</t>
  </si>
  <si>
    <t>VC3Y4W</t>
  </si>
  <si>
    <t>VC3Y5W</t>
  </si>
  <si>
    <t>VC3Y6W</t>
  </si>
  <si>
    <t>3YD CONT 6X WEEKLY</t>
  </si>
  <si>
    <t>VRABIN</t>
  </si>
  <si>
    <t>3YD RENT-A-BIN</t>
  </si>
  <si>
    <t>WCG40WKROL</t>
  </si>
  <si>
    <t>40GAL WEEKLY-COMM ROLL</t>
  </si>
  <si>
    <t>WCG40WK</t>
  </si>
  <si>
    <t>40GAL WEEKLY-COMMERCIAL</t>
  </si>
  <si>
    <t>VCCMP4Y</t>
  </si>
  <si>
    <t>RC4Y1W</t>
  </si>
  <si>
    <t>VC4Y1W</t>
  </si>
  <si>
    <t>WC4Y1W</t>
  </si>
  <si>
    <t>RC4Y2W</t>
  </si>
  <si>
    <t>VC4Y2W</t>
  </si>
  <si>
    <t>WC4Y2W</t>
  </si>
  <si>
    <t>VC4Y3W</t>
  </si>
  <si>
    <t>WC4Y3W</t>
  </si>
  <si>
    <t>VC4Y4W</t>
  </si>
  <si>
    <t>VC4Y5W</t>
  </si>
  <si>
    <t>VC4Y6W</t>
  </si>
  <si>
    <t>RC5Y1W</t>
  </si>
  <si>
    <t>VC5Y1W</t>
  </si>
  <si>
    <t>VCCMP6Y</t>
  </si>
  <si>
    <t>6YD COMP CONT 1X WKLY</t>
  </si>
  <si>
    <t>RC6Y1W</t>
  </si>
  <si>
    <t>VC6Y1W</t>
  </si>
  <si>
    <t>WC6Y1W</t>
  </si>
  <si>
    <t>RC6Y2W</t>
  </si>
  <si>
    <t>VC6Y2W</t>
  </si>
  <si>
    <t>WC6Y2W</t>
  </si>
  <si>
    <t xml:space="preserve">VC6Y3W </t>
  </si>
  <si>
    <t>WC6Y3W</t>
  </si>
  <si>
    <t>VC6Y4W</t>
  </si>
  <si>
    <t>6YD CONT 4X WEEKLY</t>
  </si>
  <si>
    <t>VC6Y5W</t>
  </si>
  <si>
    <t>VC6Y6W</t>
  </si>
  <si>
    <t>6YD CONT 6X WEEKLY</t>
  </si>
  <si>
    <t>RC8Y1W</t>
  </si>
  <si>
    <t>VC8Y1W</t>
  </si>
  <si>
    <t>WC8Y1W</t>
  </si>
  <si>
    <t>VC8Y2W</t>
  </si>
  <si>
    <t>WC8Y2W</t>
  </si>
  <si>
    <t>VC8Y3W</t>
  </si>
  <si>
    <t>WC8Y3W</t>
  </si>
  <si>
    <t>VC8Y4W</t>
  </si>
  <si>
    <t>VC8Y5W</t>
  </si>
  <si>
    <t>8YD CONT 5X WEEKLY</t>
  </si>
  <si>
    <t>VC8Y6W</t>
  </si>
  <si>
    <t>8YD CONT 6X WEEKLY</t>
  </si>
  <si>
    <t>WCG90WK</t>
  </si>
  <si>
    <t>90GAL WEEKLY COMM</t>
  </si>
  <si>
    <t>WCG90WKROL</t>
  </si>
  <si>
    <t>90GAL WEEKLY COMM ROLL</t>
  </si>
  <si>
    <t>VCA20W</t>
  </si>
  <si>
    <t>Automated 20gal Wkly-Com</t>
  </si>
  <si>
    <t>VCA32W2</t>
  </si>
  <si>
    <t>Automated 2-32g Wkly-Com</t>
  </si>
  <si>
    <t>VCA64W2</t>
  </si>
  <si>
    <t>Automated 2-64g Wkly-Com</t>
  </si>
  <si>
    <t>VCA32CO</t>
  </si>
  <si>
    <t>Automated 32g W Carry-Com</t>
  </si>
  <si>
    <t>VCA32EOW</t>
  </si>
  <si>
    <t>Automated 32Gal EOW-COM</t>
  </si>
  <si>
    <t>VCA32W</t>
  </si>
  <si>
    <t>Automated 32gal Wkly-Com</t>
  </si>
  <si>
    <t>VCA32W3</t>
  </si>
  <si>
    <t>Automated 3-32g Wkly-Com</t>
  </si>
  <si>
    <t>VCA32W4</t>
  </si>
  <si>
    <t>Automated 4-32g Wkly-Com</t>
  </si>
  <si>
    <t>VCA64CO</t>
  </si>
  <si>
    <t>Automated 64g W Carry-Com</t>
  </si>
  <si>
    <t>VCA64EOW</t>
  </si>
  <si>
    <t>Automated 64gal EOW-Com</t>
  </si>
  <si>
    <t>VCA64W</t>
  </si>
  <si>
    <t>Automated 64gal Wkly-Com</t>
  </si>
  <si>
    <t>VCA96CO</t>
  </si>
  <si>
    <t>Automated 96g W Carry-Com</t>
  </si>
  <si>
    <t>VCA96EOW</t>
  </si>
  <si>
    <t>Automated 96gal Eow-Com</t>
  </si>
  <si>
    <t>VCA96W</t>
  </si>
  <si>
    <t>Automated 96gal Wkly-Com</t>
  </si>
  <si>
    <t>VEXBIN</t>
  </si>
  <si>
    <t>EXTRA PICKUP RENT-A-BIN</t>
  </si>
  <si>
    <t>MF32CAN</t>
  </si>
  <si>
    <t>MULTI FAMILY 32 CAN</t>
  </si>
  <si>
    <t>VCSP3YC</t>
  </si>
  <si>
    <t>SPECIAL PICKUP 3YD COMP</t>
  </si>
  <si>
    <t>CCSPCN</t>
  </si>
  <si>
    <t>SPECIAL PICKUP COMM CAN</t>
  </si>
  <si>
    <t>CCTP6Y</t>
  </si>
  <si>
    <t>TEMP PICKUP 6YD CONT</t>
  </si>
  <si>
    <t>VMF32CAN</t>
  </si>
  <si>
    <t>VANC MULTI FAMILY 32 CART</t>
  </si>
  <si>
    <t>TOTAL COMMERCIAL GARBAGE</t>
  </si>
  <si>
    <t>Residential Increase</t>
  </si>
  <si>
    <t>Commerical Increase</t>
  </si>
  <si>
    <t>RO Increase</t>
  </si>
  <si>
    <t>Calc lbs</t>
  </si>
  <si>
    <t>Drop Box (per ton)</t>
  </si>
  <si>
    <t>Clark County - Dump Fee Calculation</t>
  </si>
  <si>
    <t>Non-Regulated Dump Fee Calculation</t>
  </si>
  <si>
    <t>1.5 yd packer/compactor</t>
  </si>
  <si>
    <t>Over 9 Cans</t>
  </si>
  <si>
    <t>N/A</t>
  </si>
  <si>
    <t>* not on meeks - calculated weight times compaction ratio</t>
  </si>
  <si>
    <t>Dump Fee Calculation References</t>
  </si>
  <si>
    <t>6 can</t>
  </si>
  <si>
    <t>Mini</t>
  </si>
  <si>
    <t>Mini every other week</t>
  </si>
  <si>
    <t>2 can</t>
  </si>
  <si>
    <t>3 can</t>
  </si>
  <si>
    <t>4 can</t>
  </si>
  <si>
    <t>5 can</t>
  </si>
  <si>
    <t>Oversized can</t>
  </si>
  <si>
    <t>1.5 yard</t>
  </si>
  <si>
    <t xml:space="preserve">3 yard </t>
  </si>
  <si>
    <t xml:space="preserve">4 yard </t>
  </si>
  <si>
    <t xml:space="preserve">6 yard </t>
  </si>
  <si>
    <t xml:space="preserve">8 yard </t>
  </si>
  <si>
    <t>32-gal</t>
  </si>
  <si>
    <t>Item 245, pg 37</t>
  </si>
  <si>
    <t>Minimum charge</t>
  </si>
  <si>
    <t>Item 250, pg 38</t>
  </si>
  <si>
    <t>Item 255, pg 39</t>
  </si>
  <si>
    <t>4 yard comp</t>
  </si>
  <si>
    <t xml:space="preserve">4 yard comp </t>
  </si>
  <si>
    <t>Each Pickup:</t>
  </si>
  <si>
    <t>Permanent Container:</t>
  </si>
  <si>
    <t>Special Pickups:</t>
  </si>
  <si>
    <t>Company Current Revenue</t>
  </si>
  <si>
    <t>Grossed up increase per ton</t>
  </si>
  <si>
    <t>Tons collected</t>
  </si>
  <si>
    <t>Bad debts</t>
  </si>
  <si>
    <t xml:space="preserve">Current rate </t>
  </si>
  <si>
    <t>New rate per ton</t>
  </si>
  <si>
    <t>Company Proposed Revenue</t>
  </si>
  <si>
    <t>Current Tariff</t>
  </si>
  <si>
    <t>Proposed Tariff</t>
  </si>
  <si>
    <t>Total Packer Increase</t>
  </si>
  <si>
    <t>Adjust factor</t>
  </si>
  <si>
    <t>RO Tons</t>
  </si>
  <si>
    <t>Waste Connections of Washington, Inc., G-253</t>
  </si>
  <si>
    <t>Proposed Effective January 1, 2019</t>
  </si>
  <si>
    <t>Note: Customer count and disposal/weight related figures were audited and presented as part of TG-171140 and are used in this filing per WUTC request.</t>
  </si>
  <si>
    <t>Note: Figures below are from Waste Works system.  Links have been broken to the detailed source file to maintain data integrity, but the source file is available upon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</si>
</sst>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_(&quot;$&quot;* #,##0.0000_);_(&quot;$&quot;* \(#,##0.0000\);_(&quot;$&quot;* &quot;-&quot;????_);_(@_)"/>
    <numFmt numFmtId="171" formatCode="&quot;$&quot;#,##0\ ;\(&quot;$&quot;#,##0\)"/>
    <numFmt numFmtId="172" formatCode="General_)"/>
    <numFmt numFmtId="173" formatCode="0.0%"/>
    <numFmt numFmtId="174" formatCode="mm\-yy;\-0;;@"/>
    <numFmt numFmtId="175" formatCode=".00#####;\-.00####;;@"/>
    <numFmt numFmtId="176" formatCode="_(&quot;$&quot;* #,##0.00000_);_(&quot;$&quot;* \(#,##0.00000\);_(&quot;$&quot;* &quot;-&quot;??_);_(@_)"/>
    <numFmt numFmtId="177" formatCode="_(&quot;$&quot;* #,##0_);_(&quot;$&quot;* \(#,##0\);_(&quot;$&quot;* &quot;-&quot;??_);_(@_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.5"/>
      <color theme="0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sz val="11"/>
      <color indexed="20"/>
      <name val="Calibri"/>
      <family val="2"/>
    </font>
    <font>
      <b/>
      <sz val="11"/>
      <color indexed="51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8"/>
      <name val="Britannic Bold"/>
      <family val="2"/>
    </font>
    <font>
      <sz val="12"/>
      <name val="CG Omega"/>
    </font>
    <font>
      <sz val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2"/>
      <name val="Helv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1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1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1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1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5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theme="1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Helv"/>
    </font>
    <font>
      <sz val="10"/>
      <name val="Helv"/>
    </font>
    <font>
      <sz val="10"/>
      <name val="SWISS"/>
    </font>
    <font>
      <b/>
      <sz val="10"/>
      <name val="Helv"/>
    </font>
    <font>
      <b/>
      <sz val="10"/>
      <name val="SWISS"/>
    </font>
    <font>
      <sz val="8"/>
      <name val="SWISS"/>
    </font>
    <font>
      <b/>
      <sz val="8"/>
      <name val="SWISS"/>
    </font>
    <font>
      <b/>
      <sz val="8"/>
      <name val="Arial"/>
      <family val="2"/>
    </font>
    <font>
      <i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0"/>
      <color rgb="FFFF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2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0" borderId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9" borderId="0" applyNumberFormat="0" applyBorder="0" applyAlignment="0" applyProtection="0"/>
    <xf numFmtId="0" fontId="16" fillId="21" borderId="0" applyNumberFormat="0" applyBorder="0" applyAlignment="0" applyProtection="0"/>
    <xf numFmtId="0" fontId="16" fillId="29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41" fontId="17" fillId="0" borderId="0"/>
    <xf numFmtId="41" fontId="17" fillId="0" borderId="0"/>
    <xf numFmtId="41" fontId="17" fillId="0" borderId="0"/>
    <xf numFmtId="41" fontId="17" fillId="0" borderId="0"/>
    <xf numFmtId="49" fontId="18" fillId="0" borderId="0" applyFill="0" applyBorder="0" applyAlignment="0" applyProtection="0"/>
    <xf numFmtId="0" fontId="19" fillId="0" borderId="4" applyBorder="0">
      <alignment horizontal="center" vertical="center" wrapText="1"/>
    </xf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3" fontId="17" fillId="0" borderId="0"/>
    <xf numFmtId="3" fontId="17" fillId="0" borderId="0"/>
    <xf numFmtId="3" fontId="17" fillId="0" borderId="0"/>
    <xf numFmtId="3" fontId="17" fillId="0" borderId="0"/>
    <xf numFmtId="0" fontId="21" fillId="30" borderId="5" applyNumberFormat="0" applyAlignment="0" applyProtection="0"/>
    <xf numFmtId="0" fontId="22" fillId="30" borderId="5" applyNumberFormat="0" applyAlignment="0" applyProtection="0"/>
    <xf numFmtId="0" fontId="21" fillId="30" borderId="5" applyNumberFormat="0" applyAlignment="0" applyProtection="0"/>
    <xf numFmtId="0" fontId="23" fillId="30" borderId="5" applyNumberFormat="0" applyAlignment="0" applyProtection="0"/>
    <xf numFmtId="0" fontId="22" fillId="8" borderId="5" applyNumberFormat="0" applyAlignment="0" applyProtection="0"/>
    <xf numFmtId="0" fontId="23" fillId="30" borderId="5" applyNumberFormat="0" applyAlignment="0" applyProtection="0"/>
    <xf numFmtId="0" fontId="23" fillId="30" borderId="5" applyNumberFormat="0" applyAlignment="0" applyProtection="0"/>
    <xf numFmtId="0" fontId="24" fillId="31" borderId="6" applyNumberFormat="0" applyAlignment="0" applyProtection="0"/>
    <xf numFmtId="0" fontId="24" fillId="32" borderId="7" applyNumberFormat="0" applyAlignment="0" applyProtection="0"/>
    <xf numFmtId="0" fontId="25" fillId="33" borderId="0" applyNumberFormat="0" applyBorder="0" applyAlignment="0" applyProtection="0">
      <alignment horizontal="center"/>
      <protection hidden="1"/>
    </xf>
    <xf numFmtId="0" fontId="17" fillId="34" borderId="0">
      <alignment horizont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28" fillId="0" borderId="0"/>
    <xf numFmtId="3" fontId="30" fillId="0" borderId="0" applyFont="0" applyFill="0" applyBorder="0" applyAlignment="0" applyProtection="0"/>
    <xf numFmtId="0" fontId="31" fillId="0" borderId="0"/>
    <xf numFmtId="0" fontId="31" fillId="0" borderId="0"/>
    <xf numFmtId="0" fontId="32" fillId="35" borderId="1" applyAlignment="0">
      <alignment horizontal="right"/>
      <protection locked="0"/>
    </xf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5" fillId="36" borderId="0">
      <alignment horizontal="right"/>
      <protection locked="0"/>
    </xf>
    <xf numFmtId="14" fontId="17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0" borderId="0"/>
    <xf numFmtId="2" fontId="35" fillId="36" borderId="0">
      <alignment horizontal="right"/>
      <protection locked="0"/>
    </xf>
    <xf numFmtId="1" fontId="17" fillId="0" borderId="0">
      <alignment horizontal="center"/>
    </xf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2" fillId="2" borderId="0" applyNumberFormat="0" applyBorder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8" fillId="0" borderId="8" applyNumberFormat="0" applyFill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41" fillId="0" borderId="12" applyNumberFormat="0" applyFill="0" applyAlignment="0" applyProtection="0"/>
    <xf numFmtId="0" fontId="42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4" fillId="0" borderId="14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15" borderId="5" applyNumberFormat="0" applyAlignment="0" applyProtection="0"/>
    <xf numFmtId="0" fontId="51" fillId="15" borderId="5" applyNumberFormat="0" applyAlignment="0" applyProtection="0"/>
    <xf numFmtId="0" fontId="51" fillId="15" borderId="5" applyNumberFormat="0" applyAlignment="0" applyProtection="0"/>
    <xf numFmtId="3" fontId="52" fillId="38" borderId="0">
      <protection locked="0"/>
    </xf>
    <xf numFmtId="4" fontId="52" fillId="38" borderId="0">
      <protection locked="0"/>
    </xf>
    <xf numFmtId="0" fontId="19" fillId="0" borderId="4" applyBorder="0">
      <alignment horizontal="center" vertical="center" wrapText="1"/>
    </xf>
    <xf numFmtId="0" fontId="53" fillId="0" borderId="18" applyNumberFormat="0" applyFill="0" applyAlignment="0" applyProtection="0"/>
    <xf numFmtId="0" fontId="54" fillId="0" borderId="19" applyNumberFormat="0" applyFill="0" applyAlignment="0" applyProtection="0"/>
    <xf numFmtId="0" fontId="53" fillId="0" borderId="18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15" borderId="0" applyNumberFormat="0" applyBorder="0" applyAlignment="0" applyProtection="0"/>
    <xf numFmtId="0" fontId="57" fillId="15" borderId="0" applyNumberFormat="0" applyBorder="0" applyAlignment="0" applyProtection="0"/>
    <xf numFmtId="0" fontId="56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43" fontId="1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7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7" fillId="0" borderId="0">
      <alignment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" fillId="0" borderId="0"/>
    <xf numFmtId="0" fontId="59" fillId="0" borderId="0"/>
    <xf numFmtId="0" fontId="17" fillId="0" borderId="0"/>
    <xf numFmtId="0" fontId="1" fillId="0" borderId="0"/>
    <xf numFmtId="0" fontId="1" fillId="0" borderId="0"/>
    <xf numFmtId="0" fontId="59" fillId="0" borderId="0"/>
    <xf numFmtId="0" fontId="17" fillId="0" borderId="0"/>
    <xf numFmtId="0" fontId="11" fillId="0" borderId="0"/>
    <xf numFmtId="0" fontId="1" fillId="0" borderId="0"/>
    <xf numFmtId="0" fontId="26" fillId="0" borderId="0"/>
    <xf numFmtId="0" fontId="17" fillId="0" borderId="0"/>
    <xf numFmtId="0" fontId="1" fillId="0" borderId="0"/>
    <xf numFmtId="0" fontId="1" fillId="0" borderId="0"/>
    <xf numFmtId="0" fontId="26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2" fontId="33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>
      <alignment wrapText="1"/>
    </xf>
    <xf numFmtId="0" fontId="28" fillId="0" borderId="0">
      <alignment vertical="top"/>
    </xf>
    <xf numFmtId="0" fontId="28" fillId="0" borderId="0">
      <alignment vertical="top"/>
    </xf>
    <xf numFmtId="0" fontId="17" fillId="0" borderId="0"/>
    <xf numFmtId="0" fontId="28" fillId="0" borderId="0">
      <alignment vertical="top"/>
    </xf>
    <xf numFmtId="0" fontId="17" fillId="0" borderId="0"/>
    <xf numFmtId="0" fontId="28" fillId="0" borderId="0">
      <alignment vertical="top"/>
    </xf>
    <xf numFmtId="0" fontId="17" fillId="0" borderId="0"/>
    <xf numFmtId="0" fontId="11" fillId="0" borderId="0"/>
    <xf numFmtId="0" fontId="17" fillId="0" borderId="0"/>
    <xf numFmtId="0" fontId="28" fillId="0" borderId="0">
      <alignment vertical="top"/>
    </xf>
    <xf numFmtId="0" fontId="17" fillId="0" borderId="0"/>
    <xf numFmtId="0" fontId="28" fillId="0" borderId="0">
      <alignment vertical="top"/>
    </xf>
    <xf numFmtId="0" fontId="17" fillId="0" borderId="0">
      <alignment wrapText="1"/>
    </xf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30" fillId="0" borderId="0"/>
    <xf numFmtId="0" fontId="33" fillId="0" borderId="0"/>
    <xf numFmtId="0" fontId="28" fillId="0" borderId="0">
      <alignment vertical="top"/>
    </xf>
    <xf numFmtId="0" fontId="17" fillId="0" borderId="0"/>
    <xf numFmtId="0" fontId="17" fillId="0" borderId="0"/>
    <xf numFmtId="0" fontId="17" fillId="0" borderId="0">
      <alignment wrapText="1"/>
    </xf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33" fillId="0" borderId="0"/>
    <xf numFmtId="0" fontId="11" fillId="0" borderId="0"/>
    <xf numFmtId="0" fontId="33" fillId="0" borderId="0"/>
    <xf numFmtId="0" fontId="1" fillId="0" borderId="0"/>
    <xf numFmtId="0" fontId="1" fillId="0" borderId="0"/>
    <xf numFmtId="0" fontId="28" fillId="0" borderId="0">
      <alignment vertical="top"/>
    </xf>
    <xf numFmtId="0" fontId="17" fillId="0" borderId="0"/>
    <xf numFmtId="0" fontId="1" fillId="0" borderId="0"/>
    <xf numFmtId="0" fontId="17" fillId="0" borderId="0"/>
    <xf numFmtId="0" fontId="17" fillId="0" borderId="0"/>
    <xf numFmtId="0" fontId="30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59" fillId="0" borderId="0"/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59" fillId="0" borderId="0"/>
    <xf numFmtId="0" fontId="17" fillId="0" borderId="0"/>
    <xf numFmtId="0" fontId="17" fillId="0" borderId="0"/>
    <xf numFmtId="0" fontId="28" fillId="0" borderId="0">
      <alignment vertical="top"/>
    </xf>
    <xf numFmtId="0" fontId="17" fillId="0" borderId="0"/>
    <xf numFmtId="0" fontId="28" fillId="0" borderId="0">
      <alignment vertical="top"/>
    </xf>
    <xf numFmtId="0" fontId="17" fillId="0" borderId="0"/>
    <xf numFmtId="0" fontId="17" fillId="0" borderId="0"/>
    <xf numFmtId="0" fontId="17" fillId="0" borderId="0">
      <alignment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8" fillId="12" borderId="21" applyNumberFormat="0" applyFont="0" applyAlignment="0" applyProtection="0"/>
    <xf numFmtId="0" fontId="11" fillId="12" borderId="21" applyNumberFormat="0" applyFont="0" applyAlignment="0" applyProtection="0"/>
    <xf numFmtId="0" fontId="28" fillId="12" borderId="21" applyNumberFormat="0" applyFont="0" applyAlignment="0" applyProtection="0"/>
    <xf numFmtId="0" fontId="33" fillId="12" borderId="21" applyNumberFormat="0" applyFont="0" applyAlignment="0" applyProtection="0"/>
    <xf numFmtId="0" fontId="27" fillId="12" borderId="21" applyNumberFormat="0" applyFont="0" applyAlignment="0" applyProtection="0"/>
    <xf numFmtId="0" fontId="33" fillId="12" borderId="21" applyNumberFormat="0" applyFont="0" applyAlignment="0" applyProtection="0"/>
    <xf numFmtId="0" fontId="33" fillId="12" borderId="21" applyNumberFormat="0" applyFont="0" applyAlignment="0" applyProtection="0"/>
    <xf numFmtId="173" fontId="60" fillId="0" borderId="0" applyNumberFormat="0"/>
    <xf numFmtId="0" fontId="45" fillId="30" borderId="22" applyNumberFormat="0" applyAlignment="0" applyProtection="0"/>
    <xf numFmtId="0" fontId="61" fillId="30" borderId="23" applyNumberFormat="0" applyAlignment="0" applyProtection="0"/>
    <xf numFmtId="0" fontId="61" fillId="30" borderId="23" applyNumberFormat="0" applyAlignment="0" applyProtection="0"/>
    <xf numFmtId="9" fontId="2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4" fontId="34" fillId="0" borderId="0">
      <alignment horizontal="center"/>
    </xf>
    <xf numFmtId="0" fontId="17" fillId="0" borderId="0"/>
    <xf numFmtId="0" fontId="17" fillId="0" borderId="0"/>
    <xf numFmtId="0" fontId="17" fillId="0" borderId="0"/>
    <xf numFmtId="0" fontId="17" fillId="0" borderId="0"/>
    <xf numFmtId="38" fontId="62" fillId="0" borderId="0" applyNumberFormat="0" applyFont="0" applyFill="0" applyBorder="0">
      <alignment horizontal="left" indent="4"/>
      <protection locked="0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63" fillId="0" borderId="24">
      <alignment horizontal="center"/>
    </xf>
    <xf numFmtId="3" fontId="30" fillId="0" borderId="0" applyFont="0" applyFill="0" applyBorder="0" applyAlignment="0" applyProtection="0"/>
    <xf numFmtId="0" fontId="30" fillId="39" borderId="0" applyNumberFormat="0" applyFont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 applyNumberFormat="0" applyBorder="0" applyAlignment="0"/>
    <xf numFmtId="0" fontId="28" fillId="0" borderId="0" applyNumberFormat="0" applyBorder="0" applyAlignment="0"/>
    <xf numFmtId="37" fontId="65" fillId="0" borderId="0"/>
    <xf numFmtId="175" fontId="66" fillId="40" borderId="0" applyFill="0" applyBorder="0" applyProtection="0">
      <alignment horizontal="center"/>
      <protection hidden="1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9" fillId="0" borderId="26" applyNumberFormat="0" applyFill="0" applyAlignment="0" applyProtection="0"/>
    <xf numFmtId="0" fontId="69" fillId="0" borderId="25" applyNumberFormat="0" applyFill="0" applyAlignment="0" applyProtection="0"/>
    <xf numFmtId="0" fontId="69" fillId="0" borderId="27" applyNumberFormat="0" applyFill="0" applyAlignment="0" applyProtection="0"/>
    <xf numFmtId="0" fontId="69" fillId="0" borderId="28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0">
      <alignment horizontal="center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4" fontId="71" fillId="41" borderId="0" applyFont="0" applyFill="0" applyBorder="0" applyAlignment="0" applyProtection="0">
      <alignment wrapText="1"/>
    </xf>
    <xf numFmtId="172" fontId="33" fillId="0" borderId="0"/>
    <xf numFmtId="0" fontId="17" fillId="0" borderId="0"/>
  </cellStyleXfs>
  <cellXfs count="270">
    <xf numFmtId="0" fontId="0" fillId="0" borderId="0" xfId="0"/>
    <xf numFmtId="0" fontId="3" fillId="4" borderId="0" xfId="0" applyFont="1" applyFill="1"/>
    <xf numFmtId="0" fontId="10" fillId="4" borderId="0" xfId="0" applyFont="1" applyFill="1"/>
    <xf numFmtId="0" fontId="72" fillId="4" borderId="0" xfId="4" applyFont="1" applyFill="1"/>
    <xf numFmtId="0" fontId="73" fillId="4" borderId="0" xfId="0" applyFont="1" applyFill="1"/>
    <xf numFmtId="0" fontId="75" fillId="4" borderId="0" xfId="4" applyFont="1" applyFill="1" applyAlignment="1">
      <alignment horizontal="left"/>
    </xf>
    <xf numFmtId="0" fontId="75" fillId="4" borderId="0" xfId="4" applyFont="1" applyFill="1" applyAlignment="1">
      <alignment horizontal="center"/>
    </xf>
    <xf numFmtId="0" fontId="73" fillId="4" borderId="2" xfId="0" applyFont="1" applyFill="1" applyBorder="1"/>
    <xf numFmtId="43" fontId="73" fillId="4" borderId="0" xfId="1" applyFont="1" applyFill="1"/>
    <xf numFmtId="164" fontId="73" fillId="4" borderId="0" xfId="1" applyNumberFormat="1" applyFont="1" applyFill="1"/>
    <xf numFmtId="43" fontId="73" fillId="4" borderId="0" xfId="0" applyNumberFormat="1" applyFont="1" applyFill="1"/>
    <xf numFmtId="0" fontId="72" fillId="4" borderId="0" xfId="4" applyFont="1" applyFill="1" applyBorder="1"/>
    <xf numFmtId="0" fontId="74" fillId="4" borderId="0" xfId="4" applyFont="1" applyFill="1" applyBorder="1" applyAlignment="1">
      <alignment horizontal="right"/>
    </xf>
    <xf numFmtId="164" fontId="73" fillId="4" borderId="2" xfId="1" applyNumberFormat="1" applyFont="1" applyFill="1" applyBorder="1"/>
    <xf numFmtId="41" fontId="73" fillId="4" borderId="0" xfId="0" applyNumberFormat="1" applyFont="1" applyFill="1"/>
    <xf numFmtId="164" fontId="73" fillId="4" borderId="2" xfId="0" applyNumberFormat="1" applyFont="1" applyFill="1" applyBorder="1"/>
    <xf numFmtId="0" fontId="74" fillId="4" borderId="0" xfId="4" applyFont="1" applyFill="1" applyAlignment="1">
      <alignment horizontal="right"/>
    </xf>
    <xf numFmtId="0" fontId="73" fillId="4" borderId="0" xfId="0" applyFont="1" applyFill="1" applyBorder="1"/>
    <xf numFmtId="0" fontId="73" fillId="0" borderId="0" xfId="0" applyFont="1"/>
    <xf numFmtId="0" fontId="73" fillId="4" borderId="1" xfId="0" applyFont="1" applyFill="1" applyBorder="1" applyAlignment="1">
      <alignment horizontal="center"/>
    </xf>
    <xf numFmtId="43" fontId="73" fillId="4" borderId="0" xfId="0" applyNumberFormat="1" applyFont="1" applyFill="1" applyBorder="1" applyAlignment="1">
      <alignment horizontal="center"/>
    </xf>
    <xf numFmtId="43" fontId="73" fillId="4" borderId="0" xfId="1" applyFont="1" applyFill="1" applyAlignment="1">
      <alignment horizontal="center"/>
    </xf>
    <xf numFmtId="0" fontId="73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right"/>
    </xf>
    <xf numFmtId="0" fontId="76" fillId="4" borderId="0" xfId="0" applyFont="1" applyFill="1"/>
    <xf numFmtId="0" fontId="76" fillId="4" borderId="0" xfId="0" applyFont="1" applyFill="1" applyAlignment="1">
      <alignment horizontal="center"/>
    </xf>
    <xf numFmtId="0" fontId="73" fillId="0" borderId="0" xfId="0" applyFont="1" applyAlignment="1">
      <alignment horizontal="left" indent="1"/>
    </xf>
    <xf numFmtId="0" fontId="3" fillId="4" borderId="0" xfId="0" applyFont="1" applyFill="1" applyAlignment="1">
      <alignment horizontal="left" indent="1"/>
    </xf>
    <xf numFmtId="43" fontId="3" fillId="4" borderId="0" xfId="0" applyNumberFormat="1" applyFont="1" applyFill="1"/>
    <xf numFmtId="41" fontId="73" fillId="4" borderId="0" xfId="1" applyNumberFormat="1" applyFont="1" applyFill="1"/>
    <xf numFmtId="0" fontId="3" fillId="3" borderId="1" xfId="0" applyFont="1" applyFill="1" applyBorder="1"/>
    <xf numFmtId="0" fontId="73" fillId="3" borderId="1" xfId="0" applyFont="1" applyFill="1" applyBorder="1" applyAlignment="1">
      <alignment horizontal="center"/>
    </xf>
    <xf numFmtId="0" fontId="73" fillId="4" borderId="0" xfId="0" applyFont="1" applyFill="1" applyAlignment="1">
      <alignment horizontal="left"/>
    </xf>
    <xf numFmtId="44" fontId="73" fillId="4" borderId="0" xfId="2" applyFont="1" applyFill="1"/>
    <xf numFmtId="165" fontId="73" fillId="4" borderId="0" xfId="2" applyNumberFormat="1" applyFont="1" applyFill="1"/>
    <xf numFmtId="166" fontId="73" fillId="4" borderId="0" xfId="1" applyNumberFormat="1" applyFont="1" applyFill="1"/>
    <xf numFmtId="44" fontId="73" fillId="4" borderId="1" xfId="2" applyFont="1" applyFill="1" applyBorder="1"/>
    <xf numFmtId="165" fontId="73" fillId="4" borderId="1" xfId="2" applyNumberFormat="1" applyFont="1" applyFill="1" applyBorder="1"/>
    <xf numFmtId="166" fontId="73" fillId="4" borderId="0" xfId="1" applyNumberFormat="1" applyFont="1" applyFill="1" applyBorder="1"/>
    <xf numFmtId="176" fontId="73" fillId="4" borderId="0" xfId="2" applyNumberFormat="1" applyFont="1" applyFill="1"/>
    <xf numFmtId="166" fontId="73" fillId="4" borderId="1" xfId="1" applyNumberFormat="1" applyFont="1" applyFill="1" applyBorder="1"/>
    <xf numFmtId="10" fontId="73" fillId="4" borderId="0" xfId="0" applyNumberFormat="1" applyFont="1" applyFill="1"/>
    <xf numFmtId="167" fontId="73" fillId="4" borderId="0" xfId="0" applyNumberFormat="1" applyFont="1" applyFill="1"/>
    <xf numFmtId="168" fontId="73" fillId="4" borderId="0" xfId="0" applyNumberFormat="1" applyFont="1" applyFill="1"/>
    <xf numFmtId="166" fontId="73" fillId="4" borderId="0" xfId="0" applyNumberFormat="1" applyFont="1" applyFill="1"/>
    <xf numFmtId="44" fontId="73" fillId="4" borderId="0" xfId="0" applyNumberFormat="1" applyFont="1" applyFill="1"/>
    <xf numFmtId="169" fontId="73" fillId="4" borderId="0" xfId="0" applyNumberFormat="1" applyFont="1" applyFill="1"/>
    <xf numFmtId="170" fontId="73" fillId="4" borderId="0" xfId="0" applyNumberFormat="1" applyFont="1" applyFill="1"/>
    <xf numFmtId="42" fontId="3" fillId="4" borderId="0" xfId="0" applyNumberFormat="1" applyFont="1" applyFill="1"/>
    <xf numFmtId="0" fontId="3" fillId="4" borderId="0" xfId="0" applyFont="1" applyFill="1" applyBorder="1"/>
    <xf numFmtId="0" fontId="73" fillId="4" borderId="0" xfId="0" applyFont="1" applyFill="1" applyBorder="1" applyAlignment="1">
      <alignment horizontal="center"/>
    </xf>
    <xf numFmtId="4" fontId="10" fillId="4" borderId="0" xfId="676" applyNumberFormat="1" applyFont="1" applyFill="1" applyBorder="1"/>
    <xf numFmtId="172" fontId="10" fillId="4" borderId="0" xfId="676" applyFont="1" applyFill="1" applyBorder="1"/>
    <xf numFmtId="172" fontId="77" fillId="4" borderId="0" xfId="676" applyFont="1" applyFill="1" applyBorder="1"/>
    <xf numFmtId="2" fontId="10" fillId="4" borderId="0" xfId="676" applyNumberFormat="1" applyFont="1" applyFill="1" applyBorder="1"/>
    <xf numFmtId="4" fontId="10" fillId="4" borderId="0" xfId="676" applyNumberFormat="1" applyFont="1" applyFill="1" applyBorder="1" applyAlignment="1">
      <alignment horizontal="center"/>
    </xf>
    <xf numFmtId="10" fontId="77" fillId="4" borderId="0" xfId="3" applyNumberFormat="1" applyFont="1" applyFill="1" applyBorder="1"/>
    <xf numFmtId="2" fontId="10" fillId="4" borderId="0" xfId="676" applyNumberFormat="1" applyFont="1" applyFill="1" applyBorder="1" applyAlignment="1">
      <alignment horizontal="right"/>
    </xf>
    <xf numFmtId="14" fontId="78" fillId="42" borderId="0" xfId="676" applyNumberFormat="1" applyFont="1" applyFill="1" applyBorder="1" applyAlignment="1">
      <alignment horizontal="center"/>
    </xf>
    <xf numFmtId="172" fontId="78" fillId="42" borderId="0" xfId="676" applyFont="1" applyFill="1" applyBorder="1"/>
    <xf numFmtId="2" fontId="78" fillId="42" borderId="0" xfId="676" applyNumberFormat="1" applyFont="1" applyFill="1" applyBorder="1" applyAlignment="1">
      <alignment horizontal="center"/>
    </xf>
    <xf numFmtId="0" fontId="10" fillId="42" borderId="0" xfId="677" applyFont="1" applyFill="1" applyBorder="1" applyAlignment="1">
      <alignment horizontal="center"/>
    </xf>
    <xf numFmtId="4" fontId="78" fillId="42" borderId="0" xfId="676" applyNumberFormat="1" applyFont="1" applyFill="1" applyBorder="1" applyAlignment="1">
      <alignment horizontal="center"/>
    </xf>
    <xf numFmtId="43" fontId="77" fillId="42" borderId="0" xfId="677" applyNumberFormat="1" applyFont="1" applyFill="1" applyBorder="1"/>
    <xf numFmtId="4" fontId="77" fillId="6" borderId="0" xfId="676" applyNumberFormat="1" applyFont="1" applyFill="1" applyBorder="1" applyAlignment="1">
      <alignment horizontal="center"/>
    </xf>
    <xf numFmtId="172" fontId="77" fillId="6" borderId="0" xfId="676" applyFont="1" applyFill="1" applyBorder="1"/>
    <xf numFmtId="2" fontId="77" fillId="6" borderId="0" xfId="676" applyNumberFormat="1" applyFont="1" applyFill="1" applyBorder="1" applyAlignment="1">
      <alignment horizontal="right"/>
    </xf>
    <xf numFmtId="2" fontId="77" fillId="6" borderId="0" xfId="676" applyNumberFormat="1" applyFont="1" applyFill="1" applyBorder="1" applyAlignment="1">
      <alignment horizontal="center"/>
    </xf>
    <xf numFmtId="4" fontId="10" fillId="6" borderId="0" xfId="676" applyNumberFormat="1" applyFont="1" applyFill="1" applyBorder="1"/>
    <xf numFmtId="43" fontId="10" fillId="4" borderId="0" xfId="677" applyNumberFormat="1" applyFont="1" applyFill="1" applyBorder="1"/>
    <xf numFmtId="4" fontId="10" fillId="4" borderId="0" xfId="676" applyNumberFormat="1" applyFont="1" applyFill="1" applyBorder="1" applyAlignment="1">
      <alignment horizontal="right"/>
    </xf>
    <xf numFmtId="2" fontId="77" fillId="4" borderId="0" xfId="676" applyNumberFormat="1" applyFont="1" applyFill="1" applyBorder="1" applyAlignment="1">
      <alignment horizontal="right"/>
    </xf>
    <xf numFmtId="4" fontId="10" fillId="6" borderId="0" xfId="676" applyNumberFormat="1" applyFont="1" applyFill="1" applyBorder="1" applyAlignment="1">
      <alignment horizontal="right"/>
    </xf>
    <xf numFmtId="172" fontId="10" fillId="4" borderId="0" xfId="676" applyFont="1" applyFill="1" applyBorder="1" applyAlignment="1">
      <alignment horizontal="right"/>
    </xf>
    <xf numFmtId="172" fontId="10" fillId="6" borderId="0" xfId="676" applyFont="1" applyFill="1" applyBorder="1" applyAlignment="1">
      <alignment horizontal="right"/>
    </xf>
    <xf numFmtId="2" fontId="10" fillId="6" borderId="0" xfId="676" applyNumberFormat="1" applyFont="1" applyFill="1" applyBorder="1" applyAlignment="1">
      <alignment horizontal="right"/>
    </xf>
    <xf numFmtId="4" fontId="77" fillId="4" borderId="0" xfId="676" applyNumberFormat="1" applyFont="1" applyFill="1" applyBorder="1"/>
    <xf numFmtId="4" fontId="79" fillId="4" borderId="0" xfId="676" applyNumberFormat="1" applyFont="1" applyFill="1" applyBorder="1"/>
    <xf numFmtId="173" fontId="10" fillId="4" borderId="0" xfId="3" applyNumberFormat="1" applyFont="1" applyFill="1" applyBorder="1"/>
    <xf numFmtId="172" fontId="10" fillId="6" borderId="0" xfId="676" applyFont="1" applyFill="1" applyBorder="1"/>
    <xf numFmtId="2" fontId="10" fillId="6" borderId="0" xfId="676" applyNumberFormat="1" applyFont="1" applyFill="1" applyBorder="1"/>
    <xf numFmtId="4" fontId="10" fillId="0" borderId="0" xfId="676" applyNumberFormat="1" applyFont="1" applyFill="1" applyBorder="1"/>
    <xf numFmtId="2" fontId="77" fillId="4" borderId="0" xfId="676" applyNumberFormat="1" applyFont="1" applyFill="1" applyBorder="1"/>
    <xf numFmtId="172" fontId="80" fillId="4" borderId="0" xfId="676" applyFont="1" applyFill="1" applyBorder="1"/>
    <xf numFmtId="4" fontId="80" fillId="4" borderId="0" xfId="676" applyNumberFormat="1" applyFont="1" applyFill="1" applyBorder="1"/>
    <xf numFmtId="2" fontId="80" fillId="4" borderId="0" xfId="676" applyNumberFormat="1" applyFont="1" applyFill="1" applyBorder="1" applyAlignment="1">
      <alignment horizontal="right"/>
    </xf>
    <xf numFmtId="2" fontId="80" fillId="4" borderId="0" xfId="676" applyNumberFormat="1" applyFont="1" applyFill="1" applyBorder="1"/>
    <xf numFmtId="4" fontId="81" fillId="4" borderId="0" xfId="676" applyNumberFormat="1" applyFont="1" applyFill="1" applyBorder="1"/>
    <xf numFmtId="43" fontId="82" fillId="4" borderId="0" xfId="677" applyNumberFormat="1" applyFont="1" applyFill="1" applyBorder="1"/>
    <xf numFmtId="172" fontId="81" fillId="4" borderId="0" xfId="676" applyFont="1" applyFill="1" applyBorder="1"/>
    <xf numFmtId="2" fontId="81" fillId="4" borderId="0" xfId="676" applyNumberFormat="1" applyFont="1" applyFill="1" applyBorder="1" applyAlignment="1">
      <alignment horizontal="right"/>
    </xf>
    <xf numFmtId="2" fontId="81" fillId="4" borderId="0" xfId="676" applyNumberFormat="1" applyFont="1" applyFill="1" applyBorder="1"/>
    <xf numFmtId="172" fontId="83" fillId="4" borderId="0" xfId="676" applyFont="1" applyFill="1" applyBorder="1"/>
    <xf numFmtId="43" fontId="84" fillId="4" borderId="0" xfId="677" applyNumberFormat="1" applyFont="1" applyFill="1" applyBorder="1"/>
    <xf numFmtId="43" fontId="82" fillId="4" borderId="0" xfId="677" applyNumberFormat="1" applyFont="1" applyFill="1" applyBorder="1" applyAlignment="1">
      <alignment horizontal="left"/>
    </xf>
    <xf numFmtId="4" fontId="82" fillId="4" borderId="0" xfId="677" applyNumberFormat="1" applyFont="1" applyFill="1" applyBorder="1" applyAlignment="1"/>
    <xf numFmtId="43" fontId="85" fillId="4" borderId="0" xfId="677" applyNumberFormat="1" applyFont="1" applyFill="1" applyBorder="1"/>
    <xf numFmtId="4" fontId="85" fillId="4" borderId="0" xfId="677" applyNumberFormat="1" applyFont="1" applyFill="1" applyBorder="1" applyAlignment="1"/>
    <xf numFmtId="4" fontId="86" fillId="4" borderId="0" xfId="677" applyNumberFormat="1" applyFont="1" applyFill="1" applyBorder="1" applyAlignment="1"/>
    <xf numFmtId="43" fontId="86" fillId="4" borderId="0" xfId="677" applyNumberFormat="1" applyFont="1" applyFill="1" applyBorder="1"/>
    <xf numFmtId="43" fontId="85" fillId="4" borderId="0" xfId="677" applyNumberFormat="1" applyFont="1" applyFill="1" applyBorder="1" applyAlignment="1">
      <alignment horizontal="left"/>
    </xf>
    <xf numFmtId="0" fontId="87" fillId="4" borderId="0" xfId="677" applyFont="1" applyFill="1" applyBorder="1"/>
    <xf numFmtId="0" fontId="27" fillId="4" borderId="0" xfId="677" applyFont="1" applyFill="1" applyBorder="1"/>
    <xf numFmtId="43" fontId="73" fillId="4" borderId="0" xfId="1" applyNumberFormat="1" applyFont="1" applyFill="1"/>
    <xf numFmtId="172" fontId="10" fillId="4" borderId="0" xfId="676" applyFont="1" applyFill="1" applyBorder="1" applyAlignment="1">
      <alignment horizontal="left"/>
    </xf>
    <xf numFmtId="2" fontId="10" fillId="0" borderId="0" xfId="676" applyNumberFormat="1" applyFont="1" applyFill="1" applyBorder="1" applyAlignment="1">
      <alignment horizontal="right"/>
    </xf>
    <xf numFmtId="43" fontId="10" fillId="4" borderId="0" xfId="1" applyFont="1" applyFill="1" applyBorder="1"/>
    <xf numFmtId="172" fontId="10" fillId="4" borderId="0" xfId="676" applyFont="1" applyFill="1" applyBorder="1" applyAlignment="1"/>
    <xf numFmtId="1" fontId="77" fillId="4" borderId="0" xfId="403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4" fontId="3" fillId="0" borderId="0" xfId="2" applyFont="1"/>
    <xf numFmtId="43" fontId="73" fillId="43" borderId="0" xfId="1" applyFont="1" applyFill="1"/>
    <xf numFmtId="44" fontId="73" fillId="43" borderId="0" xfId="2" applyFont="1" applyFill="1"/>
    <xf numFmtId="44" fontId="73" fillId="0" borderId="0" xfId="2" applyFont="1"/>
    <xf numFmtId="177" fontId="73" fillId="0" borderId="0" xfId="2" applyNumberFormat="1" applyFont="1"/>
    <xf numFmtId="0" fontId="73" fillId="0" borderId="0" xfId="0" quotePrefix="1" applyFont="1"/>
    <xf numFmtId="44" fontId="73" fillId="0" borderId="0" xfId="0" applyNumberFormat="1" applyFont="1"/>
    <xf numFmtId="43" fontId="73" fillId="43" borderId="3" xfId="1" applyFont="1" applyFill="1" applyBorder="1"/>
    <xf numFmtId="44" fontId="73" fillId="43" borderId="3" xfId="2" applyFont="1" applyFill="1" applyBorder="1"/>
    <xf numFmtId="43" fontId="73" fillId="0" borderId="0" xfId="1" applyFont="1"/>
    <xf numFmtId="177" fontId="73" fillId="0" borderId="3" xfId="2" applyNumberFormat="1" applyFont="1" applyBorder="1"/>
    <xf numFmtId="0" fontId="73" fillId="0" borderId="0" xfId="0" applyFont="1" applyAlignment="1"/>
    <xf numFmtId="43" fontId="73" fillId="44" borderId="0" xfId="1" applyFont="1" applyFill="1"/>
    <xf numFmtId="44" fontId="73" fillId="44" borderId="0" xfId="2" applyFont="1" applyFill="1"/>
    <xf numFmtId="168" fontId="73" fillId="0" borderId="0" xfId="3" applyNumberFormat="1" applyFont="1"/>
    <xf numFmtId="0" fontId="73" fillId="0" borderId="0" xfId="0" applyFont="1" applyAlignment="1">
      <alignment horizontal="right"/>
    </xf>
    <xf numFmtId="43" fontId="73" fillId="44" borderId="3" xfId="1" applyFont="1" applyFill="1" applyBorder="1"/>
    <xf numFmtId="44" fontId="73" fillId="44" borderId="3" xfId="2" applyFont="1" applyFill="1" applyBorder="1"/>
    <xf numFmtId="164" fontId="73" fillId="4" borderId="0" xfId="0" applyNumberFormat="1" applyFont="1" applyFill="1"/>
    <xf numFmtId="44" fontId="73" fillId="4" borderId="0" xfId="2" applyNumberFormat="1" applyFont="1" applyFill="1"/>
    <xf numFmtId="49" fontId="10" fillId="4" borderId="0" xfId="0" applyNumberFormat="1" applyFont="1" applyFill="1"/>
    <xf numFmtId="0" fontId="72" fillId="4" borderId="0" xfId="0" applyFont="1" applyFill="1" applyAlignment="1">
      <alignment vertical="top"/>
    </xf>
    <xf numFmtId="0" fontId="77" fillId="4" borderId="0" xfId="0" applyFont="1" applyFill="1" applyAlignment="1">
      <alignment horizontal="right"/>
    </xf>
    <xf numFmtId="0" fontId="73" fillId="4" borderId="2" xfId="0" applyFont="1" applyFill="1" applyBorder="1" applyAlignment="1">
      <alignment horizontal="center"/>
    </xf>
    <xf numFmtId="164" fontId="73" fillId="4" borderId="2" xfId="1" applyNumberFormat="1" applyFont="1" applyFill="1" applyBorder="1" applyAlignment="1">
      <alignment horizontal="center"/>
    </xf>
    <xf numFmtId="0" fontId="73" fillId="4" borderId="2" xfId="0" applyFont="1" applyFill="1" applyBorder="1" applyAlignment="1">
      <alignment horizontal="center" wrapText="1"/>
    </xf>
    <xf numFmtId="0" fontId="78" fillId="5" borderId="0" xfId="4" applyFont="1" applyFill="1" applyAlignment="1">
      <alignment horizontal="left"/>
    </xf>
    <xf numFmtId="43" fontId="72" fillId="5" borderId="0" xfId="1" applyFont="1" applyFill="1" applyAlignment="1">
      <alignment horizontal="center"/>
    </xf>
    <xf numFmtId="0" fontId="74" fillId="6" borderId="0" xfId="4" applyFont="1" applyFill="1" applyAlignment="1">
      <alignment horizontal="left"/>
    </xf>
    <xf numFmtId="43" fontId="73" fillId="4" borderId="2" xfId="0" applyNumberFormat="1" applyFont="1" applyFill="1" applyBorder="1"/>
    <xf numFmtId="0" fontId="73" fillId="0" borderId="0" xfId="0" applyFont="1" applyFill="1"/>
    <xf numFmtId="0" fontId="73" fillId="4" borderId="3" xfId="0" applyFont="1" applyFill="1" applyBorder="1"/>
    <xf numFmtId="164" fontId="73" fillId="4" borderId="3" xfId="0" applyNumberFormat="1" applyFont="1" applyFill="1" applyBorder="1"/>
    <xf numFmtId="164" fontId="73" fillId="4" borderId="3" xfId="1" applyNumberFormat="1" applyFont="1" applyFill="1" applyBorder="1"/>
    <xf numFmtId="0" fontId="73" fillId="4" borderId="0" xfId="0" applyFont="1" applyFill="1" applyAlignment="1">
      <alignment horizontal="right"/>
    </xf>
    <xf numFmtId="164" fontId="73" fillId="0" borderId="0" xfId="1" applyNumberFormat="1" applyFont="1" applyFill="1"/>
    <xf numFmtId="0" fontId="10" fillId="0" borderId="0" xfId="0" applyFont="1" applyFill="1"/>
    <xf numFmtId="49" fontId="10" fillId="0" borderId="0" xfId="0" applyNumberFormat="1" applyFont="1" applyFill="1"/>
    <xf numFmtId="10" fontId="10" fillId="4" borderId="0" xfId="3" applyNumberFormat="1" applyFont="1" applyFill="1" applyBorder="1"/>
    <xf numFmtId="0" fontId="73" fillId="4" borderId="0" xfId="0" applyFont="1" applyFill="1" applyAlignment="1">
      <alignment horizontal="center"/>
    </xf>
    <xf numFmtId="0" fontId="88" fillId="0" borderId="0" xfId="0" applyFont="1" applyAlignment="1">
      <alignment horizontal="left" wrapText="1"/>
    </xf>
    <xf numFmtId="0" fontId="89" fillId="0" borderId="0" xfId="0" applyFont="1" applyAlignment="1">
      <alignment horizontal="center" wrapText="1"/>
    </xf>
    <xf numFmtId="9" fontId="10" fillId="4" borderId="0" xfId="3" applyFont="1" applyFill="1" applyBorder="1"/>
    <xf numFmtId="44" fontId="73" fillId="4" borderId="1" xfId="2" applyNumberFormat="1" applyFont="1" applyFill="1" applyBorder="1"/>
    <xf numFmtId="164" fontId="73" fillId="4" borderId="1" xfId="1" applyNumberFormat="1" applyFont="1" applyFill="1" applyBorder="1"/>
    <xf numFmtId="0" fontId="73" fillId="43" borderId="0" xfId="0" applyFont="1" applyFill="1" applyAlignment="1">
      <alignment horizontal="right"/>
    </xf>
    <xf numFmtId="0" fontId="73" fillId="44" borderId="0" xfId="0" applyFont="1" applyFill="1" applyAlignment="1">
      <alignment horizontal="right"/>
    </xf>
    <xf numFmtId="0" fontId="73" fillId="0" borderId="0" xfId="0" applyFont="1" applyAlignment="1">
      <alignment horizontal="left"/>
    </xf>
    <xf numFmtId="164" fontId="73" fillId="4" borderId="0" xfId="1" applyNumberFormat="1" applyFont="1" applyFill="1" applyBorder="1" applyAlignment="1">
      <alignment horizontal="center"/>
    </xf>
    <xf numFmtId="0" fontId="73" fillId="4" borderId="0" xfId="0" applyFont="1" applyFill="1" applyBorder="1" applyAlignment="1">
      <alignment horizontal="center" wrapText="1"/>
    </xf>
    <xf numFmtId="0" fontId="3" fillId="4" borderId="0" xfId="0" applyFont="1" applyFill="1" applyAlignment="1">
      <alignment vertical="center"/>
    </xf>
    <xf numFmtId="0" fontId="72" fillId="4" borderId="0" xfId="4" applyFont="1" applyFill="1" applyAlignment="1">
      <alignment vertical="center"/>
    </xf>
    <xf numFmtId="0" fontId="73" fillId="4" borderId="0" xfId="0" applyFont="1" applyFill="1" applyAlignment="1">
      <alignment vertical="center"/>
    </xf>
    <xf numFmtId="164" fontId="73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4" borderId="0" xfId="4" applyFont="1" applyFill="1" applyAlignment="1">
      <alignment horizontal="left" vertical="center"/>
    </xf>
    <xf numFmtId="0" fontId="6" fillId="4" borderId="0" xfId="4" applyFont="1" applyFill="1" applyAlignment="1">
      <alignment horizontal="center" vertical="center"/>
    </xf>
    <xf numFmtId="0" fontId="0" fillId="4" borderId="0" xfId="0" applyFill="1" applyBorder="1" applyAlignment="1">
      <alignment vertical="center"/>
    </xf>
    <xf numFmtId="164" fontId="0" fillId="4" borderId="0" xfId="1" applyNumberFormat="1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7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left" vertical="center"/>
    </xf>
    <xf numFmtId="164" fontId="8" fillId="5" borderId="0" xfId="1" applyNumberFormat="1" applyFont="1" applyFill="1" applyAlignment="1">
      <alignment horizontal="left" vertical="center"/>
    </xf>
    <xf numFmtId="164" fontId="0" fillId="4" borderId="0" xfId="1" applyNumberFormat="1" applyFont="1" applyFill="1" applyAlignment="1">
      <alignment vertical="center"/>
    </xf>
    <xf numFmtId="0" fontId="9" fillId="6" borderId="0" xfId="4" applyFont="1" applyFill="1" applyBorder="1" applyAlignment="1">
      <alignment vertical="center"/>
    </xf>
    <xf numFmtId="164" fontId="9" fillId="6" borderId="0" xfId="1" applyNumberFormat="1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44" fontId="73" fillId="4" borderId="0" xfId="2" applyFont="1" applyFill="1" applyAlignment="1">
      <alignment vertical="center"/>
    </xf>
    <xf numFmtId="177" fontId="73" fillId="4" borderId="0" xfId="2" applyNumberFormat="1" applyFont="1" applyFill="1" applyAlignment="1">
      <alignment vertical="center"/>
    </xf>
    <xf numFmtId="43" fontId="73" fillId="4" borderId="0" xfId="0" applyNumberFormat="1" applyFont="1" applyFill="1" applyAlignment="1">
      <alignment vertical="center"/>
    </xf>
    <xf numFmtId="164" fontId="73" fillId="4" borderId="0" xfId="0" applyNumberFormat="1" applyFont="1" applyFill="1" applyAlignment="1">
      <alignment vertical="center"/>
    </xf>
    <xf numFmtId="1" fontId="73" fillId="4" borderId="0" xfId="0" applyNumberFormat="1" applyFont="1" applyFill="1" applyAlignment="1">
      <alignment vertical="center"/>
    </xf>
    <xf numFmtId="0" fontId="72" fillId="4" borderId="0" xfId="5" applyFont="1" applyFill="1" applyAlignment="1">
      <alignment vertical="center"/>
    </xf>
    <xf numFmtId="0" fontId="72" fillId="4" borderId="0" xfId="4" applyFont="1" applyFill="1" applyBorder="1" applyAlignment="1">
      <alignment vertical="center"/>
    </xf>
    <xf numFmtId="0" fontId="74" fillId="4" borderId="0" xfId="4" applyFont="1" applyFill="1" applyBorder="1" applyAlignment="1">
      <alignment horizontal="right" vertical="center"/>
    </xf>
    <xf numFmtId="44" fontId="73" fillId="4" borderId="2" xfId="2" applyFont="1" applyFill="1" applyBorder="1" applyAlignment="1">
      <alignment vertical="center"/>
    </xf>
    <xf numFmtId="177" fontId="73" fillId="4" borderId="2" xfId="2" applyNumberFormat="1" applyFont="1" applyFill="1" applyBorder="1" applyAlignment="1">
      <alignment vertical="center"/>
    </xf>
    <xf numFmtId="0" fontId="73" fillId="4" borderId="2" xfId="0" applyFont="1" applyFill="1" applyBorder="1" applyAlignment="1">
      <alignment vertical="center"/>
    </xf>
    <xf numFmtId="164" fontId="73" fillId="4" borderId="2" xfId="1" applyNumberFormat="1" applyFont="1" applyFill="1" applyBorder="1" applyAlignment="1">
      <alignment vertical="center"/>
    </xf>
    <xf numFmtId="0" fontId="5" fillId="4" borderId="0" xfId="4" applyFont="1" applyFill="1" applyBorder="1" applyAlignment="1">
      <alignment vertical="center"/>
    </xf>
    <xf numFmtId="43" fontId="73" fillId="4" borderId="0" xfId="1" applyFont="1" applyFill="1" applyAlignment="1">
      <alignment vertical="center"/>
    </xf>
    <xf numFmtId="164" fontId="73" fillId="0" borderId="0" xfId="0" applyNumberFormat="1" applyFont="1" applyFill="1" applyAlignment="1">
      <alignment vertical="center"/>
    </xf>
    <xf numFmtId="44" fontId="73" fillId="4" borderId="0" xfId="2" quotePrefix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3" fillId="0" borderId="0" xfId="0" applyFont="1" applyFill="1" applyAlignment="1">
      <alignment vertical="center"/>
    </xf>
    <xf numFmtId="44" fontId="73" fillId="0" borderId="0" xfId="2" applyFont="1" applyFill="1" applyAlignment="1">
      <alignment vertical="center"/>
    </xf>
    <xf numFmtId="177" fontId="73" fillId="0" borderId="0" xfId="2" applyNumberFormat="1" applyFont="1" applyFill="1" applyAlignment="1">
      <alignment vertical="center"/>
    </xf>
    <xf numFmtId="164" fontId="73" fillId="0" borderId="0" xfId="1" applyNumberFormat="1" applyFont="1" applyFill="1" applyAlignment="1">
      <alignment vertical="center"/>
    </xf>
    <xf numFmtId="43" fontId="73" fillId="0" borderId="0" xfId="0" applyNumberFormat="1" applyFont="1" applyFill="1" applyAlignment="1">
      <alignment vertical="center"/>
    </xf>
    <xf numFmtId="43" fontId="73" fillId="0" borderId="0" xfId="1" applyFont="1" applyFill="1" applyAlignment="1">
      <alignment vertical="center"/>
    </xf>
    <xf numFmtId="41" fontId="73" fillId="4" borderId="0" xfId="0" applyNumberFormat="1" applyFont="1" applyFill="1" applyAlignment="1">
      <alignment vertical="center"/>
    </xf>
    <xf numFmtId="164" fontId="73" fillId="4" borderId="2" xfId="0" applyNumberFormat="1" applyFont="1" applyFill="1" applyBorder="1" applyAlignment="1">
      <alignment vertical="center"/>
    </xf>
    <xf numFmtId="0" fontId="74" fillId="4" borderId="0" xfId="4" applyFont="1" applyFill="1" applyAlignment="1">
      <alignment horizontal="right" vertical="center"/>
    </xf>
    <xf numFmtId="44" fontId="73" fillId="4" borderId="3" xfId="2" applyFont="1" applyFill="1" applyBorder="1" applyAlignment="1">
      <alignment vertical="center"/>
    </xf>
    <xf numFmtId="164" fontId="73" fillId="4" borderId="3" xfId="1" applyNumberFormat="1" applyFont="1" applyFill="1" applyBorder="1" applyAlignment="1">
      <alignment vertical="center"/>
    </xf>
    <xf numFmtId="43" fontId="73" fillId="4" borderId="3" xfId="0" applyNumberFormat="1" applyFont="1" applyFill="1" applyBorder="1" applyAlignment="1">
      <alignment vertical="center"/>
    </xf>
    <xf numFmtId="44" fontId="73" fillId="4" borderId="0" xfId="0" applyNumberFormat="1" applyFont="1" applyFill="1" applyAlignment="1">
      <alignment vertical="center"/>
    </xf>
    <xf numFmtId="0" fontId="73" fillId="4" borderId="0" xfId="0" applyFont="1" applyFill="1" applyBorder="1" applyAlignment="1">
      <alignment vertical="center"/>
    </xf>
    <xf numFmtId="0" fontId="91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177" fontId="3" fillId="4" borderId="0" xfId="0" applyNumberFormat="1" applyFont="1" applyFill="1" applyAlignment="1">
      <alignment vertical="center"/>
    </xf>
    <xf numFmtId="10" fontId="3" fillId="4" borderId="0" xfId="3" applyNumberFormat="1" applyFont="1" applyFill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164" fontId="73" fillId="4" borderId="0" xfId="1" applyNumberFormat="1" applyFont="1" applyFill="1" applyBorder="1" applyAlignment="1">
      <alignment vertical="center"/>
    </xf>
    <xf numFmtId="164" fontId="3" fillId="4" borderId="0" xfId="1" applyNumberFormat="1" applyFont="1" applyFill="1" applyBorder="1" applyAlignment="1">
      <alignment horizontal="right" vertical="center"/>
    </xf>
    <xf numFmtId="164" fontId="73" fillId="4" borderId="0" xfId="1" applyNumberFormat="1" applyFont="1" applyFill="1" applyBorder="1" applyAlignment="1">
      <alignment horizontal="right" vertical="center"/>
    </xf>
    <xf numFmtId="177" fontId="73" fillId="4" borderId="0" xfId="0" applyNumberFormat="1" applyFont="1" applyFill="1" applyAlignment="1">
      <alignment vertical="center"/>
    </xf>
    <xf numFmtId="3" fontId="3" fillId="4" borderId="0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 wrapText="1"/>
    </xf>
    <xf numFmtId="10" fontId="3" fillId="4" borderId="0" xfId="3" applyNumberFormat="1" applyFont="1" applyFill="1" applyBorder="1" applyAlignment="1">
      <alignment horizontal="right" vertical="center"/>
    </xf>
    <xf numFmtId="0" fontId="73" fillId="4" borderId="0" xfId="0" applyFont="1" applyFill="1" applyAlignment="1">
      <alignment horizontal="right" vertical="center"/>
    </xf>
    <xf numFmtId="10" fontId="73" fillId="4" borderId="0" xfId="3" applyNumberFormat="1" applyFont="1" applyFill="1" applyBorder="1" applyAlignment="1">
      <alignment horizontal="right" vertical="center"/>
    </xf>
    <xf numFmtId="3" fontId="73" fillId="4" borderId="0" xfId="0" applyNumberFormat="1" applyFont="1" applyFill="1" applyBorder="1" applyAlignment="1">
      <alignment vertical="center"/>
    </xf>
    <xf numFmtId="164" fontId="90" fillId="4" borderId="0" xfId="1" applyNumberFormat="1" applyFont="1" applyFill="1" applyBorder="1" applyAlignment="1">
      <alignment vertical="center"/>
    </xf>
    <xf numFmtId="0" fontId="90" fillId="4" borderId="0" xfId="0" applyFont="1" applyFill="1" applyBorder="1" applyAlignment="1">
      <alignment horizontal="center" vertical="center"/>
    </xf>
    <xf numFmtId="177" fontId="73" fillId="4" borderId="0" xfId="0" applyNumberFormat="1" applyFont="1" applyFill="1" applyAlignment="1">
      <alignment horizontal="right" vertical="center"/>
    </xf>
    <xf numFmtId="165" fontId="73" fillId="4" borderId="0" xfId="2" applyNumberFormat="1" applyFont="1" applyFill="1" applyBorder="1" applyAlignment="1">
      <alignment vertical="center"/>
    </xf>
    <xf numFmtId="10" fontId="3" fillId="4" borderId="0" xfId="0" applyNumberFormat="1" applyFont="1" applyFill="1" applyBorder="1" applyAlignment="1">
      <alignment vertical="center"/>
    </xf>
    <xf numFmtId="43" fontId="73" fillId="4" borderId="0" xfId="0" applyNumberFormat="1" applyFont="1" applyFill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0" xfId="4" applyFont="1" applyFill="1" applyAlignment="1">
      <alignment vertical="center"/>
    </xf>
    <xf numFmtId="10" fontId="73" fillId="4" borderId="0" xfId="1" applyNumberFormat="1" applyFont="1" applyFill="1" applyBorder="1" applyAlignment="1">
      <alignment vertical="center"/>
    </xf>
    <xf numFmtId="0" fontId="75" fillId="4" borderId="0" xfId="4" applyFont="1" applyFill="1" applyAlignment="1">
      <alignment horizontal="left" vertical="center" wrapText="1"/>
    </xf>
    <xf numFmtId="0" fontId="75" fillId="4" borderId="0" xfId="4" applyFont="1" applyFill="1" applyAlignment="1">
      <alignment horizontal="center" vertical="center" wrapText="1"/>
    </xf>
    <xf numFmtId="0" fontId="73" fillId="4" borderId="0" xfId="0" applyFont="1" applyFill="1" applyAlignment="1">
      <alignment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74" fillId="4" borderId="0" xfId="4" applyFont="1" applyFill="1" applyAlignment="1">
      <alignment vertical="center"/>
    </xf>
    <xf numFmtId="0" fontId="73" fillId="45" borderId="0" xfId="0" applyFont="1" applyFill="1" applyAlignment="1">
      <alignment vertical="center"/>
    </xf>
    <xf numFmtId="43" fontId="73" fillId="45" borderId="0" xfId="1" applyFont="1" applyFill="1" applyAlignment="1">
      <alignment vertical="center"/>
    </xf>
    <xf numFmtId="3" fontId="3" fillId="4" borderId="29" xfId="0" applyNumberFormat="1" applyFont="1" applyFill="1" applyBorder="1" applyAlignment="1">
      <alignment vertical="center"/>
    </xf>
    <xf numFmtId="3" fontId="3" fillId="4" borderId="2" xfId="0" applyNumberFormat="1" applyFont="1" applyFill="1" applyBorder="1" applyAlignment="1">
      <alignment vertical="center"/>
    </xf>
    <xf numFmtId="10" fontId="73" fillId="4" borderId="0" xfId="0" applyNumberFormat="1" applyFont="1" applyFill="1" applyBorder="1" applyAlignment="1">
      <alignment horizontal="center" vertical="center"/>
    </xf>
    <xf numFmtId="10" fontId="3" fillId="4" borderId="29" xfId="0" applyNumberFormat="1" applyFont="1" applyFill="1" applyBorder="1" applyAlignment="1">
      <alignment horizontal="center" vertical="center"/>
    </xf>
    <xf numFmtId="10" fontId="73" fillId="4" borderId="29" xfId="0" applyNumberFormat="1" applyFont="1" applyFill="1" applyBorder="1" applyAlignment="1">
      <alignment horizontal="center" vertical="center"/>
    </xf>
    <xf numFmtId="10" fontId="3" fillId="4" borderId="0" xfId="3" applyNumberFormat="1" applyFont="1" applyFill="1" applyAlignment="1">
      <alignment horizontal="center" vertical="center"/>
    </xf>
    <xf numFmtId="10" fontId="3" fillId="4" borderId="0" xfId="0" applyNumberFormat="1" applyFont="1" applyFill="1" applyAlignment="1">
      <alignment horizontal="center" vertical="center"/>
    </xf>
    <xf numFmtId="0" fontId="88" fillId="0" borderId="0" xfId="0" applyFont="1" applyAlignment="1"/>
    <xf numFmtId="0" fontId="3" fillId="4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93" fillId="46" borderId="30" xfId="4" applyFont="1" applyFill="1" applyBorder="1" applyAlignment="1">
      <alignment horizontal="left" vertical="center" wrapText="1"/>
    </xf>
    <xf numFmtId="0" fontId="93" fillId="46" borderId="31" xfId="4" applyFont="1" applyFill="1" applyBorder="1" applyAlignment="1">
      <alignment horizontal="left" vertical="center" wrapText="1"/>
    </xf>
    <xf numFmtId="0" fontId="93" fillId="46" borderId="32" xfId="4" applyFont="1" applyFill="1" applyBorder="1" applyAlignment="1">
      <alignment horizontal="left" vertical="center" wrapText="1"/>
    </xf>
    <xf numFmtId="0" fontId="93" fillId="46" borderId="33" xfId="4" applyFont="1" applyFill="1" applyBorder="1" applyAlignment="1">
      <alignment horizontal="left" vertical="center" wrapText="1"/>
    </xf>
    <xf numFmtId="0" fontId="93" fillId="46" borderId="24" xfId="4" applyFont="1" applyFill="1" applyBorder="1" applyAlignment="1">
      <alignment horizontal="left" vertical="center" wrapText="1"/>
    </xf>
    <xf numFmtId="0" fontId="93" fillId="46" borderId="34" xfId="4" applyFont="1" applyFill="1" applyBorder="1" applyAlignment="1">
      <alignment horizontal="left" vertical="center" wrapText="1"/>
    </xf>
    <xf numFmtId="0" fontId="73" fillId="4" borderId="0" xfId="0" applyFont="1" applyFill="1" applyAlignment="1">
      <alignment horizontal="center"/>
    </xf>
    <xf numFmtId="0" fontId="93" fillId="46" borderId="35" xfId="4" applyFont="1" applyFill="1" applyBorder="1" applyAlignment="1">
      <alignment horizontal="left" vertical="center" wrapText="1"/>
    </xf>
    <xf numFmtId="0" fontId="93" fillId="46" borderId="36" xfId="4" applyFont="1" applyFill="1" applyBorder="1" applyAlignment="1">
      <alignment horizontal="left" vertical="center" wrapText="1"/>
    </xf>
    <xf numFmtId="0" fontId="93" fillId="46" borderId="37" xfId="4" applyFont="1" applyFill="1" applyBorder="1" applyAlignment="1">
      <alignment horizontal="left" vertical="center" wrapText="1"/>
    </xf>
    <xf numFmtId="0" fontId="76" fillId="0" borderId="0" xfId="0" applyFont="1" applyAlignment="1">
      <alignment horizontal="left" wrapText="1"/>
    </xf>
    <xf numFmtId="0" fontId="7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3" fillId="4" borderId="0" xfId="0" applyFont="1" applyFill="1" applyAlignment="1">
      <alignment horizontal="center" wrapText="1"/>
    </xf>
  </cellXfs>
  <cellStyles count="678">
    <cellStyle name="20% - Accent1 2" xfId="6"/>
    <cellStyle name="20% - Accent1 2 2" xfId="7"/>
    <cellStyle name="20% - Accent1 2 3" xfId="8"/>
    <cellStyle name="20% - Accent1 3" xfId="9"/>
    <cellStyle name="20% - Accent1 3 2" xfId="10"/>
    <cellStyle name="20% - Accent1 3 3" xfId="11"/>
    <cellStyle name="20% - Accent1 4" xfId="12"/>
    <cellStyle name="20% - Accent2 2" xfId="13"/>
    <cellStyle name="20% - Accent2 3" xfId="14"/>
    <cellStyle name="20% - Accent2 3 2" xfId="15"/>
    <cellStyle name="20% - Accent3 2" xfId="16"/>
    <cellStyle name="20% - Accent3 3" xfId="17"/>
    <cellStyle name="20% - Accent3 3 2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3 3" xfId="24"/>
    <cellStyle name="20% - Accent4 4" xfId="25"/>
    <cellStyle name="20% - Accent5 2" xfId="26"/>
    <cellStyle name="20% - Accent5 3" xfId="27"/>
    <cellStyle name="20% - Accent6 2" xfId="28"/>
    <cellStyle name="20% - Accent6 3" xfId="29"/>
    <cellStyle name="20% - Accent6 3 2" xfId="30"/>
    <cellStyle name="40% - Accent1 2" xfId="31"/>
    <cellStyle name="40% - Accent1 2 2" xfId="32"/>
    <cellStyle name="40% - Accent1 3" xfId="33"/>
    <cellStyle name="40% - Accent1 3 2" xfId="34"/>
    <cellStyle name="40% - Accent1 3 3" xfId="35"/>
    <cellStyle name="40% - Accent1 4" xfId="36"/>
    <cellStyle name="40% - Accent2 2" xfId="37"/>
    <cellStyle name="40% - Accent2 3" xfId="38"/>
    <cellStyle name="40% - Accent3 2" xfId="39"/>
    <cellStyle name="40% - Accent3 3" xfId="40"/>
    <cellStyle name="40% - Accent3 3 2" xfId="41"/>
    <cellStyle name="40% - Accent4 2" xfId="42"/>
    <cellStyle name="40% - Accent4 2 2" xfId="43"/>
    <cellStyle name="40% - Accent4 3" xfId="44"/>
    <cellStyle name="40% - Accent4 3 2" xfId="45"/>
    <cellStyle name="40% - Accent4 3 3" xfId="46"/>
    <cellStyle name="40% - Accent4 4" xfId="47"/>
    <cellStyle name="40% - Accent5 2" xfId="48"/>
    <cellStyle name="40% - Accent5 2 2" xfId="49"/>
    <cellStyle name="40% - Accent5 3" xfId="50"/>
    <cellStyle name="40% - Accent5 3 2" xfId="51"/>
    <cellStyle name="40% - Accent6 2" xfId="52"/>
    <cellStyle name="40% - Accent6 2 2" xfId="53"/>
    <cellStyle name="40% - Accent6 3" xfId="54"/>
    <cellStyle name="40% - Accent6 3 2" xfId="55"/>
    <cellStyle name="40% - Accent6 3 3" xfId="56"/>
    <cellStyle name="40% - Accent6 4" xfId="57"/>
    <cellStyle name="60% - Accent1 2" xfId="58"/>
    <cellStyle name="60% - Accent1 2 2" xfId="59"/>
    <cellStyle name="60% - Accent1 2 3" xfId="60"/>
    <cellStyle name="60% - Accent1 3" xfId="61"/>
    <cellStyle name="60% - Accent1 3 2" xfId="62"/>
    <cellStyle name="60% - Accent1 3 3" xfId="63"/>
    <cellStyle name="60% - Accent1 4" xfId="64"/>
    <cellStyle name="60% - Accent2 2" xfId="65"/>
    <cellStyle name="60% - Accent2 2 2" xfId="66"/>
    <cellStyle name="60% - Accent2 3" xfId="67"/>
    <cellStyle name="60% - Accent2 3 2" xfId="68"/>
    <cellStyle name="60% - Accent3 2" xfId="69"/>
    <cellStyle name="60% - Accent3 2 2" xfId="70"/>
    <cellStyle name="60% - Accent3 3" xfId="71"/>
    <cellStyle name="60% - Accent3 3 2" xfId="72"/>
    <cellStyle name="60% - Accent3 3 3" xfId="73"/>
    <cellStyle name="60% - Accent3 4" xfId="74"/>
    <cellStyle name="60% - Accent4 2" xfId="75"/>
    <cellStyle name="60% - Accent4 2 2" xfId="76"/>
    <cellStyle name="60% - Accent4 3" xfId="77"/>
    <cellStyle name="60% - Accent4 3 2" xfId="78"/>
    <cellStyle name="60% - Accent4 3 3" xfId="79"/>
    <cellStyle name="60% - Accent4 4" xfId="80"/>
    <cellStyle name="60% - Accent5 2" xfId="81"/>
    <cellStyle name="60% - Accent5 2 2" xfId="82"/>
    <cellStyle name="60% - Accent5 2 3" xfId="83"/>
    <cellStyle name="60% - Accent5 3" xfId="84"/>
    <cellStyle name="60% - Accent5 3 2" xfId="85"/>
    <cellStyle name="60% - Accent6 2" xfId="86"/>
    <cellStyle name="60% - Accent6 3" xfId="87"/>
    <cellStyle name="60% - Accent6 3 2" xfId="88"/>
    <cellStyle name="Accent1 2" xfId="89"/>
    <cellStyle name="Accent1 2 2" xfId="90"/>
    <cellStyle name="Accent1 2 3" xfId="91"/>
    <cellStyle name="Accent1 3" xfId="92"/>
    <cellStyle name="Accent1 3 2" xfId="93"/>
    <cellStyle name="Accent1 3 3" xfId="94"/>
    <cellStyle name="Accent1 4" xfId="95"/>
    <cellStyle name="Accent2 2" xfId="96"/>
    <cellStyle name="Accent2 2 2" xfId="97"/>
    <cellStyle name="Accent2 3" xfId="98"/>
    <cellStyle name="Accent2 3 2" xfId="99"/>
    <cellStyle name="Accent3 2" xfId="100"/>
    <cellStyle name="Accent3 2 2" xfId="101"/>
    <cellStyle name="Accent3 2 3" xfId="102"/>
    <cellStyle name="Accent3 3" xfId="103"/>
    <cellStyle name="Accent3 3 2" xfId="104"/>
    <cellStyle name="Accent4 2" xfId="105"/>
    <cellStyle name="Accent4 3" xfId="106"/>
    <cellStyle name="Accent4 3 2" xfId="107"/>
    <cellStyle name="Accent5 2" xfId="108"/>
    <cellStyle name="Accent5 3" xfId="109"/>
    <cellStyle name="Accent6 2" xfId="110"/>
    <cellStyle name="Accent6 2 2" xfId="111"/>
    <cellStyle name="Accent6 2 3" xfId="112"/>
    <cellStyle name="Accent6 3" xfId="113"/>
    <cellStyle name="Accent6 3 2" xfId="114"/>
    <cellStyle name="Accounting" xfId="115"/>
    <cellStyle name="Accounting 2" xfId="116"/>
    <cellStyle name="Accounting 3" xfId="117"/>
    <cellStyle name="Accounting_2011-11" xfId="118"/>
    <cellStyle name="APS" xfId="119"/>
    <cellStyle name="APSLabels" xfId="120"/>
    <cellStyle name="Bad 2" xfId="121"/>
    <cellStyle name="Bad 2 2" xfId="122"/>
    <cellStyle name="Bad 3" xfId="123"/>
    <cellStyle name="Bad 3 2" xfId="124"/>
    <cellStyle name="Budget" xfId="125"/>
    <cellStyle name="Budget 2" xfId="126"/>
    <cellStyle name="Budget 3" xfId="127"/>
    <cellStyle name="Budget_2011-11" xfId="128"/>
    <cellStyle name="Calculation 2" xfId="129"/>
    <cellStyle name="Calculation 2 2" xfId="130"/>
    <cellStyle name="Calculation 2 3" xfId="131"/>
    <cellStyle name="Calculation 3" xfId="132"/>
    <cellStyle name="Calculation 3 2" xfId="133"/>
    <cellStyle name="Calculation 3 3" xfId="134"/>
    <cellStyle name="Calculation 4" xfId="135"/>
    <cellStyle name="Check Cell 2" xfId="136"/>
    <cellStyle name="Check Cell 3" xfId="137"/>
    <cellStyle name="Color" xfId="138"/>
    <cellStyle name="combo" xfId="139"/>
    <cellStyle name="Comma" xfId="1" builtinId="3"/>
    <cellStyle name="Comma 10" xfId="140"/>
    <cellStyle name="Comma 10 2" xfId="141"/>
    <cellStyle name="Comma 11" xfId="142"/>
    <cellStyle name="Comma 11 2" xfId="143"/>
    <cellStyle name="Comma 12" xfId="144"/>
    <cellStyle name="Comma 12 2" xfId="145"/>
    <cellStyle name="Comma 12 2 2" xfId="146"/>
    <cellStyle name="Comma 12 3" xfId="147"/>
    <cellStyle name="Comma 12 4" xfId="148"/>
    <cellStyle name="Comma 12 5" xfId="149"/>
    <cellStyle name="Comma 13" xfId="150"/>
    <cellStyle name="Comma 13 2" xfId="151"/>
    <cellStyle name="Comma 13 3" xfId="152"/>
    <cellStyle name="Comma 14" xfId="153"/>
    <cellStyle name="Comma 15" xfId="154"/>
    <cellStyle name="Comma 15 2" xfId="155"/>
    <cellStyle name="Comma 15 3" xfId="156"/>
    <cellStyle name="Comma 16" xfId="157"/>
    <cellStyle name="Comma 17" xfId="158"/>
    <cellStyle name="Comma 17 2" xfId="159"/>
    <cellStyle name="Comma 17 3" xfId="160"/>
    <cellStyle name="Comma 17 4" xfId="161"/>
    <cellStyle name="Comma 18" xfId="162"/>
    <cellStyle name="Comma 18 2" xfId="163"/>
    <cellStyle name="Comma 18 3" xfId="164"/>
    <cellStyle name="Comma 18 4" xfId="165"/>
    <cellStyle name="Comma 19" xfId="166"/>
    <cellStyle name="Comma 2" xfId="167"/>
    <cellStyle name="Comma 2 2" xfId="168"/>
    <cellStyle name="Comma 2 2 2" xfId="169"/>
    <cellStyle name="Comma 2 2 2 2" xfId="170"/>
    <cellStyle name="Comma 2 2 3" xfId="171"/>
    <cellStyle name="Comma 2 3" xfId="172"/>
    <cellStyle name="Comma 2 4" xfId="173"/>
    <cellStyle name="Comma 2 4 2" xfId="174"/>
    <cellStyle name="Comma 2 4 3" xfId="175"/>
    <cellStyle name="Comma 2 4 4" xfId="176"/>
    <cellStyle name="Comma 2 5" xfId="177"/>
    <cellStyle name="Comma 2 6" xfId="178"/>
    <cellStyle name="Comma 2 6 2" xfId="179"/>
    <cellStyle name="Comma 2 7" xfId="180"/>
    <cellStyle name="Comma 2 8" xfId="181"/>
    <cellStyle name="Comma 20" xfId="182"/>
    <cellStyle name="Comma 21" xfId="183"/>
    <cellStyle name="Comma 21 2" xfId="184"/>
    <cellStyle name="Comma 22" xfId="185"/>
    <cellStyle name="Comma 23" xfId="186"/>
    <cellStyle name="Comma 3" xfId="187"/>
    <cellStyle name="Comma 3 2" xfId="188"/>
    <cellStyle name="Comma 3 2 2" xfId="189"/>
    <cellStyle name="Comma 3 3" xfId="190"/>
    <cellStyle name="Comma 3 4" xfId="191"/>
    <cellStyle name="Comma 4" xfId="192"/>
    <cellStyle name="Comma 4 2" xfId="193"/>
    <cellStyle name="Comma 4 2 2" xfId="194"/>
    <cellStyle name="Comma 4 2 3" xfId="195"/>
    <cellStyle name="Comma 4 2 4" xfId="196"/>
    <cellStyle name="Comma 4 3" xfId="197"/>
    <cellStyle name="Comma 4 3 2" xfId="198"/>
    <cellStyle name="Comma 4 3 3" xfId="199"/>
    <cellStyle name="Comma 4 4" xfId="200"/>
    <cellStyle name="Comma 4 4 2" xfId="201"/>
    <cellStyle name="Comma 4 4 3" xfId="202"/>
    <cellStyle name="Comma 4 5" xfId="203"/>
    <cellStyle name="Comma 4 5 2" xfId="204"/>
    <cellStyle name="Comma 4 6" xfId="205"/>
    <cellStyle name="Comma 5" xfId="206"/>
    <cellStyle name="Comma 5 2" xfId="207"/>
    <cellStyle name="Comma 5 2 2" xfId="208"/>
    <cellStyle name="Comma 5 3" xfId="209"/>
    <cellStyle name="Comma 5 4" xfId="210"/>
    <cellStyle name="Comma 5 5" xfId="211"/>
    <cellStyle name="Comma 6" xfId="212"/>
    <cellStyle name="Comma 6 2" xfId="213"/>
    <cellStyle name="Comma 6 2 2" xfId="214"/>
    <cellStyle name="Comma 6 2 3" xfId="215"/>
    <cellStyle name="Comma 6 3" xfId="216"/>
    <cellStyle name="Comma 6 4" xfId="217"/>
    <cellStyle name="Comma 7" xfId="218"/>
    <cellStyle name="Comma 7 2" xfId="219"/>
    <cellStyle name="Comma 7 2 2" xfId="220"/>
    <cellStyle name="Comma 7 3" xfId="221"/>
    <cellStyle name="Comma 8" xfId="222"/>
    <cellStyle name="Comma 8 2" xfId="223"/>
    <cellStyle name="Comma 8 2 2" xfId="224"/>
    <cellStyle name="Comma 8 3" xfId="225"/>
    <cellStyle name="Comma 8 4" xfId="226"/>
    <cellStyle name="Comma 9" xfId="227"/>
    <cellStyle name="Comma 9 2" xfId="228"/>
    <cellStyle name="Comma(2)" xfId="229"/>
    <cellStyle name="Comma0" xfId="230"/>
    <cellStyle name="Comma0 - Style2" xfId="231"/>
    <cellStyle name="Comma1 - Style1" xfId="232"/>
    <cellStyle name="Comments" xfId="233"/>
    <cellStyle name="Currency" xfId="2" builtinId="4"/>
    <cellStyle name="Currency 10" xfId="234"/>
    <cellStyle name="Currency 11" xfId="235"/>
    <cellStyle name="Currency 12" xfId="236"/>
    <cellStyle name="Currency 13" xfId="237"/>
    <cellStyle name="Currency 14" xfId="238"/>
    <cellStyle name="Currency 15" xfId="239"/>
    <cellStyle name="Currency 2" xfId="240"/>
    <cellStyle name="Currency 2 2" xfId="241"/>
    <cellStyle name="Currency 2 2 2" xfId="242"/>
    <cellStyle name="Currency 2 2 3" xfId="243"/>
    <cellStyle name="Currency 2 2 4" xfId="244"/>
    <cellStyle name="Currency 2 3" xfId="245"/>
    <cellStyle name="Currency 2 3 2" xfId="246"/>
    <cellStyle name="Currency 2 3 3" xfId="247"/>
    <cellStyle name="Currency 2 4" xfId="248"/>
    <cellStyle name="Currency 2 5" xfId="249"/>
    <cellStyle name="Currency 2 6" xfId="250"/>
    <cellStyle name="Currency 2 6 2" xfId="251"/>
    <cellStyle name="Currency 3" xfId="252"/>
    <cellStyle name="Currency 3 2" xfId="253"/>
    <cellStyle name="Currency 3 2 2" xfId="254"/>
    <cellStyle name="Currency 3 3" xfId="255"/>
    <cellStyle name="Currency 3 3 2" xfId="256"/>
    <cellStyle name="Currency 3 4" xfId="257"/>
    <cellStyle name="Currency 3 5" xfId="258"/>
    <cellStyle name="Currency 4" xfId="259"/>
    <cellStyle name="Currency 4 2" xfId="260"/>
    <cellStyle name="Currency 4 2 2" xfId="261"/>
    <cellStyle name="Currency 4 3" xfId="262"/>
    <cellStyle name="Currency 4 4" xfId="263"/>
    <cellStyle name="Currency 5" xfId="264"/>
    <cellStyle name="Currency 5 2" xfId="265"/>
    <cellStyle name="Currency 5 3" xfId="266"/>
    <cellStyle name="Currency 6" xfId="267"/>
    <cellStyle name="Currency 7" xfId="268"/>
    <cellStyle name="Currency 8" xfId="269"/>
    <cellStyle name="Currency 8 2" xfId="270"/>
    <cellStyle name="Currency 8 3" xfId="271"/>
    <cellStyle name="Currency 9" xfId="272"/>
    <cellStyle name="Currency0" xfId="273"/>
    <cellStyle name="Data Enter" xfId="274"/>
    <cellStyle name="date" xfId="275"/>
    <cellStyle name="Explanatory Text 2" xfId="276"/>
    <cellStyle name="Explanatory Text 3" xfId="277"/>
    <cellStyle name="F9ReportControlStyle_ctpInquire" xfId="278"/>
    <cellStyle name="FactSheet" xfId="279"/>
    <cellStyle name="fish" xfId="280"/>
    <cellStyle name="Good 2" xfId="281"/>
    <cellStyle name="Good 2 2" xfId="282"/>
    <cellStyle name="Good 3" xfId="283"/>
    <cellStyle name="Good 3 2" xfId="284"/>
    <cellStyle name="Good 4" xfId="285"/>
    <cellStyle name="Heading 1 2" xfId="286"/>
    <cellStyle name="Heading 1 2 2" xfId="287"/>
    <cellStyle name="Heading 1 2 3" xfId="288"/>
    <cellStyle name="Heading 1 3" xfId="289"/>
    <cellStyle name="Heading 1 3 2" xfId="290"/>
    <cellStyle name="Heading 1 3 3" xfId="291"/>
    <cellStyle name="Heading 1 4" xfId="292"/>
    <cellStyle name="Heading 2 2" xfId="293"/>
    <cellStyle name="Heading 2 2 2" xfId="294"/>
    <cellStyle name="Heading 2 2 3" xfId="295"/>
    <cellStyle name="Heading 2 3" xfId="296"/>
    <cellStyle name="Heading 2 3 2" xfId="297"/>
    <cellStyle name="Heading 2 3 3" xfId="298"/>
    <cellStyle name="Heading 2 4" xfId="299"/>
    <cellStyle name="Heading 3 2" xfId="300"/>
    <cellStyle name="Heading 3 2 2" xfId="301"/>
    <cellStyle name="Heading 3 2 3" xfId="302"/>
    <cellStyle name="Heading 3 3" xfId="303"/>
    <cellStyle name="Heading 3 3 2" xfId="304"/>
    <cellStyle name="Heading 3 3 3" xfId="305"/>
    <cellStyle name="Heading 3 4" xfId="306"/>
    <cellStyle name="Heading 4 2" xfId="307"/>
    <cellStyle name="Heading 4 3" xfId="308"/>
    <cellStyle name="Heading 4 3 2" xfId="309"/>
    <cellStyle name="Hyperlink 2" xfId="310"/>
    <cellStyle name="Hyperlink 3" xfId="311"/>
    <cellStyle name="Hyperlink 3 2" xfId="312"/>
    <cellStyle name="Input 2" xfId="313"/>
    <cellStyle name="Input 3" xfId="314"/>
    <cellStyle name="Input 3 2" xfId="315"/>
    <cellStyle name="input(0)" xfId="316"/>
    <cellStyle name="Input(2)" xfId="317"/>
    <cellStyle name="Labels" xfId="318"/>
    <cellStyle name="Linked Cell 2" xfId="319"/>
    <cellStyle name="Linked Cell 2 2" xfId="320"/>
    <cellStyle name="Linked Cell 2 3" xfId="321"/>
    <cellStyle name="Linked Cell 3" xfId="322"/>
    <cellStyle name="Linked Cell 3 2" xfId="323"/>
    <cellStyle name="Neutral 2" xfId="324"/>
    <cellStyle name="Neutral 2 2" xfId="325"/>
    <cellStyle name="Neutral 2 3" xfId="326"/>
    <cellStyle name="Neutral 3" xfId="327"/>
    <cellStyle name="Neutral 3 2" xfId="328"/>
    <cellStyle name="New_normal" xfId="329"/>
    <cellStyle name="Normal" xfId="0" builtinId="0"/>
    <cellStyle name="Normal - Style1" xfId="330"/>
    <cellStyle name="Normal - Style2" xfId="331"/>
    <cellStyle name="Normal - Style3" xfId="332"/>
    <cellStyle name="Normal - Style4" xfId="333"/>
    <cellStyle name="Normal - Style5" xfId="334"/>
    <cellStyle name="Normal 10" xfId="335"/>
    <cellStyle name="Normal 10 2" xfId="336"/>
    <cellStyle name="Normal 10 2 2" xfId="337"/>
    <cellStyle name="Normal 10 2 3" xfId="338"/>
    <cellStyle name="Normal 10 2 4" xfId="339"/>
    <cellStyle name="Normal 10 2 5" xfId="340"/>
    <cellStyle name="Normal 10 3" xfId="341"/>
    <cellStyle name="Normal 10_2112 DF Schedule" xfId="342"/>
    <cellStyle name="Normal 100" xfId="343"/>
    <cellStyle name="Normal 101" xfId="344"/>
    <cellStyle name="Normal 102" xfId="345"/>
    <cellStyle name="Normal 103" xfId="346"/>
    <cellStyle name="Normal 104" xfId="347"/>
    <cellStyle name="Normal 105" xfId="348"/>
    <cellStyle name="Normal 106" xfId="349"/>
    <cellStyle name="Normal 107" xfId="350"/>
    <cellStyle name="Normal 108" xfId="351"/>
    <cellStyle name="Normal 109" xfId="352"/>
    <cellStyle name="Normal 109 2" xfId="353"/>
    <cellStyle name="Normal 11" xfId="354"/>
    <cellStyle name="Normal 11 2" xfId="355"/>
    <cellStyle name="Normal 11 2 2" xfId="356"/>
    <cellStyle name="Normal 11 2 3" xfId="357"/>
    <cellStyle name="Normal 11 3" xfId="358"/>
    <cellStyle name="Normal 110" xfId="359"/>
    <cellStyle name="Normal 111" xfId="360"/>
    <cellStyle name="Normal 112" xfId="361"/>
    <cellStyle name="Normal 113" xfId="362"/>
    <cellStyle name="Normal 113 2" xfId="363"/>
    <cellStyle name="Normal 12" xfId="364"/>
    <cellStyle name="Normal 12 2" xfId="365"/>
    <cellStyle name="Normal 12 2 2" xfId="366"/>
    <cellStyle name="Normal 12 3" xfId="367"/>
    <cellStyle name="Normal 12 4" xfId="368"/>
    <cellStyle name="Normal 12 5" xfId="369"/>
    <cellStyle name="Normal 12 6" xfId="370"/>
    <cellStyle name="Normal 12_Sheet1" xfId="371"/>
    <cellStyle name="Normal 13" xfId="372"/>
    <cellStyle name="Normal 13 2" xfId="373"/>
    <cellStyle name="Normal 13 2 2" xfId="374"/>
    <cellStyle name="Normal 13 3" xfId="375"/>
    <cellStyle name="Normal 13 4" xfId="376"/>
    <cellStyle name="Normal 13 5" xfId="377"/>
    <cellStyle name="Normal 13 6" xfId="378"/>
    <cellStyle name="Normal 13_Sheet1" xfId="379"/>
    <cellStyle name="Normal 14" xfId="380"/>
    <cellStyle name="Normal 14 2" xfId="381"/>
    <cellStyle name="Normal 14 3" xfId="382"/>
    <cellStyle name="Normal 14 4" xfId="383"/>
    <cellStyle name="Normal 14 5" xfId="384"/>
    <cellStyle name="Normal 14_Sheet1" xfId="385"/>
    <cellStyle name="Normal 15" xfId="386"/>
    <cellStyle name="Normal 15 2" xfId="387"/>
    <cellStyle name="Normal 15 3" xfId="388"/>
    <cellStyle name="Normal 15 4" xfId="389"/>
    <cellStyle name="Normal 15 5" xfId="390"/>
    <cellStyle name="Normal 16" xfId="391"/>
    <cellStyle name="Normal 16 2" xfId="392"/>
    <cellStyle name="Normal 16 3" xfId="393"/>
    <cellStyle name="Normal 17" xfId="394"/>
    <cellStyle name="Normal 17 2" xfId="395"/>
    <cellStyle name="Normal 17 3" xfId="396"/>
    <cellStyle name="Normal 18" xfId="397"/>
    <cellStyle name="Normal 18 2" xfId="398"/>
    <cellStyle name="Normal 18 3" xfId="399"/>
    <cellStyle name="Normal 19" xfId="400"/>
    <cellStyle name="Normal 19 2" xfId="401"/>
    <cellStyle name="Normal 19 3" xfId="402"/>
    <cellStyle name="Normal 2" xfId="403"/>
    <cellStyle name="Normal 2 10" xfId="404"/>
    <cellStyle name="Normal 2 11" xfId="405"/>
    <cellStyle name="Normal 2 2" xfId="406"/>
    <cellStyle name="Normal 2 2 2" xfId="407"/>
    <cellStyle name="Normal 2 2 2 2" xfId="408"/>
    <cellStyle name="Normal 2 2 2_JE_IS11" xfId="409"/>
    <cellStyle name="Normal 2 2 3" xfId="410"/>
    <cellStyle name="Normal 2 2 4" xfId="411"/>
    <cellStyle name="Normal 2 2_4MthProj2" xfId="412"/>
    <cellStyle name="Normal 2 3" xfId="413"/>
    <cellStyle name="Normal 2 3 2" xfId="414"/>
    <cellStyle name="Normal 2 3 2 2" xfId="415"/>
    <cellStyle name="Normal 2 3 2 3" xfId="416"/>
    <cellStyle name="Normal 2 3 3" xfId="417"/>
    <cellStyle name="Normal 2 3 4" xfId="418"/>
    <cellStyle name="Normal 2 3_4MthProj2" xfId="419"/>
    <cellStyle name="Normal 2 4" xfId="420"/>
    <cellStyle name="Normal 2 4 2" xfId="421"/>
    <cellStyle name="Normal 2 4 3" xfId="422"/>
    <cellStyle name="Normal 2 5" xfId="423"/>
    <cellStyle name="Normal 2 6" xfId="424"/>
    <cellStyle name="Normal 2 7" xfId="425"/>
    <cellStyle name="Normal 2 8" xfId="426"/>
    <cellStyle name="Normal 2 9" xfId="427"/>
    <cellStyle name="Normal 2_2009 Regulated Price Out" xfId="428"/>
    <cellStyle name="Normal 20" xfId="429"/>
    <cellStyle name="Normal 20 2" xfId="430"/>
    <cellStyle name="Normal 20 3" xfId="431"/>
    <cellStyle name="Normal 20 4" xfId="432"/>
    <cellStyle name="Normal 20 5" xfId="433"/>
    <cellStyle name="Normal 20 6" xfId="434"/>
    <cellStyle name="Normal 21" xfId="435"/>
    <cellStyle name="Normal 21 2" xfId="436"/>
    <cellStyle name="Normal 21 3" xfId="437"/>
    <cellStyle name="Normal 21 4" xfId="438"/>
    <cellStyle name="Normal 22" xfId="439"/>
    <cellStyle name="Normal 22 2" xfId="440"/>
    <cellStyle name="Normal 22 3" xfId="441"/>
    <cellStyle name="Normal 22 4" xfId="442"/>
    <cellStyle name="Normal 23" xfId="443"/>
    <cellStyle name="Normal 23 2" xfId="444"/>
    <cellStyle name="Normal 23 3" xfId="445"/>
    <cellStyle name="Normal 24" xfId="446"/>
    <cellStyle name="Normal 24 2" xfId="447"/>
    <cellStyle name="Normal 25" xfId="448"/>
    <cellStyle name="Normal 25 2" xfId="449"/>
    <cellStyle name="Normal 26" xfId="450"/>
    <cellStyle name="Normal 26 2" xfId="451"/>
    <cellStyle name="Normal 26 3" xfId="452"/>
    <cellStyle name="Normal 26 4" xfId="453"/>
    <cellStyle name="Normal 27" xfId="454"/>
    <cellStyle name="Normal 27 2" xfId="455"/>
    <cellStyle name="Normal 27 3" xfId="456"/>
    <cellStyle name="Normal 27 4" xfId="457"/>
    <cellStyle name="Normal 27 5" xfId="458"/>
    <cellStyle name="Normal 28" xfId="459"/>
    <cellStyle name="Normal 28 2" xfId="460"/>
    <cellStyle name="Normal 28 3" xfId="461"/>
    <cellStyle name="Normal 29" xfId="462"/>
    <cellStyle name="Normal 29 2" xfId="463"/>
    <cellStyle name="Normal 3" xfId="464"/>
    <cellStyle name="Normal 3 2" xfId="465"/>
    <cellStyle name="Normal 3 2 2" xfId="466"/>
    <cellStyle name="Normal 3 3" xfId="467"/>
    <cellStyle name="Normal 3 3 2" xfId="468"/>
    <cellStyle name="Normal 3 3 3" xfId="469"/>
    <cellStyle name="Normal 3 3 4" xfId="470"/>
    <cellStyle name="Normal 3 4" xfId="471"/>
    <cellStyle name="Normal 3_2012 PR" xfId="472"/>
    <cellStyle name="Normal 30" xfId="473"/>
    <cellStyle name="Normal 30 2" xfId="474"/>
    <cellStyle name="Normal 31" xfId="475"/>
    <cellStyle name="Normal 31 2" xfId="476"/>
    <cellStyle name="Normal 31 3" xfId="477"/>
    <cellStyle name="Normal 32" xfId="478"/>
    <cellStyle name="Normal 32 2" xfId="479"/>
    <cellStyle name="Normal 33" xfId="480"/>
    <cellStyle name="Normal 34" xfId="481"/>
    <cellStyle name="Normal 35" xfId="482"/>
    <cellStyle name="Normal 36" xfId="483"/>
    <cellStyle name="Normal 37" xfId="484"/>
    <cellStyle name="Normal 38" xfId="485"/>
    <cellStyle name="Normal 39" xfId="486"/>
    <cellStyle name="Normal 4" xfId="487"/>
    <cellStyle name="Normal 4 2" xfId="488"/>
    <cellStyle name="Normal 4 2 2" xfId="489"/>
    <cellStyle name="Normal 4 2 3" xfId="490"/>
    <cellStyle name="Normal 4 2 4" xfId="491"/>
    <cellStyle name="Normal 4 3" xfId="492"/>
    <cellStyle name="Normal 4 3 2" xfId="493"/>
    <cellStyle name="Normal 4 3 3" xfId="494"/>
    <cellStyle name="Normal 4 4" xfId="495"/>
    <cellStyle name="Normal 4 5" xfId="496"/>
    <cellStyle name="Normal 4_Consolidated IS" xfId="497"/>
    <cellStyle name="Normal 40" xfId="498"/>
    <cellStyle name="Normal 41" xfId="499"/>
    <cellStyle name="Normal 42" xfId="500"/>
    <cellStyle name="Normal 43" xfId="501"/>
    <cellStyle name="Normal 44" xfId="502"/>
    <cellStyle name="Normal 45" xfId="503"/>
    <cellStyle name="Normal 46" xfId="504"/>
    <cellStyle name="Normal 47" xfId="505"/>
    <cellStyle name="Normal 48" xfId="506"/>
    <cellStyle name="Normal 49" xfId="507"/>
    <cellStyle name="Normal 5" xfId="508"/>
    <cellStyle name="Normal 5 2" xfId="509"/>
    <cellStyle name="Normal 5 2 2" xfId="510"/>
    <cellStyle name="Normal 5 3" xfId="511"/>
    <cellStyle name="Normal 5 4" xfId="512"/>
    <cellStyle name="Normal 5 5" xfId="513"/>
    <cellStyle name="Normal 5_2112 DF Schedule" xfId="514"/>
    <cellStyle name="Normal 50" xfId="515"/>
    <cellStyle name="Normal 51" xfId="516"/>
    <cellStyle name="Normal 52" xfId="517"/>
    <cellStyle name="Normal 53" xfId="518"/>
    <cellStyle name="Normal 54" xfId="519"/>
    <cellStyle name="Normal 55" xfId="520"/>
    <cellStyle name="Normal 56" xfId="521"/>
    <cellStyle name="Normal 57" xfId="522"/>
    <cellStyle name="Normal 58" xfId="523"/>
    <cellStyle name="Normal 59" xfId="524"/>
    <cellStyle name="Normal 6" xfId="525"/>
    <cellStyle name="Normal 6 2" xfId="526"/>
    <cellStyle name="Normal 6 2 2" xfId="527"/>
    <cellStyle name="Normal 6 2 3" xfId="528"/>
    <cellStyle name="Normal 6 3" xfId="529"/>
    <cellStyle name="Normal 60" xfId="530"/>
    <cellStyle name="Normal 61" xfId="531"/>
    <cellStyle name="Normal 62" xfId="532"/>
    <cellStyle name="Normal 63" xfId="533"/>
    <cellStyle name="Normal 64" xfId="534"/>
    <cellStyle name="Normal 65" xfId="535"/>
    <cellStyle name="Normal 66" xfId="536"/>
    <cellStyle name="Normal 67" xfId="537"/>
    <cellStyle name="Normal 68" xfId="538"/>
    <cellStyle name="Normal 69" xfId="539"/>
    <cellStyle name="Normal 7" xfId="540"/>
    <cellStyle name="Normal 7 2" xfId="541"/>
    <cellStyle name="Normal 7 2 2" xfId="542"/>
    <cellStyle name="Normal 7 2 2 2" xfId="543"/>
    <cellStyle name="Normal 7 2 3" xfId="544"/>
    <cellStyle name="Normal 7 3" xfId="545"/>
    <cellStyle name="Normal 7 3 2" xfId="546"/>
    <cellStyle name="Normal 7 4" xfId="547"/>
    <cellStyle name="Normal 70" xfId="548"/>
    <cellStyle name="Normal 71" xfId="549"/>
    <cellStyle name="Normal 72" xfId="550"/>
    <cellStyle name="Normal 73" xfId="551"/>
    <cellStyle name="Normal 74" xfId="552"/>
    <cellStyle name="Normal 75" xfId="553"/>
    <cellStyle name="Normal 76" xfId="554"/>
    <cellStyle name="Normal 77" xfId="555"/>
    <cellStyle name="Normal 78" xfId="556"/>
    <cellStyle name="Normal 79" xfId="557"/>
    <cellStyle name="Normal 8" xfId="558"/>
    <cellStyle name="Normal 8 2" xfId="559"/>
    <cellStyle name="Normal 8 2 2" xfId="560"/>
    <cellStyle name="Normal 8 2 3" xfId="561"/>
    <cellStyle name="Normal 8 3" xfId="562"/>
    <cellStyle name="Normal 8 4" xfId="563"/>
    <cellStyle name="Normal 80" xfId="564"/>
    <cellStyle name="Normal 81" xfId="565"/>
    <cellStyle name="Normal 82" xfId="566"/>
    <cellStyle name="Normal 83" xfId="567"/>
    <cellStyle name="Normal 84" xfId="568"/>
    <cellStyle name="Normal 84 2" xfId="569"/>
    <cellStyle name="Normal 84 3" xfId="570"/>
    <cellStyle name="Normal 85" xfId="571"/>
    <cellStyle name="Normal 85 2" xfId="572"/>
    <cellStyle name="Normal 85 3" xfId="573"/>
    <cellStyle name="Normal 86" xfId="574"/>
    <cellStyle name="Normal 87" xfId="575"/>
    <cellStyle name="Normal 88" xfId="576"/>
    <cellStyle name="Normal 89" xfId="577"/>
    <cellStyle name="Normal 9" xfId="578"/>
    <cellStyle name="Normal 9 2" xfId="579"/>
    <cellStyle name="Normal 9 2 2" xfId="580"/>
    <cellStyle name="Normal 9 2 3" xfId="581"/>
    <cellStyle name="Normal 9 3" xfId="582"/>
    <cellStyle name="Normal 90" xfId="583"/>
    <cellStyle name="Normal 91" xfId="584"/>
    <cellStyle name="Normal 92" xfId="585"/>
    <cellStyle name="Normal 92 2" xfId="586"/>
    <cellStyle name="Normal 93" xfId="587"/>
    <cellStyle name="Normal 93 2" xfId="588"/>
    <cellStyle name="Normal 94" xfId="589"/>
    <cellStyle name="Normal 95" xfId="590"/>
    <cellStyle name="Normal 96" xfId="591"/>
    <cellStyle name="Normal 97" xfId="592"/>
    <cellStyle name="Normal 98" xfId="593"/>
    <cellStyle name="Normal 99" xfId="594"/>
    <cellStyle name="Normal_2183 Regulated Price Out Final 6-7-2012" xfId="5"/>
    <cellStyle name="Normal_Proforma Yakima UTC-Nicki 2009" xfId="676"/>
    <cellStyle name="Normal_Regulated Price Out 9-6-2011 Final HL" xfId="4"/>
    <cellStyle name="Normal_Regulated-Non-Regulated Revenue" xfId="677"/>
    <cellStyle name="Note 2" xfId="595"/>
    <cellStyle name="Note 2 2" xfId="596"/>
    <cellStyle name="Note 2 3" xfId="597"/>
    <cellStyle name="Note 3" xfId="598"/>
    <cellStyle name="Note 3 2" xfId="599"/>
    <cellStyle name="Note 3 3" xfId="600"/>
    <cellStyle name="Note 4" xfId="601"/>
    <cellStyle name="Notes" xfId="602"/>
    <cellStyle name="Output 2" xfId="603"/>
    <cellStyle name="Output 3" xfId="604"/>
    <cellStyle name="Output 3 2" xfId="605"/>
    <cellStyle name="Percent" xfId="3" builtinId="5"/>
    <cellStyle name="Percent 10" xfId="606"/>
    <cellStyle name="Percent 2" xfId="607"/>
    <cellStyle name="Percent 2 2" xfId="608"/>
    <cellStyle name="Percent 2 2 2" xfId="609"/>
    <cellStyle name="Percent 2 2 3" xfId="610"/>
    <cellStyle name="Percent 2 3" xfId="611"/>
    <cellStyle name="Percent 2 4" xfId="612"/>
    <cellStyle name="Percent 2 6" xfId="613"/>
    <cellStyle name="Percent 3" xfId="614"/>
    <cellStyle name="Percent 3 2" xfId="615"/>
    <cellStyle name="Percent 3 2 2" xfId="616"/>
    <cellStyle name="Percent 3 3" xfId="617"/>
    <cellStyle name="Percent 4" xfId="618"/>
    <cellStyle name="Percent 4 2" xfId="619"/>
    <cellStyle name="Percent 4 3" xfId="620"/>
    <cellStyle name="Percent 4 4" xfId="621"/>
    <cellStyle name="Percent 5" xfId="622"/>
    <cellStyle name="Percent 5 2" xfId="623"/>
    <cellStyle name="Percent 5 2 2" xfId="624"/>
    <cellStyle name="Percent 5 3" xfId="625"/>
    <cellStyle name="Percent 5 4" xfId="626"/>
    <cellStyle name="Percent 6" xfId="627"/>
    <cellStyle name="Percent 6 2" xfId="628"/>
    <cellStyle name="Percent 7" xfId="629"/>
    <cellStyle name="Percent 7 2" xfId="630"/>
    <cellStyle name="Percent 7 3" xfId="631"/>
    <cellStyle name="Percent 8" xfId="632"/>
    <cellStyle name="Percent 9" xfId="633"/>
    <cellStyle name="Percent(1)" xfId="634"/>
    <cellStyle name="Percent(2)" xfId="635"/>
    <cellStyle name="Posting_Period" xfId="636"/>
    <cellStyle name="PRM" xfId="637"/>
    <cellStyle name="PRM 2" xfId="638"/>
    <cellStyle name="PRM 3" xfId="639"/>
    <cellStyle name="PRM_2011-11" xfId="640"/>
    <cellStyle name="PS_Comma" xfId="641"/>
    <cellStyle name="PSChar" xfId="642"/>
    <cellStyle name="PSDate" xfId="643"/>
    <cellStyle name="PSDec" xfId="644"/>
    <cellStyle name="PSHeading" xfId="645"/>
    <cellStyle name="PSInt" xfId="646"/>
    <cellStyle name="PSSpacer" xfId="647"/>
    <cellStyle name="STYL0 - Style1" xfId="648"/>
    <cellStyle name="STYL1 - Style2" xfId="649"/>
    <cellStyle name="STYL2 - Style3" xfId="650"/>
    <cellStyle name="STYL3 - Style4" xfId="651"/>
    <cellStyle name="STYL4 - Style5" xfId="652"/>
    <cellStyle name="STYL5 - Style6" xfId="653"/>
    <cellStyle name="STYL6 - Style7" xfId="654"/>
    <cellStyle name="STYL7 - Style8" xfId="655"/>
    <cellStyle name="Style 1" xfId="656"/>
    <cellStyle name="Style 1 2" xfId="657"/>
    <cellStyle name="STYLE1" xfId="658"/>
    <cellStyle name="STYLE1 2" xfId="659"/>
    <cellStyle name="sub heading" xfId="660"/>
    <cellStyle name="Tax_Rate" xfId="661"/>
    <cellStyle name="Title 2" xfId="662"/>
    <cellStyle name="Title 3" xfId="663"/>
    <cellStyle name="Title 3 2" xfId="664"/>
    <cellStyle name="Total 2" xfId="665"/>
    <cellStyle name="Total 2 2" xfId="666"/>
    <cellStyle name="Total 2 3" xfId="667"/>
    <cellStyle name="Total 3" xfId="668"/>
    <cellStyle name="Total 3 2" xfId="669"/>
    <cellStyle name="Total 3 3" xfId="670"/>
    <cellStyle name="Total 4" xfId="671"/>
    <cellStyle name="Transcript_Date" xfId="672"/>
    <cellStyle name="Warning Text 2" xfId="673"/>
    <cellStyle name="Warning Text 3" xfId="674"/>
    <cellStyle name="WM_STANDARD" xfId="6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ustomXml" Target="../customXml/item4.xml"/><Relationship Id="rId20" Type="http://schemas.openxmlformats.org/officeDocument/2006/relationships/externalLink" Target="externalLinks/externalLink15.xml"/><Relationship Id="rId4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General%20Filings/Rate%20Review%20YE%209.30.17/Disposal%2010.2016%20thru%209.2017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Brent_Blair_Kortney\PO%20Report%20by%20Division\PO%20Report_v3b%202013-08-2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195%20Yakima/General%20Rate%20Filings/2017%20Rate%20Filing/.Yakima%20Waste%20Pro%20forma%20YE%206.30.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Misc%20Analsysis%20Non-Filing\Pro%20froma%208.31.2013%20for%20Budgets\Consolidated%20Pro%20forma%20Year%2020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WUTC\WIP%20Files\2010%20Clark%20County-%202009%20Vancouver\12.31.2010%20Test%20Year\Proforma%20Clark%20County%20101231%20Filing-Draft-FINAL%20VERSI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 refreshError="1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Disposal - do not use"/>
      <sheetName val="JE Query"/>
      <sheetName val="JE Lookup"/>
      <sheetName val="Waste Works Breakdown"/>
      <sheetName val="Waste Works Rpt Oct 2016 to Sep"/>
      <sheetName val="WW ALL RO Only"/>
      <sheetName val="WW RO - Garbage Only"/>
      <sheetName val="WW RO Food Waste"/>
      <sheetName val="WW RO Other"/>
      <sheetName val="WW All Resi and Comm"/>
      <sheetName val="WW MSW Only"/>
      <sheetName val="WW Food Waste"/>
      <sheetName val="WW Resi Comm Other"/>
    </sheetNames>
    <sheetDataSet>
      <sheetData sheetId="0"/>
      <sheetData sheetId="1">
        <row r="6">
          <cell r="D6">
            <v>10000</v>
          </cell>
        </row>
        <row r="8">
          <cell r="J8" t="str">
            <v>2017-10</v>
          </cell>
        </row>
        <row r="12">
          <cell r="I12" t="str">
            <v>2016-10</v>
          </cell>
        </row>
        <row r="13">
          <cell r="I13" t="str">
            <v>2017-09</v>
          </cell>
        </row>
      </sheetData>
      <sheetData sheetId="2"/>
      <sheetData sheetId="3"/>
      <sheetData sheetId="4"/>
      <sheetData sheetId="5">
        <row r="22482">
          <cell r="W22482">
            <v>80726.470000000249</v>
          </cell>
        </row>
      </sheetData>
      <sheetData sheetId="6">
        <row r="21469">
          <cell r="W21469">
            <v>78285.730000000345</v>
          </cell>
        </row>
      </sheetData>
      <sheetData sheetId="7">
        <row r="11">
          <cell r="W11">
            <v>0.59000000000000019</v>
          </cell>
        </row>
      </sheetData>
      <sheetData sheetId="8">
        <row r="1008">
          <cell r="W1008">
            <v>2440.150000000001</v>
          </cell>
        </row>
      </sheetData>
      <sheetData sheetId="9">
        <row r="16932">
          <cell r="W16932">
            <v>150965.99</v>
          </cell>
        </row>
      </sheetData>
      <sheetData sheetId="10">
        <row r="15493">
          <cell r="W15493">
            <v>142353.68000000023</v>
          </cell>
        </row>
      </sheetData>
      <sheetData sheetId="11">
        <row r="532">
          <cell r="W532">
            <v>1689.4800000000014</v>
          </cell>
        </row>
      </sheetData>
      <sheetData sheetId="12">
        <row r="913">
          <cell r="W913">
            <v>6922.8299999999917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 refreshError="1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 refreshError="1">
        <row r="3">
          <cell r="E3" t="str">
            <v>Western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kima BS"/>
      <sheetName val="Yakima IS"/>
      <sheetName val="References"/>
      <sheetName val="Yakima Consolidated IS"/>
      <sheetName val="Ratios"/>
      <sheetName val="Restating Adj's"/>
      <sheetName val="Pro-forma Adj's"/>
      <sheetName val="LG-Total Reg"/>
      <sheetName val="LG-Garbage"/>
      <sheetName val="LG-Recycle"/>
      <sheetName val="LG-Yardwaste"/>
      <sheetName val="Yakima Regulated Price Out"/>
      <sheetName val="Proposed Rates"/>
      <sheetName val="Revenue Summary"/>
      <sheetName val="Depr Summary"/>
      <sheetName val="Yakima Payroll"/>
      <sheetName val="Disposal"/>
      <sheetName val="Fuel Schedule"/>
      <sheetName val="A-Team Summary"/>
      <sheetName val="Roll Off Cust Count"/>
      <sheetName val="DivCon-DVP Alloc In"/>
      <sheetName val="Region OH Calc"/>
      <sheetName val="WCI P&amp;L"/>
      <sheetName val="WCI BS"/>
      <sheetName val="Corp OH"/>
      <sheetName val="July Fuel"/>
      <sheetName val="70149 Detail"/>
      <sheetName val="70095 Detail"/>
      <sheetName val="70195 Detail"/>
      <sheetName val="70255 Detail"/>
      <sheetName val="6.30.17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BS"/>
      <sheetName val="2010 BS"/>
      <sheetName val="2009 IS"/>
      <sheetName val="2010 IS"/>
      <sheetName val="Consolidated IS"/>
      <sheetName val="Alloc %"/>
      <sheetName val="Rest Expl"/>
      <sheetName val="Prof Expl"/>
      <sheetName val="2009 Price Out (REG)"/>
      <sheetName val="LG-Total Reg"/>
      <sheetName val="LG-Pckr"/>
      <sheetName val="LG-RO"/>
      <sheetName val="2009-2010"/>
      <sheetName val="2009 Depr Summary"/>
      <sheetName val="2009 Trks"/>
      <sheetName val="2009 Cont, DB"/>
      <sheetName val="2009 Serv, Shop"/>
      <sheetName val="2009 Office"/>
      <sheetName val="2009 Leasehold"/>
      <sheetName val="2010 Deprec Summary"/>
      <sheetName val="2010 Trks"/>
      <sheetName val="2010 Cont, DB"/>
      <sheetName val="2010 Serv, Shop"/>
      <sheetName val="2010 Office"/>
      <sheetName val="2010 Leaseh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7"/>
  <sheetViews>
    <sheetView showGridLines="0" tabSelected="1" view="pageBreakPreview" zoomScale="90" zoomScaleNormal="85" zoomScaleSheetLayoutView="90" workbookViewId="0"/>
  </sheetViews>
  <sheetFormatPr defaultRowHeight="13.5" customHeight="1" outlineLevelCol="1"/>
  <cols>
    <col min="1" max="1" width="11.140625" style="235" customWidth="1"/>
    <col min="2" max="2" width="25.85546875" style="235" customWidth="1"/>
    <col min="3" max="3" width="2.5703125" style="165" customWidth="1"/>
    <col min="4" max="4" width="14.7109375" style="165" customWidth="1"/>
    <col min="5" max="5" width="14.7109375" style="177" customWidth="1" outlineLevel="1"/>
    <col min="6" max="6" width="2.7109375" style="165" customWidth="1" outlineLevel="1"/>
    <col min="7" max="7" width="14.7109375" style="165" customWidth="1" outlineLevel="1"/>
    <col min="8" max="8" width="2.7109375" style="165" customWidth="1" outlineLevel="1"/>
    <col min="9" max="9" width="14.7109375" style="165" customWidth="1"/>
    <col min="10" max="15" width="14.7109375" style="165" customWidth="1" outlineLevel="1"/>
    <col min="16" max="22" width="14.7109375" style="165" customWidth="1"/>
    <col min="23" max="23" width="10" style="165" bestFit="1" customWidth="1"/>
    <col min="24" max="24" width="12" style="165" bestFit="1" customWidth="1"/>
    <col min="25" max="16384" width="9.140625" style="165"/>
  </cols>
  <sheetData>
    <row r="1" spans="1:23" ht="13.5" customHeight="1">
      <c r="A1" s="161" t="s">
        <v>625</v>
      </c>
      <c r="B1" s="162"/>
      <c r="C1" s="163"/>
      <c r="D1" s="163"/>
      <c r="E1" s="256" t="s">
        <v>627</v>
      </c>
      <c r="F1" s="257"/>
      <c r="G1" s="257"/>
      <c r="H1" s="257"/>
      <c r="I1" s="257"/>
      <c r="J1" s="257"/>
      <c r="K1" s="257"/>
      <c r="L1" s="257"/>
      <c r="M1" s="258"/>
      <c r="N1" s="163"/>
      <c r="O1" s="163"/>
      <c r="P1" s="163"/>
      <c r="Q1" s="163"/>
      <c r="R1" s="163"/>
      <c r="S1" s="163"/>
      <c r="T1" s="163"/>
      <c r="U1" s="163"/>
      <c r="V1" s="163"/>
    </row>
    <row r="2" spans="1:23" ht="13.5" customHeight="1" thickBot="1">
      <c r="A2" s="161" t="s">
        <v>583</v>
      </c>
      <c r="B2" s="162"/>
      <c r="C2" s="163"/>
      <c r="D2" s="163"/>
      <c r="E2" s="259"/>
      <c r="F2" s="260"/>
      <c r="G2" s="260"/>
      <c r="H2" s="260"/>
      <c r="I2" s="260"/>
      <c r="J2" s="260"/>
      <c r="K2" s="260"/>
      <c r="L2" s="260"/>
      <c r="M2" s="261"/>
      <c r="N2" s="163"/>
      <c r="O2" s="163"/>
      <c r="P2" s="163"/>
      <c r="Q2" s="163"/>
      <c r="R2" s="163"/>
      <c r="S2" s="163"/>
      <c r="T2" s="163"/>
      <c r="U2" s="163"/>
      <c r="V2" s="163"/>
    </row>
    <row r="3" spans="1:23" ht="13.5" customHeight="1">
      <c r="A3" s="243" t="s">
        <v>626</v>
      </c>
      <c r="B3" s="243"/>
      <c r="C3" s="163"/>
      <c r="D3" s="163"/>
      <c r="E3" s="164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4" spans="1:23" ht="9" customHeight="1">
      <c r="A4" s="254"/>
      <c r="B4" s="254"/>
      <c r="C4" s="163"/>
      <c r="D4" s="163"/>
      <c r="E4" s="164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</row>
    <row r="5" spans="1:23" s="242" customFormat="1" ht="39.75" customHeight="1">
      <c r="A5" s="237"/>
      <c r="B5" s="238"/>
      <c r="C5" s="239"/>
      <c r="D5" s="167" t="s">
        <v>69</v>
      </c>
      <c r="E5" s="240" t="s">
        <v>70</v>
      </c>
      <c r="F5" s="241"/>
      <c r="G5" s="167" t="s">
        <v>71</v>
      </c>
      <c r="H5" s="241"/>
      <c r="I5" s="167" t="s">
        <v>72</v>
      </c>
      <c r="J5" s="167" t="s">
        <v>73</v>
      </c>
      <c r="K5" s="167" t="s">
        <v>17</v>
      </c>
      <c r="L5" s="167" t="s">
        <v>74</v>
      </c>
      <c r="M5" s="167" t="s">
        <v>75</v>
      </c>
      <c r="N5" s="167" t="s">
        <v>63</v>
      </c>
      <c r="O5" s="167" t="s">
        <v>298</v>
      </c>
      <c r="P5" s="167" t="s">
        <v>299</v>
      </c>
      <c r="Q5" s="167" t="s">
        <v>620</v>
      </c>
      <c r="R5" s="167" t="s">
        <v>302</v>
      </c>
      <c r="S5" s="167" t="s">
        <v>621</v>
      </c>
      <c r="T5" s="167" t="s">
        <v>613</v>
      </c>
      <c r="U5" s="167" t="s">
        <v>619</v>
      </c>
      <c r="V5" s="167" t="s">
        <v>305</v>
      </c>
    </row>
    <row r="6" spans="1:23" ht="9" customHeight="1">
      <c r="A6" s="168"/>
      <c r="B6" s="169"/>
      <c r="D6" s="170"/>
      <c r="E6" s="171"/>
      <c r="G6" s="172"/>
      <c r="I6" s="173"/>
      <c r="J6" s="173"/>
      <c r="K6" s="173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</row>
    <row r="7" spans="1:23" ht="13.5" customHeight="1">
      <c r="A7" s="174" t="s">
        <v>76</v>
      </c>
      <c r="B7" s="175"/>
      <c r="C7" s="175"/>
      <c r="D7" s="175"/>
      <c r="E7" s="176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</row>
    <row r="8" spans="1:23" ht="13.5" customHeight="1">
      <c r="A8" s="168"/>
      <c r="B8" s="169"/>
    </row>
    <row r="9" spans="1:23" ht="13.5" customHeight="1">
      <c r="A9" s="178" t="s">
        <v>77</v>
      </c>
      <c r="B9" s="178"/>
      <c r="C9" s="178"/>
      <c r="D9" s="178"/>
      <c r="E9" s="179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</row>
    <row r="10" spans="1:23" s="163" customFormat="1" ht="13.5" customHeight="1">
      <c r="A10" s="180" t="s">
        <v>78</v>
      </c>
      <c r="B10" s="180" t="s">
        <v>79</v>
      </c>
      <c r="D10" s="181">
        <v>7.73</v>
      </c>
      <c r="E10" s="182">
        <v>21515.950000000004</v>
      </c>
      <c r="G10" s="164">
        <f>+IFERROR(E10/D10,0)</f>
        <v>2783.43467011643</v>
      </c>
      <c r="I10" s="183">
        <f>+References!C13</f>
        <v>2.17</v>
      </c>
      <c r="J10" s="184">
        <f>+G10*I10</f>
        <v>6040.0532341526532</v>
      </c>
      <c r="K10" s="163">
        <f>+References!C19</f>
        <v>20</v>
      </c>
      <c r="L10" s="164">
        <f>+J10*K10</f>
        <v>120801.06468305306</v>
      </c>
      <c r="M10" s="164">
        <f t="shared" ref="M10:M25" si="0">+L10*$D$110</f>
        <v>95567.67226044221</v>
      </c>
      <c r="N10" s="181">
        <f>+M10*References!$D$69</f>
        <v>118.98175196425018</v>
      </c>
      <c r="O10" s="181">
        <f>+N10/References!$F$78</f>
        <v>121.32019879604393</v>
      </c>
      <c r="P10" s="181">
        <f t="shared" ref="P10:P25" si="1">+O10/G10</f>
        <v>4.3586508459697082E-2</v>
      </c>
      <c r="Q10" s="181">
        <f>+'Proposed Rates'!B13</f>
        <v>7.96</v>
      </c>
      <c r="R10" s="181">
        <f t="shared" ref="R10:R25" si="2">+Q10+P10</f>
        <v>8.0035865084596978</v>
      </c>
      <c r="S10" s="181">
        <f>+'Proposed Rates'!F13</f>
        <v>8.0035865084596978</v>
      </c>
      <c r="T10" s="181">
        <f t="shared" ref="T10:T25" si="3">+G10*Q10</f>
        <v>22156.139974126781</v>
      </c>
      <c r="U10" s="181">
        <f t="shared" ref="U10:U25" si="4">+G10*R10</f>
        <v>22277.460172922827</v>
      </c>
      <c r="V10" s="181">
        <f t="shared" ref="V10:V25" si="5">+U10-T10</f>
        <v>121.32019879604559</v>
      </c>
      <c r="W10" s="183"/>
    </row>
    <row r="11" spans="1:23" s="163" customFormat="1" ht="13.5" customHeight="1">
      <c r="A11" s="180" t="s">
        <v>80</v>
      </c>
      <c r="B11" s="180" t="s">
        <v>81</v>
      </c>
      <c r="D11" s="181">
        <v>10.24</v>
      </c>
      <c r="E11" s="182">
        <v>77073.25</v>
      </c>
      <c r="G11" s="164">
        <f t="shared" ref="G11:G25" si="6">+IFERROR(E11/D11,0)</f>
        <v>7526.6845703125</v>
      </c>
      <c r="I11" s="183">
        <f>+References!C12</f>
        <v>4.33</v>
      </c>
      <c r="J11" s="184">
        <f t="shared" ref="J11:J25" si="7">+G11*I11</f>
        <v>32590.544189453125</v>
      </c>
      <c r="K11" s="163">
        <f>+References!C19</f>
        <v>20</v>
      </c>
      <c r="L11" s="164">
        <f t="shared" ref="L11:L25" si="8">+J11*K11</f>
        <v>651810.8837890625</v>
      </c>
      <c r="M11" s="164">
        <f t="shared" si="0"/>
        <v>515658.11179875419</v>
      </c>
      <c r="N11" s="181">
        <f>+M11*References!$D$69</f>
        <v>641.99434918944701</v>
      </c>
      <c r="O11" s="181">
        <f>+N11/References!$F$78</f>
        <v>654.61199540079735</v>
      </c>
      <c r="P11" s="181">
        <f t="shared" si="1"/>
        <v>8.6972157433404779E-2</v>
      </c>
      <c r="Q11" s="181">
        <f>+'Proposed Rates'!B12</f>
        <v>10.59</v>
      </c>
      <c r="R11" s="181">
        <f t="shared" si="2"/>
        <v>10.676972157433404</v>
      </c>
      <c r="S11" s="181">
        <f>+'Proposed Rates'!F12</f>
        <v>10.676972157433404</v>
      </c>
      <c r="T11" s="181">
        <f t="shared" si="3"/>
        <v>79707.589599609375</v>
      </c>
      <c r="U11" s="181">
        <f t="shared" si="4"/>
        <v>80362.201595010163</v>
      </c>
      <c r="V11" s="181">
        <f t="shared" si="5"/>
        <v>654.61199540078815</v>
      </c>
    </row>
    <row r="12" spans="1:23" s="163" customFormat="1" ht="13.5" customHeight="1">
      <c r="A12" s="180" t="s">
        <v>82</v>
      </c>
      <c r="B12" s="180" t="s">
        <v>83</v>
      </c>
      <c r="D12" s="181">
        <v>8.84</v>
      </c>
      <c r="E12" s="182">
        <v>901835.3600000001</v>
      </c>
      <c r="G12" s="164">
        <f t="shared" si="6"/>
        <v>102017.5746606335</v>
      </c>
      <c r="I12" s="183">
        <f>+References!C13</f>
        <v>2.17</v>
      </c>
      <c r="J12" s="184">
        <f t="shared" si="7"/>
        <v>221378.13701357468</v>
      </c>
      <c r="K12" s="163">
        <f>+References!C20</f>
        <v>34</v>
      </c>
      <c r="L12" s="164">
        <f t="shared" si="8"/>
        <v>7526856.6584615391</v>
      </c>
      <c r="M12" s="164">
        <f t="shared" si="0"/>
        <v>5954617.802206276</v>
      </c>
      <c r="N12" s="181">
        <f>+M12*References!$D$69</f>
        <v>7413.4991637467901</v>
      </c>
      <c r="O12" s="181">
        <f>+N12/References!$F$78</f>
        <v>7559.2027976719164</v>
      </c>
      <c r="P12" s="181">
        <f t="shared" si="1"/>
        <v>7.4097064381485028E-2</v>
      </c>
      <c r="Q12" s="181">
        <f>+'Proposed Rates'!B25</f>
        <v>9.15</v>
      </c>
      <c r="R12" s="181">
        <f t="shared" si="2"/>
        <v>9.2240970643814855</v>
      </c>
      <c r="S12" s="181">
        <f>+'Proposed Rates'!F25</f>
        <v>9.2240970643814855</v>
      </c>
      <c r="T12" s="181">
        <f t="shared" si="3"/>
        <v>933460.80814479652</v>
      </c>
      <c r="U12" s="181">
        <f t="shared" si="4"/>
        <v>941020.01094246854</v>
      </c>
      <c r="V12" s="181">
        <f t="shared" si="5"/>
        <v>7559.2027976720128</v>
      </c>
    </row>
    <row r="13" spans="1:23" s="163" customFormat="1" ht="13.5" customHeight="1">
      <c r="A13" s="180" t="s">
        <v>84</v>
      </c>
      <c r="B13" s="180" t="s">
        <v>85</v>
      </c>
      <c r="D13" s="181">
        <v>4.8</v>
      </c>
      <c r="E13" s="182">
        <v>77229.990000000005</v>
      </c>
      <c r="G13" s="164">
        <f t="shared" si="6"/>
        <v>16089.581250000001</v>
      </c>
      <c r="I13" s="183">
        <f>+References!C14</f>
        <v>1</v>
      </c>
      <c r="J13" s="184">
        <f t="shared" si="7"/>
        <v>16089.581250000001</v>
      </c>
      <c r="K13" s="163">
        <f>+References!C20</f>
        <v>34</v>
      </c>
      <c r="L13" s="164">
        <f t="shared" si="8"/>
        <v>547045.76250000007</v>
      </c>
      <c r="M13" s="164">
        <f t="shared" si="0"/>
        <v>432776.73321200418</v>
      </c>
      <c r="N13" s="181">
        <f>+M13*References!$D$69</f>
        <v>538.80703284894355</v>
      </c>
      <c r="O13" s="181">
        <f>+N13/References!$F$78</f>
        <v>549.39665334211281</v>
      </c>
      <c r="P13" s="181">
        <f t="shared" si="1"/>
        <v>3.4146112618195876E-2</v>
      </c>
      <c r="Q13" s="181">
        <f>+'Proposed Rates'!B24</f>
        <v>4.96</v>
      </c>
      <c r="R13" s="181">
        <f t="shared" si="2"/>
        <v>4.9941461126181954</v>
      </c>
      <c r="S13" s="181">
        <f>+'Proposed Rates'!F24</f>
        <v>4.9941461126181954</v>
      </c>
      <c r="T13" s="181">
        <f t="shared" si="3"/>
        <v>79804.323000000004</v>
      </c>
      <c r="U13" s="181">
        <f t="shared" si="4"/>
        <v>80353.719653342108</v>
      </c>
      <c r="V13" s="181">
        <f t="shared" si="5"/>
        <v>549.3966533421044</v>
      </c>
    </row>
    <row r="14" spans="1:23" s="163" customFormat="1" ht="13.5" customHeight="1">
      <c r="A14" s="180" t="s">
        <v>86</v>
      </c>
      <c r="B14" s="180" t="s">
        <v>87</v>
      </c>
      <c r="D14" s="181">
        <v>13.01</v>
      </c>
      <c r="E14" s="182">
        <v>6659357.0099999998</v>
      </c>
      <c r="G14" s="164">
        <f t="shared" si="6"/>
        <v>511864.48962336662</v>
      </c>
      <c r="I14" s="183">
        <f>+References!C12</f>
        <v>4.33</v>
      </c>
      <c r="J14" s="184">
        <f t="shared" si="7"/>
        <v>2216373.2400691775</v>
      </c>
      <c r="K14" s="163">
        <f>+References!C20</f>
        <v>34</v>
      </c>
      <c r="L14" s="164">
        <f t="shared" si="8"/>
        <v>75356690.16235204</v>
      </c>
      <c r="M14" s="164">
        <f t="shared" si="0"/>
        <v>59615894.006914794</v>
      </c>
      <c r="N14" s="181">
        <f>+M14*References!$D$69</f>
        <v>74221.788038608691</v>
      </c>
      <c r="O14" s="181">
        <f>+N14/References!$F$78</f>
        <v>75680.530259357809</v>
      </c>
      <c r="P14" s="181">
        <f t="shared" si="1"/>
        <v>0.14785266763678812</v>
      </c>
      <c r="Q14" s="181">
        <f>+'Proposed Rates'!B14</f>
        <v>13.53</v>
      </c>
      <c r="R14" s="181">
        <f t="shared" si="2"/>
        <v>13.677852667636788</v>
      </c>
      <c r="S14" s="181">
        <f>+'Proposed Rates'!F14</f>
        <v>13.677852667636788</v>
      </c>
      <c r="T14" s="181">
        <f t="shared" si="3"/>
        <v>6925526.5446041496</v>
      </c>
      <c r="U14" s="181">
        <f t="shared" si="4"/>
        <v>7001207.0748635083</v>
      </c>
      <c r="V14" s="181">
        <f t="shared" si="5"/>
        <v>75680.530259358697</v>
      </c>
    </row>
    <row r="15" spans="1:23" s="163" customFormat="1" ht="13.5" customHeight="1">
      <c r="A15" s="180" t="s">
        <v>88</v>
      </c>
      <c r="B15" s="180" t="s">
        <v>89</v>
      </c>
      <c r="D15" s="181">
        <v>18.940000000000001</v>
      </c>
      <c r="E15" s="182">
        <v>2396517.1999999997</v>
      </c>
      <c r="G15" s="164">
        <f t="shared" si="6"/>
        <v>126532.05913410768</v>
      </c>
      <c r="I15" s="183">
        <f>+References!C12</f>
        <v>4.33</v>
      </c>
      <c r="J15" s="184">
        <f t="shared" si="7"/>
        <v>547883.81605068629</v>
      </c>
      <c r="K15" s="163">
        <f>+References!C21</f>
        <v>51</v>
      </c>
      <c r="L15" s="164">
        <f t="shared" si="8"/>
        <v>27942074.618585002</v>
      </c>
      <c r="M15" s="164">
        <f t="shared" si="0"/>
        <v>22105426.27610112</v>
      </c>
      <c r="N15" s="181">
        <f>+M15*References!$D$69</f>
        <v>27521.25571374581</v>
      </c>
      <c r="O15" s="181">
        <f>+N15/References!$F$78</f>
        <v>28062.153726830467</v>
      </c>
      <c r="P15" s="181">
        <f t="shared" si="1"/>
        <v>0.2217790014551822</v>
      </c>
      <c r="Q15" s="181">
        <f>+'Proposed Rates'!B15</f>
        <v>19.71</v>
      </c>
      <c r="R15" s="181">
        <f t="shared" si="2"/>
        <v>19.931779001455183</v>
      </c>
      <c r="S15" s="181">
        <f>+'Proposed Rates'!F15</f>
        <v>19.931779001455183</v>
      </c>
      <c r="T15" s="181">
        <f t="shared" si="3"/>
        <v>2493946.8855332625</v>
      </c>
      <c r="U15" s="181">
        <f t="shared" si="4"/>
        <v>2522009.0392600931</v>
      </c>
      <c r="V15" s="181">
        <f t="shared" si="5"/>
        <v>28062.153726830613</v>
      </c>
    </row>
    <row r="16" spans="1:23" s="163" customFormat="1" ht="13.5" customHeight="1">
      <c r="A16" s="180" t="s">
        <v>90</v>
      </c>
      <c r="B16" s="180" t="s">
        <v>91</v>
      </c>
      <c r="D16" s="181">
        <v>28.07</v>
      </c>
      <c r="E16" s="182">
        <v>232291.3</v>
      </c>
      <c r="G16" s="164">
        <f t="shared" si="6"/>
        <v>8275.4292839330246</v>
      </c>
      <c r="I16" s="183">
        <f>+References!C12</f>
        <v>4.33</v>
      </c>
      <c r="J16" s="184">
        <f t="shared" si="7"/>
        <v>35832.608799429996</v>
      </c>
      <c r="K16" s="163">
        <f>+References!C22</f>
        <v>77</v>
      </c>
      <c r="L16" s="164">
        <f t="shared" si="8"/>
        <v>2759110.8775561098</v>
      </c>
      <c r="M16" s="164">
        <f t="shared" si="0"/>
        <v>2182777.1532339384</v>
      </c>
      <c r="N16" s="181">
        <f>+M16*References!$D$69</f>
        <v>2717.557555776245</v>
      </c>
      <c r="O16" s="181">
        <f>+N16/References!$F$78</f>
        <v>2770.9679632682405</v>
      </c>
      <c r="P16" s="181">
        <f t="shared" si="1"/>
        <v>0.33484280611860845</v>
      </c>
      <c r="Q16" s="181">
        <f>+'Proposed Rates'!B16</f>
        <v>29.21</v>
      </c>
      <c r="R16" s="181">
        <f t="shared" si="2"/>
        <v>29.544842806118609</v>
      </c>
      <c r="S16" s="181">
        <f>+'Proposed Rates'!F16</f>
        <v>29.544842806118609</v>
      </c>
      <c r="T16" s="181">
        <f t="shared" si="3"/>
        <v>241725.28938368364</v>
      </c>
      <c r="U16" s="181">
        <f t="shared" si="4"/>
        <v>244496.2573469519</v>
      </c>
      <c r="V16" s="181">
        <f t="shared" si="5"/>
        <v>2770.9679632682528</v>
      </c>
    </row>
    <row r="17" spans="1:23" s="163" customFormat="1" ht="13.5" customHeight="1">
      <c r="A17" s="180" t="s">
        <v>92</v>
      </c>
      <c r="B17" s="180" t="s">
        <v>93</v>
      </c>
      <c r="D17" s="181">
        <v>34.880000000000003</v>
      </c>
      <c r="E17" s="182">
        <v>51410.560000000005</v>
      </c>
      <c r="G17" s="164">
        <f t="shared" si="6"/>
        <v>1473.9266055045871</v>
      </c>
      <c r="I17" s="183">
        <f>+References!C12</f>
        <v>4.33</v>
      </c>
      <c r="J17" s="184">
        <f t="shared" si="7"/>
        <v>6382.1022018348622</v>
      </c>
      <c r="K17" s="163">
        <f>+References!C23</f>
        <v>97</v>
      </c>
      <c r="L17" s="164">
        <f t="shared" si="8"/>
        <v>619063.91357798164</v>
      </c>
      <c r="M17" s="164">
        <f t="shared" si="0"/>
        <v>489751.45505805349</v>
      </c>
      <c r="N17" s="181">
        <f>+M17*References!$D$69</f>
        <v>609.74056154727464</v>
      </c>
      <c r="O17" s="181">
        <f>+N17/References!$F$78</f>
        <v>621.72429737925995</v>
      </c>
      <c r="P17" s="181">
        <f t="shared" si="1"/>
        <v>0.4218149635520132</v>
      </c>
      <c r="Q17" s="181">
        <f>+'Proposed Rates'!B17</f>
        <v>36.31</v>
      </c>
      <c r="R17" s="181">
        <f t="shared" si="2"/>
        <v>36.731814963552019</v>
      </c>
      <c r="S17" s="181">
        <f>+'Proposed Rates'!F17</f>
        <v>36.731814963552019</v>
      </c>
      <c r="T17" s="181">
        <f t="shared" si="3"/>
        <v>53518.27504587156</v>
      </c>
      <c r="U17" s="181">
        <f t="shared" si="4"/>
        <v>54139.999343250827</v>
      </c>
      <c r="V17" s="181">
        <f t="shared" si="5"/>
        <v>621.72429737926723</v>
      </c>
    </row>
    <row r="18" spans="1:23" s="163" customFormat="1" ht="13.5" customHeight="1">
      <c r="A18" s="180" t="s">
        <v>94</v>
      </c>
      <c r="B18" s="180" t="s">
        <v>95</v>
      </c>
      <c r="D18" s="181">
        <v>43.54</v>
      </c>
      <c r="E18" s="182">
        <v>8185.53</v>
      </c>
      <c r="G18" s="164">
        <f t="shared" si="6"/>
        <v>188.00022967386312</v>
      </c>
      <c r="I18" s="183">
        <f>+References!C12</f>
        <v>4.33</v>
      </c>
      <c r="J18" s="184">
        <f t="shared" si="7"/>
        <v>814.04099448782733</v>
      </c>
      <c r="K18" s="163">
        <f>+References!C24</f>
        <v>117</v>
      </c>
      <c r="L18" s="164">
        <f t="shared" si="8"/>
        <v>95242.7963550758</v>
      </c>
      <c r="M18" s="164">
        <f t="shared" si="0"/>
        <v>75348.113620614837</v>
      </c>
      <c r="N18" s="181">
        <f>+M18*References!$D$69</f>
        <v>93.808401457665184</v>
      </c>
      <c r="O18" s="181">
        <f>+N18/References!$F$78</f>
        <v>95.652095600362173</v>
      </c>
      <c r="P18" s="181">
        <f t="shared" si="1"/>
        <v>0.50878712098541801</v>
      </c>
      <c r="Q18" s="181">
        <f>+'Proposed Rates'!B18</f>
        <v>45.29</v>
      </c>
      <c r="R18" s="181">
        <f t="shared" si="2"/>
        <v>45.798787120985416</v>
      </c>
      <c r="S18" s="181">
        <f>+'Proposed Rates'!F18</f>
        <v>45.798787120985416</v>
      </c>
      <c r="T18" s="181">
        <f t="shared" si="3"/>
        <v>8514.5304019292598</v>
      </c>
      <c r="U18" s="181">
        <f t="shared" si="4"/>
        <v>8610.1824975296222</v>
      </c>
      <c r="V18" s="181">
        <f t="shared" si="5"/>
        <v>95.652095600362372</v>
      </c>
    </row>
    <row r="19" spans="1:23" s="163" customFormat="1" ht="13.5" customHeight="1">
      <c r="A19" s="180" t="s">
        <v>96</v>
      </c>
      <c r="B19" s="180" t="s">
        <v>97</v>
      </c>
      <c r="D19" s="181">
        <v>52.29</v>
      </c>
      <c r="E19" s="182">
        <v>2954.38</v>
      </c>
      <c r="G19" s="164">
        <f t="shared" si="6"/>
        <v>56.499904379422453</v>
      </c>
      <c r="I19" s="183">
        <f>+References!C12</f>
        <v>4.33</v>
      </c>
      <c r="J19" s="184">
        <f t="shared" si="7"/>
        <v>244.64458596289921</v>
      </c>
      <c r="K19" s="163">
        <f>+References!C25</f>
        <v>137</v>
      </c>
      <c r="L19" s="164">
        <f t="shared" si="8"/>
        <v>33516.308276917189</v>
      </c>
      <c r="M19" s="164">
        <f t="shared" si="0"/>
        <v>26515.292503359215</v>
      </c>
      <c r="N19" s="181">
        <f>+M19*References!$D$69</f>
        <v>33.01153916668212</v>
      </c>
      <c r="O19" s="181">
        <f>+N19/References!$F$78</f>
        <v>33.660342263817199</v>
      </c>
      <c r="P19" s="181">
        <f t="shared" si="1"/>
        <v>0.5957592784188227</v>
      </c>
      <c r="Q19" s="181">
        <f>+'Proposed Rates'!B19</f>
        <v>54.37</v>
      </c>
      <c r="R19" s="181">
        <f t="shared" si="2"/>
        <v>54.965759278418822</v>
      </c>
      <c r="S19" s="181">
        <f>+'Proposed Rates'!F19</f>
        <v>54.965759278418822</v>
      </c>
      <c r="T19" s="181">
        <f t="shared" si="3"/>
        <v>3071.8998011091985</v>
      </c>
      <c r="U19" s="181">
        <f t="shared" si="4"/>
        <v>3105.5601433730158</v>
      </c>
      <c r="V19" s="181">
        <f t="shared" si="5"/>
        <v>33.660342263817256</v>
      </c>
    </row>
    <row r="20" spans="1:23" s="163" customFormat="1" ht="13.5" customHeight="1">
      <c r="A20" s="180" t="s">
        <v>98</v>
      </c>
      <c r="B20" s="180" t="s">
        <v>99</v>
      </c>
      <c r="D20" s="181">
        <v>60.59</v>
      </c>
      <c r="E20" s="182">
        <v>1711.67</v>
      </c>
      <c r="G20" s="164">
        <f t="shared" si="6"/>
        <v>28.250041260934147</v>
      </c>
      <c r="I20" s="183">
        <f>+References!C12</f>
        <v>4.33</v>
      </c>
      <c r="J20" s="184">
        <f t="shared" si="7"/>
        <v>122.32267865984485</v>
      </c>
      <c r="K20" s="185">
        <f>+(((References!C25-References!C24)/References!C24)*References!C25)+References!C25</f>
        <v>160.41880341880341</v>
      </c>
      <c r="L20" s="164">
        <f t="shared" si="8"/>
        <v>19622.857741595111</v>
      </c>
      <c r="M20" s="164">
        <f t="shared" si="0"/>
        <v>15523.959514614497</v>
      </c>
      <c r="N20" s="181">
        <f>+M20*References!$D$69</f>
        <v>19.327329595694987</v>
      </c>
      <c r="O20" s="181">
        <f>+N20/References!$F$78</f>
        <v>19.707185598098334</v>
      </c>
      <c r="P20" s="181">
        <f t="shared" si="1"/>
        <v>0.69759847131092911</v>
      </c>
      <c r="Q20" s="181">
        <f>+'Proposed Rates'!B20</f>
        <v>63</v>
      </c>
      <c r="R20" s="181">
        <f t="shared" si="2"/>
        <v>63.697598471310926</v>
      </c>
      <c r="S20" s="181">
        <f>+'Proposed Rates'!F20</f>
        <v>63.697598471310926</v>
      </c>
      <c r="T20" s="181">
        <f t="shared" si="3"/>
        <v>1779.7525994388513</v>
      </c>
      <c r="U20" s="181">
        <f t="shared" si="4"/>
        <v>1799.4597850369494</v>
      </c>
      <c r="V20" s="181">
        <f t="shared" si="5"/>
        <v>19.707185598098022</v>
      </c>
    </row>
    <row r="21" spans="1:23" s="163" customFormat="1" ht="13.5" customHeight="1">
      <c r="A21" s="180" t="s">
        <v>100</v>
      </c>
      <c r="B21" s="180" t="s">
        <v>101</v>
      </c>
      <c r="D21" s="181">
        <v>66.540000000000006</v>
      </c>
      <c r="E21" s="182">
        <v>3193.92</v>
      </c>
      <c r="G21" s="164">
        <f t="shared" si="6"/>
        <v>48</v>
      </c>
      <c r="I21" s="183">
        <f>+References!C12</f>
        <v>4.33</v>
      </c>
      <c r="J21" s="184">
        <f t="shared" si="7"/>
        <v>207.84</v>
      </c>
      <c r="K21" s="163">
        <f>+References!C26</f>
        <v>177</v>
      </c>
      <c r="L21" s="164">
        <f t="shared" si="8"/>
        <v>36787.68</v>
      </c>
      <c r="M21" s="164">
        <f t="shared" si="0"/>
        <v>29103.327480484011</v>
      </c>
      <c r="N21" s="181">
        <f>+M21*References!$D$69</f>
        <v>36.233642713202478</v>
      </c>
      <c r="O21" s="181">
        <f>+N21/References!$F$78</f>
        <v>36.945772477710349</v>
      </c>
      <c r="P21" s="181">
        <f t="shared" si="1"/>
        <v>0.76970359328563231</v>
      </c>
      <c r="Q21" s="181">
        <f>+'Proposed Rates'!B21</f>
        <v>69.2</v>
      </c>
      <c r="R21" s="181">
        <f t="shared" si="2"/>
        <v>69.969703593285629</v>
      </c>
      <c r="S21" s="181">
        <f>+'Proposed Rates'!F21</f>
        <v>69.969703593285629</v>
      </c>
      <c r="T21" s="181">
        <f t="shared" si="3"/>
        <v>3321.6000000000004</v>
      </c>
      <c r="U21" s="181">
        <f t="shared" si="4"/>
        <v>3358.5457724777102</v>
      </c>
      <c r="V21" s="181">
        <f t="shared" si="5"/>
        <v>36.945772477709852</v>
      </c>
    </row>
    <row r="22" spans="1:23" s="163" customFormat="1" ht="13.5" customHeight="1">
      <c r="A22" s="180" t="s">
        <v>103</v>
      </c>
      <c r="B22" s="180" t="s">
        <v>104</v>
      </c>
      <c r="D22" s="181">
        <v>3.59</v>
      </c>
      <c r="E22" s="182">
        <v>472838.69000000006</v>
      </c>
      <c r="G22" s="164">
        <f t="shared" si="6"/>
        <v>131709.94150417831</v>
      </c>
      <c r="I22" s="183">
        <f>+References!C15</f>
        <v>1</v>
      </c>
      <c r="J22" s="184">
        <f t="shared" si="7"/>
        <v>131709.94150417831</v>
      </c>
      <c r="K22" s="163">
        <f>+References!C33</f>
        <v>34</v>
      </c>
      <c r="L22" s="164">
        <f t="shared" si="8"/>
        <v>4478138.011142062</v>
      </c>
      <c r="M22" s="164">
        <f t="shared" si="0"/>
        <v>3542727.2674186248</v>
      </c>
      <c r="N22" s="181">
        <f>+M22*References!$D$69</f>
        <v>4410.6954479361739</v>
      </c>
      <c r="O22" s="181">
        <f>+N22/References!$F$78</f>
        <v>4497.3824955376622</v>
      </c>
      <c r="P22" s="181">
        <f t="shared" si="1"/>
        <v>3.4146112618195862E-2</v>
      </c>
      <c r="Q22" s="181">
        <f>+'Proposed Rates'!B28</f>
        <v>3.72</v>
      </c>
      <c r="R22" s="181">
        <f t="shared" si="2"/>
        <v>3.7541461126181961</v>
      </c>
      <c r="S22" s="181">
        <f>+'Proposed Rates'!F28</f>
        <v>3.7541461126181961</v>
      </c>
      <c r="T22" s="181">
        <f t="shared" si="3"/>
        <v>489960.98239554331</v>
      </c>
      <c r="U22" s="181">
        <f t="shared" si="4"/>
        <v>494458.364891081</v>
      </c>
      <c r="V22" s="181">
        <f t="shared" si="5"/>
        <v>4497.3824955376913</v>
      </c>
    </row>
    <row r="23" spans="1:23" s="163" customFormat="1" ht="13.5" customHeight="1">
      <c r="A23" s="180" t="s">
        <v>105</v>
      </c>
      <c r="B23" s="180" t="s">
        <v>106</v>
      </c>
      <c r="D23" s="181">
        <v>4.8</v>
      </c>
      <c r="E23" s="182">
        <v>19978.34</v>
      </c>
      <c r="G23" s="164">
        <f t="shared" si="6"/>
        <v>4162.1541666666672</v>
      </c>
      <c r="I23" s="183">
        <f>+References!C15</f>
        <v>1</v>
      </c>
      <c r="J23" s="184">
        <f t="shared" si="7"/>
        <v>4162.1541666666672</v>
      </c>
      <c r="K23" s="163">
        <f>+References!C33</f>
        <v>34</v>
      </c>
      <c r="L23" s="164">
        <f t="shared" si="8"/>
        <v>141513.2416666667</v>
      </c>
      <c r="M23" s="164">
        <f t="shared" si="0"/>
        <v>111953.40981137913</v>
      </c>
      <c r="N23" s="181">
        <f>+M23*References!$D$69</f>
        <v>139.38199521516657</v>
      </c>
      <c r="O23" s="181">
        <f>+N23/References!$F$78</f>
        <v>142.1213849092932</v>
      </c>
      <c r="P23" s="181">
        <f t="shared" si="1"/>
        <v>3.4146112618195869E-2</v>
      </c>
      <c r="Q23" s="181">
        <f>+'Proposed Rates'!B33</f>
        <v>4.96</v>
      </c>
      <c r="R23" s="181">
        <f t="shared" si="2"/>
        <v>4.9941461126181954</v>
      </c>
      <c r="S23" s="181">
        <f>+'Proposed Rates'!F33</f>
        <v>4.9941461126181954</v>
      </c>
      <c r="T23" s="181">
        <f t="shared" si="3"/>
        <v>20644.28466666667</v>
      </c>
      <c r="U23" s="181">
        <f t="shared" si="4"/>
        <v>20786.406051575959</v>
      </c>
      <c r="V23" s="181">
        <f t="shared" si="5"/>
        <v>142.12138490928919</v>
      </c>
    </row>
    <row r="24" spans="1:23" s="163" customFormat="1" ht="13.5" customHeight="1">
      <c r="A24" s="180" t="s">
        <v>107</v>
      </c>
      <c r="B24" s="180" t="s">
        <v>108</v>
      </c>
      <c r="D24" s="181">
        <v>4.66</v>
      </c>
      <c r="E24" s="182">
        <v>53240.5</v>
      </c>
      <c r="G24" s="164">
        <f t="shared" si="6"/>
        <v>11425</v>
      </c>
      <c r="I24" s="183">
        <f>+References!C15</f>
        <v>1</v>
      </c>
      <c r="J24" s="184">
        <f t="shared" si="7"/>
        <v>11425</v>
      </c>
      <c r="K24" s="163">
        <f>+References!C33</f>
        <v>34</v>
      </c>
      <c r="L24" s="164">
        <f t="shared" si="8"/>
        <v>388450</v>
      </c>
      <c r="M24" s="164">
        <f t="shared" si="0"/>
        <v>307309.0654206521</v>
      </c>
      <c r="N24" s="181">
        <f>+M24*References!$D$69</f>
        <v>382.59978644871069</v>
      </c>
      <c r="O24" s="181">
        <f>+N24/References!$F$78</f>
        <v>390.11933666288786</v>
      </c>
      <c r="P24" s="181">
        <f t="shared" si="1"/>
        <v>3.4146112618195876E-2</v>
      </c>
      <c r="Q24" s="181">
        <f>+'Proposed Rates'!B9</f>
        <v>4.8099999999999996</v>
      </c>
      <c r="R24" s="181">
        <f t="shared" si="2"/>
        <v>4.8441461126181951</v>
      </c>
      <c r="S24" s="181">
        <f>+'Proposed Rates'!F9</f>
        <v>4.8441461126181951</v>
      </c>
      <c r="T24" s="181">
        <f t="shared" si="3"/>
        <v>54954.249999999993</v>
      </c>
      <c r="U24" s="181">
        <f t="shared" si="4"/>
        <v>55344.36933666288</v>
      </c>
      <c r="V24" s="181">
        <f t="shared" si="5"/>
        <v>390.11933666288678</v>
      </c>
    </row>
    <row r="25" spans="1:23" s="163" customFormat="1" ht="13.5" customHeight="1">
      <c r="A25" s="180" t="s">
        <v>109</v>
      </c>
      <c r="B25" s="180" t="s">
        <v>108</v>
      </c>
      <c r="D25" s="181">
        <v>4.66</v>
      </c>
      <c r="E25" s="182">
        <v>438.04</v>
      </c>
      <c r="G25" s="164">
        <f t="shared" si="6"/>
        <v>94</v>
      </c>
      <c r="I25" s="183">
        <f>+References!C15</f>
        <v>1</v>
      </c>
      <c r="J25" s="184">
        <f t="shared" si="7"/>
        <v>94</v>
      </c>
      <c r="K25" s="163">
        <f>+References!C33</f>
        <v>34</v>
      </c>
      <c r="L25" s="164">
        <f t="shared" si="8"/>
        <v>3196</v>
      </c>
      <c r="M25" s="164">
        <f t="shared" si="0"/>
        <v>2528.4071903318422</v>
      </c>
      <c r="N25" s="181">
        <f>+M25*References!$D$69</f>
        <v>3.1478669519631337</v>
      </c>
      <c r="O25" s="181">
        <f>+N25/References!$F$78</f>
        <v>3.2097345861104118</v>
      </c>
      <c r="P25" s="181">
        <f t="shared" si="1"/>
        <v>3.4146112618195869E-2</v>
      </c>
      <c r="Q25" s="181">
        <f>+'Proposed Rates'!B9</f>
        <v>4.8099999999999996</v>
      </c>
      <c r="R25" s="181">
        <f t="shared" si="2"/>
        <v>4.8441461126181951</v>
      </c>
      <c r="S25" s="181">
        <f>+'Proposed Rates'!F9</f>
        <v>4.8441461126181951</v>
      </c>
      <c r="T25" s="181">
        <f t="shared" si="3"/>
        <v>452.14</v>
      </c>
      <c r="U25" s="181">
        <f t="shared" si="4"/>
        <v>455.34973458611034</v>
      </c>
      <c r="V25" s="181">
        <f t="shared" si="5"/>
        <v>3.2097345861103577</v>
      </c>
    </row>
    <row r="26" spans="1:23" s="163" customFormat="1" ht="13.5" customHeight="1">
      <c r="A26" s="186"/>
      <c r="B26" s="186"/>
      <c r="D26" s="181"/>
      <c r="E26" s="182"/>
    </row>
    <row r="27" spans="1:23" s="163" customFormat="1" ht="13.5" customHeight="1">
      <c r="A27" s="187"/>
      <c r="B27" s="188" t="s">
        <v>110</v>
      </c>
      <c r="D27" s="189"/>
      <c r="E27" s="190">
        <f>+SUM(E10:E26)</f>
        <v>10979771.689999999</v>
      </c>
      <c r="F27" s="191"/>
      <c r="G27" s="192">
        <f>+SUM(G10:G26)</f>
        <v>924275.02564413345</v>
      </c>
      <c r="H27" s="192"/>
      <c r="I27" s="192"/>
      <c r="J27" s="192">
        <f>+SUM(J10:J26)</f>
        <v>3231350.0267382646</v>
      </c>
      <c r="K27" s="192"/>
      <c r="L27" s="192">
        <f t="shared" ref="L27:V27" si="9">+SUM(L10:L26)</f>
        <v>120719920.83668712</v>
      </c>
      <c r="M27" s="192">
        <f t="shared" si="9"/>
        <v>95503478.053745449</v>
      </c>
      <c r="N27" s="189">
        <f t="shared" si="9"/>
        <v>118901.8301769127</v>
      </c>
      <c r="O27" s="189">
        <f t="shared" si="9"/>
        <v>121238.70623968259</v>
      </c>
      <c r="P27" s="189"/>
      <c r="Q27" s="189"/>
      <c r="R27" s="189"/>
      <c r="S27" s="189"/>
      <c r="T27" s="189">
        <f>+SUM(T10:T26)</f>
        <v>11412545.295150185</v>
      </c>
      <c r="U27" s="189">
        <f t="shared" si="9"/>
        <v>11533784.00138987</v>
      </c>
      <c r="V27" s="189">
        <f t="shared" si="9"/>
        <v>121238.70623968376</v>
      </c>
    </row>
    <row r="28" spans="1:23" ht="13.5" customHeight="1">
      <c r="A28" s="193"/>
      <c r="B28" s="193"/>
    </row>
    <row r="29" spans="1:23" ht="13.5" customHeight="1">
      <c r="A29" s="174" t="s">
        <v>111</v>
      </c>
      <c r="B29" s="175"/>
      <c r="C29" s="175"/>
      <c r="D29" s="175"/>
      <c r="E29" s="176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</row>
    <row r="30" spans="1:23" ht="13.5" customHeight="1">
      <c r="A30" s="168"/>
      <c r="B30" s="168"/>
    </row>
    <row r="31" spans="1:23" ht="13.5" customHeight="1">
      <c r="A31" s="178" t="s">
        <v>112</v>
      </c>
      <c r="B31" s="178"/>
      <c r="C31" s="178"/>
      <c r="D31" s="178"/>
      <c r="E31" s="179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</row>
    <row r="32" spans="1:23" s="163" customFormat="1" ht="13.5" customHeight="1">
      <c r="A32" s="180" t="s">
        <v>113</v>
      </c>
      <c r="B32" s="180" t="s">
        <v>114</v>
      </c>
      <c r="D32" s="181">
        <v>73.180000000000007</v>
      </c>
      <c r="E32" s="182">
        <v>290433.82</v>
      </c>
      <c r="G32" s="164">
        <f>+IFERROR(E32/D32,0)</f>
        <v>3968.7594971303633</v>
      </c>
      <c r="I32" s="183">
        <f>+References!C12</f>
        <v>4.33</v>
      </c>
      <c r="J32" s="184">
        <f t="shared" ref="J32:J95" si="10">+G32*I32</f>
        <v>17184.728622574472</v>
      </c>
      <c r="K32" s="163">
        <f>+References!C37</f>
        <v>175</v>
      </c>
      <c r="L32" s="164">
        <f t="shared" ref="L32:L95" si="11">+J32*K32</f>
        <v>3007327.5089505324</v>
      </c>
      <c r="M32" s="164">
        <f t="shared" ref="M32:M63" si="12">+L32*$D$110</f>
        <v>2379145.3370817499</v>
      </c>
      <c r="N32" s="181">
        <f>+M32*References!$D$69</f>
        <v>2962.0359446667694</v>
      </c>
      <c r="O32" s="181">
        <f>+N32/References!$F$78</f>
        <v>3020.2512882477449</v>
      </c>
      <c r="P32" s="181">
        <f t="shared" ref="P32:P63" si="13">+O32/J32</f>
        <v>0.17575205024071403</v>
      </c>
      <c r="Q32" s="181">
        <f>+'Proposed Rates'!B70</f>
        <v>17.55</v>
      </c>
      <c r="R32" s="181">
        <f t="shared" ref="R32:R63" si="14">+Q32+P32</f>
        <v>17.725752050240715</v>
      </c>
      <c r="S32" s="181">
        <f>+'Proposed Rates'!F70</f>
        <v>17.725752050240715</v>
      </c>
      <c r="T32" s="181">
        <f t="shared" ref="T32:T63" si="15">+G32*Q32*I32</f>
        <v>301591.98732618202</v>
      </c>
      <c r="U32" s="181">
        <f t="shared" ref="U32:U63" si="16">+G32*R32*I32</f>
        <v>304612.23861442978</v>
      </c>
      <c r="V32" s="181">
        <f t="shared" ref="V32:V63" si="17">+U32-T32</f>
        <v>3020.2512882477604</v>
      </c>
      <c r="W32" s="194"/>
    </row>
    <row r="33" spans="1:23" s="163" customFormat="1" ht="13.5" customHeight="1">
      <c r="A33" s="180" t="s">
        <v>115</v>
      </c>
      <c r="B33" s="180" t="s">
        <v>116</v>
      </c>
      <c r="D33" s="181">
        <v>146.35</v>
      </c>
      <c r="E33" s="182">
        <v>10976.33</v>
      </c>
      <c r="G33" s="164">
        <f t="shared" ref="G33:G95" si="18">+IFERROR(E33/D33,0)</f>
        <v>75.000546634779639</v>
      </c>
      <c r="I33" s="183">
        <f>+References!C11</f>
        <v>8.66</v>
      </c>
      <c r="J33" s="195">
        <f>+G33*I33</f>
        <v>649.5047338571917</v>
      </c>
      <c r="K33" s="163">
        <f>+References!C37</f>
        <v>175</v>
      </c>
      <c r="L33" s="164">
        <f t="shared" si="11"/>
        <v>113663.32842500854</v>
      </c>
      <c r="M33" s="164">
        <f t="shared" si="12"/>
        <v>89920.893888248203</v>
      </c>
      <c r="N33" s="181">
        <f>+M33*References!$D$69</f>
        <v>111.95151289086867</v>
      </c>
      <c r="O33" s="181">
        <f>+N33/References!$F$78</f>
        <v>114.15178861645076</v>
      </c>
      <c r="P33" s="181">
        <f t="shared" si="13"/>
        <v>0.17575205024071405</v>
      </c>
      <c r="Q33" s="181">
        <f>+'Proposed Rates'!B70</f>
        <v>17.55</v>
      </c>
      <c r="R33" s="181">
        <f t="shared" si="14"/>
        <v>17.725752050240715</v>
      </c>
      <c r="S33" s="181">
        <f>+'Proposed Rates'!F70</f>
        <v>17.725752050240715</v>
      </c>
      <c r="T33" s="181">
        <f t="shared" si="15"/>
        <v>11398.808079193715</v>
      </c>
      <c r="U33" s="181">
        <f t="shared" si="16"/>
        <v>11512.959867810165</v>
      </c>
      <c r="V33" s="181">
        <f t="shared" si="17"/>
        <v>114.15178861644927</v>
      </c>
      <c r="W33" s="194"/>
    </row>
    <row r="34" spans="1:23" s="163" customFormat="1" ht="13.5" customHeight="1">
      <c r="A34" s="180" t="s">
        <v>117</v>
      </c>
      <c r="B34" s="180" t="s">
        <v>118</v>
      </c>
      <c r="D34" s="181">
        <v>36.67</v>
      </c>
      <c r="E34" s="182">
        <v>314280.62</v>
      </c>
      <c r="G34" s="164">
        <f t="shared" si="18"/>
        <v>8570.5104990455402</v>
      </c>
      <c r="I34" s="183">
        <f>+References!C13</f>
        <v>2.17</v>
      </c>
      <c r="J34" s="195">
        <f t="shared" si="10"/>
        <v>18598.00778292882</v>
      </c>
      <c r="K34" s="163">
        <f>+References!C37</f>
        <v>175</v>
      </c>
      <c r="L34" s="164">
        <f t="shared" si="11"/>
        <v>3254651.3620125437</v>
      </c>
      <c r="M34" s="164">
        <f t="shared" si="12"/>
        <v>2574807.229579424</v>
      </c>
      <c r="N34" s="181">
        <f>+M34*References!$D$69</f>
        <v>3205.635000826373</v>
      </c>
      <c r="O34" s="181">
        <f>+N34/References!$F$78</f>
        <v>3268.6379982424974</v>
      </c>
      <c r="P34" s="181">
        <f t="shared" si="13"/>
        <v>0.17575205024071408</v>
      </c>
      <c r="Q34" s="181">
        <f>+'Proposed Rates'!B70</f>
        <v>17.55</v>
      </c>
      <c r="R34" s="181">
        <f t="shared" si="14"/>
        <v>17.725752050240715</v>
      </c>
      <c r="S34" s="181">
        <f>+'Proposed Rates'!F70</f>
        <v>17.725752050240715</v>
      </c>
      <c r="T34" s="181">
        <f t="shared" si="15"/>
        <v>326395.03659040085</v>
      </c>
      <c r="U34" s="181">
        <f t="shared" si="16"/>
        <v>329663.67458864331</v>
      </c>
      <c r="V34" s="181">
        <f t="shared" si="17"/>
        <v>3268.6379982424551</v>
      </c>
      <c r="W34" s="194"/>
    </row>
    <row r="35" spans="1:23" s="163" customFormat="1" ht="13.5" customHeight="1">
      <c r="A35" s="180" t="s">
        <v>119</v>
      </c>
      <c r="B35" s="180" t="s">
        <v>120</v>
      </c>
      <c r="D35" s="181">
        <v>98.59</v>
      </c>
      <c r="E35" s="182">
        <v>126453.20999999999</v>
      </c>
      <c r="G35" s="164">
        <f t="shared" si="18"/>
        <v>1282.6169996957094</v>
      </c>
      <c r="I35" s="183">
        <f>+References!C12</f>
        <v>4.33</v>
      </c>
      <c r="J35" s="195">
        <f t="shared" si="10"/>
        <v>5553.7316086824221</v>
      </c>
      <c r="K35" s="163">
        <f>+References!C38</f>
        <v>250</v>
      </c>
      <c r="L35" s="164">
        <f t="shared" si="11"/>
        <v>1388432.9021706055</v>
      </c>
      <c r="M35" s="164">
        <f t="shared" si="12"/>
        <v>1098411.6812082184</v>
      </c>
      <c r="N35" s="181">
        <f>+M35*References!$D$69</f>
        <v>1367.5225431042277</v>
      </c>
      <c r="O35" s="181">
        <f>+N35/References!$F$78</f>
        <v>1394.3995953037067</v>
      </c>
      <c r="P35" s="181">
        <f t="shared" si="13"/>
        <v>0.25107435748673435</v>
      </c>
      <c r="Q35" s="181">
        <f>+'Proposed Rates'!B71</f>
        <v>23.66</v>
      </c>
      <c r="R35" s="181">
        <f t="shared" si="14"/>
        <v>23.911074357486733</v>
      </c>
      <c r="S35" s="181">
        <f>+'Proposed Rates'!F71</f>
        <v>23.911074357486733</v>
      </c>
      <c r="T35" s="181">
        <f t="shared" si="15"/>
        <v>131401.28986142611</v>
      </c>
      <c r="U35" s="181">
        <f t="shared" si="16"/>
        <v>132795.6894567298</v>
      </c>
      <c r="V35" s="181">
        <f t="shared" si="17"/>
        <v>1394.3995953036938</v>
      </c>
      <c r="W35" s="194"/>
    </row>
    <row r="36" spans="1:23" s="163" customFormat="1" ht="13.5" customHeight="1">
      <c r="A36" s="180" t="s">
        <v>121</v>
      </c>
      <c r="B36" s="180" t="s">
        <v>122</v>
      </c>
      <c r="D36" s="196">
        <v>197.19</v>
      </c>
      <c r="E36" s="182">
        <v>3056.45</v>
      </c>
      <c r="G36" s="164">
        <f t="shared" si="18"/>
        <v>15.500025356255387</v>
      </c>
      <c r="I36" s="183">
        <f>+References!C11</f>
        <v>8.66</v>
      </c>
      <c r="J36" s="195">
        <f t="shared" si="10"/>
        <v>134.23021958517165</v>
      </c>
      <c r="K36" s="163">
        <f>+References!C38</f>
        <v>250</v>
      </c>
      <c r="L36" s="164">
        <f t="shared" si="11"/>
        <v>33557.554896292917</v>
      </c>
      <c r="M36" s="164">
        <f t="shared" si="12"/>
        <v>26547.923369756736</v>
      </c>
      <c r="N36" s="181">
        <f>+M36*References!$D$69</f>
        <v>33.05216459534703</v>
      </c>
      <c r="O36" s="181">
        <f>+N36/References!$F$78</f>
        <v>33.701766137650239</v>
      </c>
      <c r="P36" s="181">
        <f t="shared" si="13"/>
        <v>0.25107435748673435</v>
      </c>
      <c r="Q36" s="196">
        <f>+'Proposed Rates'!B71</f>
        <v>23.66</v>
      </c>
      <c r="R36" s="181">
        <f t="shared" si="14"/>
        <v>23.911074357486733</v>
      </c>
      <c r="S36" s="196">
        <f>+'Proposed Rates'!F71</f>
        <v>23.911074357486733</v>
      </c>
      <c r="T36" s="181">
        <f t="shared" si="15"/>
        <v>3175.8869953851613</v>
      </c>
      <c r="U36" s="181">
        <f t="shared" si="16"/>
        <v>3209.5887615228112</v>
      </c>
      <c r="V36" s="181">
        <f t="shared" si="17"/>
        <v>33.701766137649884</v>
      </c>
      <c r="W36" s="194"/>
    </row>
    <row r="37" spans="1:23" s="163" customFormat="1" ht="13.5" customHeight="1">
      <c r="A37" s="180" t="s">
        <v>123</v>
      </c>
      <c r="B37" s="180" t="s">
        <v>124</v>
      </c>
      <c r="D37" s="181">
        <v>49.41</v>
      </c>
      <c r="E37" s="182">
        <v>99548.959999999992</v>
      </c>
      <c r="G37" s="164">
        <f t="shared" si="18"/>
        <v>2014.7532888079336</v>
      </c>
      <c r="I37" s="183">
        <f>+References!C13</f>
        <v>2.17</v>
      </c>
      <c r="J37" s="195">
        <f t="shared" si="10"/>
        <v>4372.0146367132156</v>
      </c>
      <c r="K37" s="163">
        <f>+References!C38</f>
        <v>250</v>
      </c>
      <c r="L37" s="164">
        <f t="shared" si="11"/>
        <v>1093003.659178304</v>
      </c>
      <c r="M37" s="164">
        <f t="shared" si="12"/>
        <v>864692.83821196435</v>
      </c>
      <c r="N37" s="181">
        <f>+M37*References!$D$69</f>
        <v>1076.5425835738922</v>
      </c>
      <c r="O37" s="181">
        <f>+N37/References!$F$78</f>
        <v>1097.7007658353691</v>
      </c>
      <c r="P37" s="181">
        <f t="shared" si="13"/>
        <v>0.2510743574867344</v>
      </c>
      <c r="Q37" s="181">
        <f>+'Proposed Rates'!B71</f>
        <v>23.66</v>
      </c>
      <c r="R37" s="181">
        <f t="shared" si="14"/>
        <v>23.911074357486733</v>
      </c>
      <c r="S37" s="181">
        <f>+'Proposed Rates'!F71</f>
        <v>23.911074357486733</v>
      </c>
      <c r="T37" s="181">
        <f t="shared" si="15"/>
        <v>103441.86630463468</v>
      </c>
      <c r="U37" s="181">
        <f t="shared" si="16"/>
        <v>104539.56707047005</v>
      </c>
      <c r="V37" s="181">
        <f t="shared" si="17"/>
        <v>1097.7007658353687</v>
      </c>
      <c r="W37" s="194"/>
    </row>
    <row r="38" spans="1:23" s="163" customFormat="1" ht="13.5" customHeight="1">
      <c r="A38" s="180" t="s">
        <v>125</v>
      </c>
      <c r="B38" s="180" t="s">
        <v>126</v>
      </c>
      <c r="D38" s="181">
        <v>117.17</v>
      </c>
      <c r="E38" s="182">
        <v>575026.48</v>
      </c>
      <c r="G38" s="164">
        <f t="shared" si="18"/>
        <v>4907.6255014082099</v>
      </c>
      <c r="I38" s="183">
        <f>+References!C12</f>
        <v>4.33</v>
      </c>
      <c r="J38" s="195">
        <f t="shared" si="10"/>
        <v>21250.018421097549</v>
      </c>
      <c r="K38" s="163">
        <f>+References!C39</f>
        <v>324</v>
      </c>
      <c r="L38" s="164">
        <f t="shared" si="11"/>
        <v>6885005.968435606</v>
      </c>
      <c r="M38" s="164">
        <f t="shared" si="12"/>
        <v>5446839.3604725385</v>
      </c>
      <c r="N38" s="181">
        <f>+M38*References!$D$69</f>
        <v>6781.3150037882897</v>
      </c>
      <c r="O38" s="181">
        <f>+N38/References!$F$78</f>
        <v>6914.5937992692043</v>
      </c>
      <c r="P38" s="181">
        <f t="shared" si="13"/>
        <v>0.32539236730280774</v>
      </c>
      <c r="Q38" s="181">
        <f>+'Proposed Rates'!$B$72</f>
        <v>28.17</v>
      </c>
      <c r="R38" s="181">
        <f t="shared" si="14"/>
        <v>28.495392367302809</v>
      </c>
      <c r="S38" s="181">
        <f>+'Proposed Rates'!$F$72</f>
        <v>28.495392367302809</v>
      </c>
      <c r="T38" s="181">
        <f t="shared" si="15"/>
        <v>598613.01892231801</v>
      </c>
      <c r="U38" s="181">
        <f t="shared" si="16"/>
        <v>605527.61272158718</v>
      </c>
      <c r="V38" s="181">
        <f t="shared" si="17"/>
        <v>6914.5937992691761</v>
      </c>
      <c r="W38" s="194"/>
    </row>
    <row r="39" spans="1:23" s="163" customFormat="1" ht="13.5" customHeight="1">
      <c r="A39" s="180" t="s">
        <v>127</v>
      </c>
      <c r="B39" s="180" t="s">
        <v>128</v>
      </c>
      <c r="D39" s="181">
        <v>234.34</v>
      </c>
      <c r="E39" s="182">
        <v>142037.50999999998</v>
      </c>
      <c r="G39" s="164">
        <f t="shared" si="18"/>
        <v>606.11722283861047</v>
      </c>
      <c r="I39" s="183">
        <f>+References!C11</f>
        <v>8.66</v>
      </c>
      <c r="J39" s="195">
        <f t="shared" si="10"/>
        <v>5248.9751497823672</v>
      </c>
      <c r="K39" s="163">
        <f>+References!C39</f>
        <v>324</v>
      </c>
      <c r="L39" s="164">
        <f t="shared" si="11"/>
        <v>1700667.948529487</v>
      </c>
      <c r="M39" s="164">
        <f t="shared" si="12"/>
        <v>1345425.8665296803</v>
      </c>
      <c r="N39" s="181">
        <f>+M39*References!$D$69</f>
        <v>1675.0552038294468</v>
      </c>
      <c r="O39" s="181">
        <f>+N39/References!$F$78</f>
        <v>1707.9764499012942</v>
      </c>
      <c r="P39" s="181">
        <f t="shared" si="13"/>
        <v>0.32539236730280774</v>
      </c>
      <c r="Q39" s="181">
        <f>+'Proposed Rates'!$B$72</f>
        <v>28.17</v>
      </c>
      <c r="R39" s="181">
        <f t="shared" si="14"/>
        <v>28.495392367302809</v>
      </c>
      <c r="S39" s="181">
        <f>+'Proposed Rates'!$F$72</f>
        <v>28.495392367302809</v>
      </c>
      <c r="T39" s="181">
        <f t="shared" si="15"/>
        <v>147863.62996936927</v>
      </c>
      <c r="U39" s="181">
        <f t="shared" si="16"/>
        <v>149571.60641927057</v>
      </c>
      <c r="V39" s="181">
        <f t="shared" si="17"/>
        <v>1707.9764499012963</v>
      </c>
      <c r="W39" s="194"/>
    </row>
    <row r="40" spans="1:23" s="163" customFormat="1" ht="13.5" customHeight="1">
      <c r="A40" s="180" t="s">
        <v>129</v>
      </c>
      <c r="B40" s="180" t="s">
        <v>130</v>
      </c>
      <c r="D40" s="181">
        <v>351.51</v>
      </c>
      <c r="E40" s="182">
        <v>24815.26</v>
      </c>
      <c r="G40" s="164">
        <f t="shared" si="18"/>
        <v>70.596170805951459</v>
      </c>
      <c r="I40" s="183">
        <f>+References!C10</f>
        <v>12.99</v>
      </c>
      <c r="J40" s="195">
        <f t="shared" si="10"/>
        <v>917.04425876930952</v>
      </c>
      <c r="K40" s="163">
        <f>+References!C39</f>
        <v>324</v>
      </c>
      <c r="L40" s="164">
        <f t="shared" si="11"/>
        <v>297122.33984125627</v>
      </c>
      <c r="M40" s="164">
        <f t="shared" si="12"/>
        <v>235058.27924369634</v>
      </c>
      <c r="N40" s="181">
        <f>+M40*References!$D$69</f>
        <v>292.64755765840101</v>
      </c>
      <c r="O40" s="181">
        <f>+N40/References!$F$78</f>
        <v>298.39920228239419</v>
      </c>
      <c r="P40" s="181">
        <f t="shared" si="13"/>
        <v>0.32539236730280768</v>
      </c>
      <c r="Q40" s="181">
        <f>+'Proposed Rates'!$B$72</f>
        <v>28.17</v>
      </c>
      <c r="R40" s="181">
        <f t="shared" si="14"/>
        <v>28.495392367302809</v>
      </c>
      <c r="S40" s="181">
        <f>+'Proposed Rates'!$F$72</f>
        <v>28.495392367302809</v>
      </c>
      <c r="T40" s="181">
        <f t="shared" si="15"/>
        <v>25833.136769531451</v>
      </c>
      <c r="U40" s="181">
        <f t="shared" si="16"/>
        <v>26131.535971813842</v>
      </c>
      <c r="V40" s="181">
        <f t="shared" si="17"/>
        <v>298.39920228239134</v>
      </c>
      <c r="W40" s="194"/>
    </row>
    <row r="41" spans="1:23" s="163" customFormat="1" ht="13.5" customHeight="1">
      <c r="A41" s="180" t="s">
        <v>131</v>
      </c>
      <c r="B41" s="180" t="s">
        <v>132</v>
      </c>
      <c r="D41" s="181">
        <v>468.68</v>
      </c>
      <c r="E41" s="182">
        <v>5038.3099999999995</v>
      </c>
      <c r="G41" s="164">
        <f t="shared" si="18"/>
        <v>10.749999999999998</v>
      </c>
      <c r="I41" s="183">
        <f>+References!C9</f>
        <v>17.32</v>
      </c>
      <c r="J41" s="184">
        <f t="shared" si="10"/>
        <v>186.18999999999997</v>
      </c>
      <c r="K41" s="163">
        <f>+References!C39</f>
        <v>324</v>
      </c>
      <c r="L41" s="164">
        <f t="shared" si="11"/>
        <v>60325.55999999999</v>
      </c>
      <c r="M41" s="164">
        <f t="shared" si="12"/>
        <v>47724.524300624194</v>
      </c>
      <c r="N41" s="181">
        <f>+M41*References!$D$69</f>
        <v>59.417032754276939</v>
      </c>
      <c r="O41" s="181">
        <f>+N41/References!$F$78</f>
        <v>60.584804868109757</v>
      </c>
      <c r="P41" s="181">
        <f t="shared" si="13"/>
        <v>0.32539236730280768</v>
      </c>
      <c r="Q41" s="181">
        <f>+'Proposed Rates'!$B$72</f>
        <v>28.17</v>
      </c>
      <c r="R41" s="181">
        <f t="shared" si="14"/>
        <v>28.495392367302809</v>
      </c>
      <c r="S41" s="181">
        <f>+'Proposed Rates'!$F$72</f>
        <v>28.495392367302809</v>
      </c>
      <c r="T41" s="181">
        <f t="shared" si="15"/>
        <v>5244.9722999999994</v>
      </c>
      <c r="U41" s="181">
        <f t="shared" si="16"/>
        <v>5305.5571048681095</v>
      </c>
      <c r="V41" s="181">
        <f t="shared" si="17"/>
        <v>60.584804868110041</v>
      </c>
      <c r="W41" s="194"/>
    </row>
    <row r="42" spans="1:23" s="163" customFormat="1" ht="13.5" customHeight="1">
      <c r="A42" s="162" t="s">
        <v>133</v>
      </c>
      <c r="B42" s="180" t="s">
        <v>134</v>
      </c>
      <c r="D42" s="181">
        <v>585.85</v>
      </c>
      <c r="E42" s="182">
        <v>937.37</v>
      </c>
      <c r="G42" s="164">
        <f t="shared" si="18"/>
        <v>1.6000170692156694</v>
      </c>
      <c r="I42" s="183">
        <f>+References!C8</f>
        <v>21.65</v>
      </c>
      <c r="J42" s="184">
        <f t="shared" si="10"/>
        <v>34.640369548519239</v>
      </c>
      <c r="K42" s="163">
        <f>+References!C39</f>
        <v>324</v>
      </c>
      <c r="L42" s="164">
        <f t="shared" si="11"/>
        <v>11223.479733720233</v>
      </c>
      <c r="M42" s="164">
        <f t="shared" si="12"/>
        <v>8879.0759885112475</v>
      </c>
      <c r="N42" s="181">
        <f>+M42*References!$D$69</f>
        <v>11.054449605696469</v>
      </c>
      <c r="O42" s="181">
        <f>+N42/References!$F$78</f>
        <v>11.271711851636768</v>
      </c>
      <c r="P42" s="181">
        <f t="shared" si="13"/>
        <v>0.32539236730280774</v>
      </c>
      <c r="Q42" s="181">
        <f>+'Proposed Rates'!$B$72</f>
        <v>28.17</v>
      </c>
      <c r="R42" s="181">
        <f t="shared" si="14"/>
        <v>28.495392367302809</v>
      </c>
      <c r="S42" s="181">
        <f>+'Proposed Rates'!$F$72</f>
        <v>28.495392367302809</v>
      </c>
      <c r="T42" s="181">
        <f t="shared" si="15"/>
        <v>975.81921018178707</v>
      </c>
      <c r="U42" s="181">
        <f t="shared" si="16"/>
        <v>987.09092203342379</v>
      </c>
      <c r="V42" s="181">
        <f t="shared" si="17"/>
        <v>11.271711851636724</v>
      </c>
      <c r="W42" s="194"/>
    </row>
    <row r="43" spans="1:23" s="163" customFormat="1" ht="13.5" customHeight="1">
      <c r="A43" s="180" t="s">
        <v>135</v>
      </c>
      <c r="B43" s="180" t="s">
        <v>136</v>
      </c>
      <c r="D43" s="181">
        <v>58.72</v>
      </c>
      <c r="E43" s="182">
        <v>230641.67</v>
      </c>
      <c r="G43" s="164">
        <f t="shared" si="18"/>
        <v>3927.8213555858315</v>
      </c>
      <c r="I43" s="183">
        <f>+References!C13</f>
        <v>2.17</v>
      </c>
      <c r="J43" s="184">
        <f t="shared" si="10"/>
        <v>8523.3723416212542</v>
      </c>
      <c r="K43" s="163">
        <f>+References!C39</f>
        <v>324</v>
      </c>
      <c r="L43" s="164">
        <f t="shared" si="11"/>
        <v>2761572.6386852865</v>
      </c>
      <c r="M43" s="164">
        <f t="shared" si="12"/>
        <v>2184724.6922013629</v>
      </c>
      <c r="N43" s="181">
        <f>+M43*References!$D$69</f>
        <v>2719.9822417906885</v>
      </c>
      <c r="O43" s="181">
        <f>+N43/References!$F$78</f>
        <v>2773.4403036434155</v>
      </c>
      <c r="P43" s="181">
        <f t="shared" si="13"/>
        <v>0.32539236730280774</v>
      </c>
      <c r="Q43" s="181">
        <f>+'Proposed Rates'!B72</f>
        <v>28.17</v>
      </c>
      <c r="R43" s="181">
        <f t="shared" si="14"/>
        <v>28.495392367302809</v>
      </c>
      <c r="S43" s="181">
        <f>+'Proposed Rates'!F72</f>
        <v>28.495392367302809</v>
      </c>
      <c r="T43" s="181">
        <f t="shared" si="15"/>
        <v>240103.39886347073</v>
      </c>
      <c r="U43" s="181">
        <f t="shared" si="16"/>
        <v>242876.83916711414</v>
      </c>
      <c r="V43" s="181">
        <f t="shared" si="17"/>
        <v>2773.4403036434087</v>
      </c>
      <c r="W43" s="194"/>
    </row>
    <row r="44" spans="1:23" s="163" customFormat="1" ht="13.5" customHeight="1">
      <c r="A44" s="180" t="s">
        <v>137</v>
      </c>
      <c r="B44" s="180" t="s">
        <v>138</v>
      </c>
      <c r="D44" s="181">
        <v>163.33000000000001</v>
      </c>
      <c r="E44" s="182">
        <v>363866.63</v>
      </c>
      <c r="G44" s="164">
        <f t="shared" si="18"/>
        <v>2227.80034286414</v>
      </c>
      <c r="I44" s="183">
        <f>+References!C12</f>
        <v>4.33</v>
      </c>
      <c r="J44" s="184">
        <f t="shared" si="10"/>
        <v>9646.3754846017273</v>
      </c>
      <c r="K44" s="163">
        <f>+References!C40</f>
        <v>473</v>
      </c>
      <c r="L44" s="164">
        <f t="shared" si="11"/>
        <v>4562735.6042166166</v>
      </c>
      <c r="M44" s="164">
        <f t="shared" si="12"/>
        <v>3609653.7888874831</v>
      </c>
      <c r="N44" s="181">
        <f>+M44*References!$D$69</f>
        <v>4494.0189671649023</v>
      </c>
      <c r="O44" s="181">
        <f>+N44/References!$F$78</f>
        <v>4582.3436408421348</v>
      </c>
      <c r="P44" s="181">
        <f t="shared" si="13"/>
        <v>0.47503268436490137</v>
      </c>
      <c r="Q44" s="181">
        <f>+'Proposed Rates'!$B$73</f>
        <v>39.299999999999997</v>
      </c>
      <c r="R44" s="181">
        <f t="shared" si="14"/>
        <v>39.775032684364902</v>
      </c>
      <c r="S44" s="181">
        <f>+'Proposed Rates'!$F$73</f>
        <v>39.775032684364902</v>
      </c>
      <c r="T44" s="181">
        <f t="shared" si="15"/>
        <v>379102.55654484784</v>
      </c>
      <c r="U44" s="181">
        <f t="shared" si="16"/>
        <v>383684.90018568997</v>
      </c>
      <c r="V44" s="181">
        <f t="shared" si="17"/>
        <v>4582.3436408421258</v>
      </c>
      <c r="W44" s="194"/>
    </row>
    <row r="45" spans="1:23" s="163" customFormat="1" ht="13.5" customHeight="1">
      <c r="A45" s="180" t="s">
        <v>139</v>
      </c>
      <c r="B45" s="180" t="s">
        <v>140</v>
      </c>
      <c r="D45" s="181">
        <v>326.66000000000003</v>
      </c>
      <c r="E45" s="182">
        <v>216689.93999999997</v>
      </c>
      <c r="G45" s="164">
        <f t="shared" si="18"/>
        <v>663.35008877732184</v>
      </c>
      <c r="I45" s="183">
        <f>+References!C11</f>
        <v>8.66</v>
      </c>
      <c r="J45" s="184">
        <f t="shared" si="10"/>
        <v>5744.6117688116074</v>
      </c>
      <c r="K45" s="163">
        <f>+References!C40</f>
        <v>473</v>
      </c>
      <c r="L45" s="164">
        <f t="shared" si="11"/>
        <v>2717201.3666478903</v>
      </c>
      <c r="M45" s="164">
        <f t="shared" si="12"/>
        <v>2149621.8626445662</v>
      </c>
      <c r="N45" s="181">
        <f>+M45*References!$D$69</f>
        <v>2676.2792189924767</v>
      </c>
      <c r="O45" s="181">
        <f>+N45/References!$F$78</f>
        <v>2728.8783491727822</v>
      </c>
      <c r="P45" s="181">
        <f t="shared" si="13"/>
        <v>0.47503268436490143</v>
      </c>
      <c r="Q45" s="181">
        <f>+'Proposed Rates'!$B$73</f>
        <v>39.299999999999997</v>
      </c>
      <c r="R45" s="181">
        <f t="shared" si="14"/>
        <v>39.775032684364902</v>
      </c>
      <c r="S45" s="181">
        <f>+'Proposed Rates'!$F$73</f>
        <v>39.775032684364902</v>
      </c>
      <c r="T45" s="181">
        <f t="shared" si="15"/>
        <v>225763.24251429614</v>
      </c>
      <c r="U45" s="181">
        <f t="shared" si="16"/>
        <v>228492.12086346894</v>
      </c>
      <c r="V45" s="181">
        <f t="shared" si="17"/>
        <v>2728.8783491727954</v>
      </c>
      <c r="W45" s="194"/>
    </row>
    <row r="46" spans="1:23" s="163" customFormat="1" ht="13.5" customHeight="1">
      <c r="A46" s="180" t="s">
        <v>141</v>
      </c>
      <c r="B46" s="180" t="s">
        <v>142</v>
      </c>
      <c r="D46" s="181">
        <v>489.98</v>
      </c>
      <c r="E46" s="182">
        <v>66351.459999999992</v>
      </c>
      <c r="G46" s="164">
        <f t="shared" si="18"/>
        <v>135.41667006816601</v>
      </c>
      <c r="I46" s="183">
        <f>+References!C10</f>
        <v>12.99</v>
      </c>
      <c r="J46" s="184">
        <f t="shared" si="10"/>
        <v>1759.0625441854766</v>
      </c>
      <c r="K46" s="163">
        <f>+References!C40</f>
        <v>473</v>
      </c>
      <c r="L46" s="164">
        <f t="shared" si="11"/>
        <v>832036.58339973039</v>
      </c>
      <c r="M46" s="164">
        <f t="shared" si="12"/>
        <v>658237.57199218322</v>
      </c>
      <c r="N46" s="181">
        <f>+M46*References!$D$69</f>
        <v>819.50577713026553</v>
      </c>
      <c r="O46" s="181">
        <f>+N46/References!$F$78</f>
        <v>835.6122023301798</v>
      </c>
      <c r="P46" s="181">
        <f t="shared" si="13"/>
        <v>0.47503268436490131</v>
      </c>
      <c r="Q46" s="181">
        <f>+'Proposed Rates'!$B$73</f>
        <v>39.299999999999997</v>
      </c>
      <c r="R46" s="181">
        <f t="shared" si="14"/>
        <v>39.775032684364902</v>
      </c>
      <c r="S46" s="181">
        <f>+'Proposed Rates'!$F$73</f>
        <v>39.775032684364902</v>
      </c>
      <c r="T46" s="181">
        <f t="shared" si="15"/>
        <v>69131.157986489226</v>
      </c>
      <c r="U46" s="181">
        <f t="shared" si="16"/>
        <v>69966.770188819413</v>
      </c>
      <c r="V46" s="181">
        <f t="shared" si="17"/>
        <v>835.61220233018685</v>
      </c>
      <c r="W46" s="194"/>
    </row>
    <row r="47" spans="1:23" s="163" customFormat="1" ht="13.5" customHeight="1">
      <c r="A47" s="180" t="s">
        <v>143</v>
      </c>
      <c r="B47" s="180" t="s">
        <v>144</v>
      </c>
      <c r="D47" s="181">
        <v>653.30999999999995</v>
      </c>
      <c r="E47" s="182">
        <v>10942.939999999999</v>
      </c>
      <c r="G47" s="164">
        <f t="shared" si="18"/>
        <v>16.749996173332722</v>
      </c>
      <c r="I47" s="183">
        <f>+References!C9</f>
        <v>17.32</v>
      </c>
      <c r="J47" s="184">
        <f t="shared" si="10"/>
        <v>290.10993372212272</v>
      </c>
      <c r="K47" s="163">
        <f>+References!C40</f>
        <v>473</v>
      </c>
      <c r="L47" s="164">
        <f t="shared" si="11"/>
        <v>137221.99865056406</v>
      </c>
      <c r="M47" s="164">
        <f t="shared" si="12"/>
        <v>108558.53819142444</v>
      </c>
      <c r="N47" s="181">
        <f>+M47*References!$D$69</f>
        <v>135.155380048323</v>
      </c>
      <c r="O47" s="181">
        <f>+N47/References!$F$78</f>
        <v>137.81170057694359</v>
      </c>
      <c r="P47" s="181">
        <f t="shared" si="13"/>
        <v>0.47503268436490143</v>
      </c>
      <c r="Q47" s="181">
        <f>+'Proposed Rates'!$B$73</f>
        <v>39.299999999999997</v>
      </c>
      <c r="R47" s="181">
        <f t="shared" si="14"/>
        <v>39.775032684364902</v>
      </c>
      <c r="S47" s="181">
        <f>+'Proposed Rates'!$F$73</f>
        <v>39.775032684364902</v>
      </c>
      <c r="T47" s="181">
        <f t="shared" si="15"/>
        <v>11401.320395279423</v>
      </c>
      <c r="U47" s="181">
        <f t="shared" si="16"/>
        <v>11539.132095856367</v>
      </c>
      <c r="V47" s="181">
        <f t="shared" si="17"/>
        <v>137.81170057694362</v>
      </c>
      <c r="W47" s="194"/>
    </row>
    <row r="48" spans="1:23" s="163" customFormat="1" ht="13.5" customHeight="1">
      <c r="A48" s="180" t="s">
        <v>145</v>
      </c>
      <c r="B48" s="180" t="s">
        <v>146</v>
      </c>
      <c r="D48" s="181">
        <v>816.64</v>
      </c>
      <c r="E48" s="182">
        <v>4899.84</v>
      </c>
      <c r="G48" s="164">
        <f t="shared" si="18"/>
        <v>6</v>
      </c>
      <c r="I48" s="183">
        <f>+References!C8</f>
        <v>21.65</v>
      </c>
      <c r="J48" s="184">
        <f t="shared" si="10"/>
        <v>129.89999999999998</v>
      </c>
      <c r="K48" s="163">
        <f>+References!C40</f>
        <v>473</v>
      </c>
      <c r="L48" s="164">
        <f t="shared" si="11"/>
        <v>61442.69999999999</v>
      </c>
      <c r="M48" s="164">
        <f t="shared" si="12"/>
        <v>48608.311787672792</v>
      </c>
      <c r="N48" s="181">
        <f>+M48*References!$D$69</f>
        <v>60.517348175652437</v>
      </c>
      <c r="O48" s="181">
        <f>+N48/References!$F$78</f>
        <v>61.706745699000678</v>
      </c>
      <c r="P48" s="181">
        <f t="shared" si="13"/>
        <v>0.47503268436490137</v>
      </c>
      <c r="Q48" s="181">
        <f>+'Proposed Rates'!$B$73</f>
        <v>39.299999999999997</v>
      </c>
      <c r="R48" s="181">
        <f t="shared" si="14"/>
        <v>39.775032684364902</v>
      </c>
      <c r="S48" s="181">
        <f>+'Proposed Rates'!$F$73</f>
        <v>39.775032684364902</v>
      </c>
      <c r="T48" s="181">
        <f t="shared" si="15"/>
        <v>5105.07</v>
      </c>
      <c r="U48" s="181">
        <f t="shared" si="16"/>
        <v>5166.7767456990005</v>
      </c>
      <c r="V48" s="181">
        <f t="shared" si="17"/>
        <v>61.706745699000749</v>
      </c>
      <c r="W48" s="194"/>
    </row>
    <row r="49" spans="1:23" s="163" customFormat="1" ht="13.5" customHeight="1">
      <c r="A49" s="180" t="s">
        <v>147</v>
      </c>
      <c r="B49" s="180" t="s">
        <v>148</v>
      </c>
      <c r="D49" s="181">
        <v>81.849999999999994</v>
      </c>
      <c r="E49" s="182">
        <v>31888.17</v>
      </c>
      <c r="G49" s="164">
        <f t="shared" si="18"/>
        <v>389.59279169211976</v>
      </c>
      <c r="I49" s="183">
        <f>+References!C13</f>
        <v>2.17</v>
      </c>
      <c r="J49" s="184">
        <f t="shared" si="10"/>
        <v>845.41635797189986</v>
      </c>
      <c r="K49" s="163">
        <f>+References!C40</f>
        <v>473</v>
      </c>
      <c r="L49" s="164">
        <f t="shared" si="11"/>
        <v>399881.93732070865</v>
      </c>
      <c r="M49" s="164">
        <f t="shared" si="12"/>
        <v>316353.05557118484</v>
      </c>
      <c r="N49" s="181">
        <f>+M49*References!$D$69</f>
        <v>393.85955418612389</v>
      </c>
      <c r="O49" s="181">
        <f>+N49/References!$F$78</f>
        <v>401.60040193339</v>
      </c>
      <c r="P49" s="181">
        <f t="shared" si="13"/>
        <v>0.47503268436490143</v>
      </c>
      <c r="Q49" s="181">
        <f>+'Proposed Rates'!B73</f>
        <v>39.299999999999997</v>
      </c>
      <c r="R49" s="181">
        <f t="shared" si="14"/>
        <v>39.775032684364902</v>
      </c>
      <c r="S49" s="181">
        <f>+'Proposed Rates'!F73</f>
        <v>39.775032684364902</v>
      </c>
      <c r="T49" s="181">
        <f t="shared" si="15"/>
        <v>33224.862868295662</v>
      </c>
      <c r="U49" s="181">
        <f t="shared" si="16"/>
        <v>33626.463270229055</v>
      </c>
      <c r="V49" s="181">
        <f t="shared" si="17"/>
        <v>401.60040193339228</v>
      </c>
      <c r="W49" s="194"/>
    </row>
    <row r="50" spans="1:23" s="163" customFormat="1" ht="13.5" customHeight="1">
      <c r="A50" s="180" t="s">
        <v>149</v>
      </c>
      <c r="B50" s="180" t="s">
        <v>150</v>
      </c>
      <c r="D50" s="181">
        <v>211.39</v>
      </c>
      <c r="E50" s="182">
        <v>439636.82999999996</v>
      </c>
      <c r="G50" s="164">
        <f t="shared" si="18"/>
        <v>2079.7427976725485</v>
      </c>
      <c r="I50" s="183">
        <f>+References!C12</f>
        <v>4.33</v>
      </c>
      <c r="J50" s="184">
        <f t="shared" si="10"/>
        <v>9005.2863139221354</v>
      </c>
      <c r="K50" s="163">
        <f>+References!C41</f>
        <v>613</v>
      </c>
      <c r="L50" s="164">
        <f t="shared" si="11"/>
        <v>5520240.510434269</v>
      </c>
      <c r="M50" s="164">
        <f t="shared" si="12"/>
        <v>4367151.3763902141</v>
      </c>
      <c r="N50" s="181">
        <f>+M50*References!$D$69</f>
        <v>5437.1034636057993</v>
      </c>
      <c r="O50" s="181">
        <f>+N50/References!$F$78</f>
        <v>5543.9633573181063</v>
      </c>
      <c r="P50" s="181">
        <f t="shared" si="13"/>
        <v>0.61563432455747269</v>
      </c>
      <c r="Q50" s="181">
        <f>+'Proposed Rates'!$B$74</f>
        <v>50.86</v>
      </c>
      <c r="R50" s="181">
        <f t="shared" si="14"/>
        <v>51.475634324557475</v>
      </c>
      <c r="S50" s="181">
        <f>+'Proposed Rates'!$F$74</f>
        <v>51.475634324557475</v>
      </c>
      <c r="T50" s="181">
        <f t="shared" si="15"/>
        <v>458008.86192607979</v>
      </c>
      <c r="U50" s="181">
        <f t="shared" si="16"/>
        <v>463552.82528339792</v>
      </c>
      <c r="V50" s="181">
        <f t="shared" si="17"/>
        <v>5543.9633573181345</v>
      </c>
      <c r="W50" s="194"/>
    </row>
    <row r="51" spans="1:23" s="163" customFormat="1" ht="13.5" customHeight="1">
      <c r="A51" s="180" t="s">
        <v>151</v>
      </c>
      <c r="B51" s="180" t="s">
        <v>152</v>
      </c>
      <c r="D51" s="181">
        <v>422.78</v>
      </c>
      <c r="E51" s="182">
        <v>400496.08999999997</v>
      </c>
      <c r="G51" s="164">
        <f t="shared" si="18"/>
        <v>947.29194853115098</v>
      </c>
      <c r="I51" s="183">
        <f>+References!C11</f>
        <v>8.66</v>
      </c>
      <c r="J51" s="184">
        <f t="shared" si="10"/>
        <v>8203.5482742797685</v>
      </c>
      <c r="K51" s="163">
        <f>+References!C41</f>
        <v>613</v>
      </c>
      <c r="L51" s="164">
        <f t="shared" si="11"/>
        <v>5028775.0921334978</v>
      </c>
      <c r="M51" s="164">
        <f t="shared" si="12"/>
        <v>3978345.1506608282</v>
      </c>
      <c r="N51" s="181">
        <f>+M51*References!$D$69</f>
        <v>4953.0397125727159</v>
      </c>
      <c r="O51" s="181">
        <f>+N51/References!$F$78</f>
        <v>5050.3859008108448</v>
      </c>
      <c r="P51" s="181">
        <f t="shared" si="13"/>
        <v>0.61563432455747258</v>
      </c>
      <c r="Q51" s="181">
        <f>+'Proposed Rates'!$B$74</f>
        <v>50.86</v>
      </c>
      <c r="R51" s="181">
        <f t="shared" si="14"/>
        <v>51.475634324557475</v>
      </c>
      <c r="S51" s="181">
        <f>+'Proposed Rates'!$F$74</f>
        <v>51.475634324557475</v>
      </c>
      <c r="T51" s="181">
        <f t="shared" si="15"/>
        <v>417232.46522986901</v>
      </c>
      <c r="U51" s="181">
        <f t="shared" si="16"/>
        <v>422282.85113067983</v>
      </c>
      <c r="V51" s="181">
        <f t="shared" si="17"/>
        <v>5050.3859008108266</v>
      </c>
      <c r="W51" s="194"/>
    </row>
    <row r="52" spans="1:23" s="163" customFormat="1" ht="13.5" customHeight="1">
      <c r="A52" s="180" t="s">
        <v>153</v>
      </c>
      <c r="B52" s="180" t="s">
        <v>154</v>
      </c>
      <c r="D52" s="181">
        <v>634.16999999999996</v>
      </c>
      <c r="E52" s="182">
        <v>189730.59000000003</v>
      </c>
      <c r="G52" s="164">
        <f t="shared" si="18"/>
        <v>299.17938407682487</v>
      </c>
      <c r="I52" s="183">
        <f>+References!C10</f>
        <v>12.99</v>
      </c>
      <c r="J52" s="184">
        <f t="shared" si="10"/>
        <v>3886.3401991579553</v>
      </c>
      <c r="K52" s="163">
        <f>+References!C41</f>
        <v>613</v>
      </c>
      <c r="L52" s="164">
        <f t="shared" si="11"/>
        <v>2382326.5420838268</v>
      </c>
      <c r="M52" s="164">
        <f t="shared" si="12"/>
        <v>1884696.9833301443</v>
      </c>
      <c r="N52" s="181">
        <f>+M52*References!$D$69</f>
        <v>2346.4477442460225</v>
      </c>
      <c r="O52" s="181">
        <f>+N52/References!$F$78</f>
        <v>2392.5644235091618</v>
      </c>
      <c r="P52" s="181">
        <f t="shared" si="13"/>
        <v>0.61563432455747269</v>
      </c>
      <c r="Q52" s="181">
        <f>+'Proposed Rates'!$B$74</f>
        <v>50.86</v>
      </c>
      <c r="R52" s="181">
        <f t="shared" si="14"/>
        <v>51.475634324557475</v>
      </c>
      <c r="S52" s="181">
        <f>+'Proposed Rates'!$F$74</f>
        <v>51.475634324557475</v>
      </c>
      <c r="T52" s="181">
        <f t="shared" si="15"/>
        <v>197659.26252917357</v>
      </c>
      <c r="U52" s="181">
        <f t="shared" si="16"/>
        <v>200051.82695268278</v>
      </c>
      <c r="V52" s="181">
        <f t="shared" si="17"/>
        <v>2392.5644235092041</v>
      </c>
      <c r="W52" s="194"/>
    </row>
    <row r="53" spans="1:23" s="163" customFormat="1" ht="13.5" customHeight="1">
      <c r="A53" s="180" t="s">
        <v>155</v>
      </c>
      <c r="B53" s="180" t="s">
        <v>156</v>
      </c>
      <c r="D53" s="181">
        <v>845.56</v>
      </c>
      <c r="E53" s="182">
        <v>40586.87999999999</v>
      </c>
      <c r="G53" s="164">
        <f t="shared" si="18"/>
        <v>47.999999999999993</v>
      </c>
      <c r="I53" s="183">
        <f>+References!C9</f>
        <v>17.32</v>
      </c>
      <c r="J53" s="184">
        <f t="shared" si="10"/>
        <v>831.3599999999999</v>
      </c>
      <c r="K53" s="163">
        <f>+References!C41</f>
        <v>613</v>
      </c>
      <c r="L53" s="164">
        <f t="shared" si="11"/>
        <v>509623.67999999993</v>
      </c>
      <c r="M53" s="164">
        <f t="shared" si="12"/>
        <v>403171.51967314567</v>
      </c>
      <c r="N53" s="181">
        <f>+M53*References!$D$69</f>
        <v>501.94854199306479</v>
      </c>
      <c r="O53" s="181">
        <f>+N53/References!$F$78</f>
        <v>511.81375206410036</v>
      </c>
      <c r="P53" s="181">
        <f t="shared" si="13"/>
        <v>0.61563432455747258</v>
      </c>
      <c r="Q53" s="181">
        <f>+'Proposed Rates'!$B$74</f>
        <v>50.86</v>
      </c>
      <c r="R53" s="181">
        <f t="shared" si="14"/>
        <v>51.475634324557475</v>
      </c>
      <c r="S53" s="181">
        <f>+'Proposed Rates'!$F$74</f>
        <v>51.475634324557475</v>
      </c>
      <c r="T53" s="181">
        <f t="shared" si="15"/>
        <v>42282.969599999997</v>
      </c>
      <c r="U53" s="181">
        <f t="shared" si="16"/>
        <v>42794.7833520641</v>
      </c>
      <c r="V53" s="181">
        <f t="shared" si="17"/>
        <v>511.81375206410303</v>
      </c>
      <c r="W53" s="194"/>
    </row>
    <row r="54" spans="1:23" s="163" customFormat="1" ht="13.5" customHeight="1">
      <c r="A54" s="180" t="s">
        <v>157</v>
      </c>
      <c r="B54" s="180" t="s">
        <v>158</v>
      </c>
      <c r="D54" s="181">
        <v>1056.95</v>
      </c>
      <c r="E54" s="182">
        <v>35724.909999999996</v>
      </c>
      <c r="G54" s="164">
        <f t="shared" si="18"/>
        <v>33.799999999999997</v>
      </c>
      <c r="I54" s="183">
        <f>+References!C8</f>
        <v>21.65</v>
      </c>
      <c r="J54" s="184">
        <f t="shared" si="10"/>
        <v>731.76999999999987</v>
      </c>
      <c r="K54" s="163">
        <f>+References!C41</f>
        <v>613</v>
      </c>
      <c r="L54" s="164">
        <f t="shared" si="11"/>
        <v>448575.00999999989</v>
      </c>
      <c r="M54" s="164">
        <f t="shared" si="12"/>
        <v>354874.93137896672</v>
      </c>
      <c r="N54" s="181">
        <f>+M54*References!$D$69</f>
        <v>441.81928956681219</v>
      </c>
      <c r="O54" s="181">
        <f>+N54/References!$F$78</f>
        <v>450.50272968142161</v>
      </c>
      <c r="P54" s="181">
        <f t="shared" si="13"/>
        <v>0.61563432455747258</v>
      </c>
      <c r="Q54" s="181">
        <f>+'Proposed Rates'!$B$74</f>
        <v>50.86</v>
      </c>
      <c r="R54" s="181">
        <f t="shared" si="14"/>
        <v>51.475634324557475</v>
      </c>
      <c r="S54" s="181">
        <f>+'Proposed Rates'!$F$74</f>
        <v>51.475634324557475</v>
      </c>
      <c r="T54" s="181">
        <f t="shared" si="15"/>
        <v>37217.822199999995</v>
      </c>
      <c r="U54" s="181">
        <f t="shared" si="16"/>
        <v>37668.324929681417</v>
      </c>
      <c r="V54" s="181">
        <f t="shared" si="17"/>
        <v>450.50272968142235</v>
      </c>
      <c r="W54" s="194"/>
    </row>
    <row r="55" spans="1:23" s="163" customFormat="1" ht="13.5" customHeight="1">
      <c r="A55" s="180" t="s">
        <v>159</v>
      </c>
      <c r="B55" s="180" t="s">
        <v>160</v>
      </c>
      <c r="D55" s="181">
        <v>1268.3399999999999</v>
      </c>
      <c r="E55" s="182">
        <v>27903.479999999996</v>
      </c>
      <c r="G55" s="164">
        <f t="shared" si="18"/>
        <v>21.999999999999996</v>
      </c>
      <c r="I55" s="194">
        <f>+References!C12*6</f>
        <v>25.98</v>
      </c>
      <c r="J55" s="184">
        <f t="shared" si="10"/>
        <v>571.55999999999995</v>
      </c>
      <c r="K55" s="163">
        <f>+References!C41</f>
        <v>613</v>
      </c>
      <c r="L55" s="164">
        <f t="shared" si="11"/>
        <v>350366.27999999997</v>
      </c>
      <c r="M55" s="164">
        <f t="shared" si="12"/>
        <v>277180.41977528768</v>
      </c>
      <c r="N55" s="181">
        <f>+M55*References!$D$69</f>
        <v>345.08962262023209</v>
      </c>
      <c r="O55" s="181">
        <f>+N55/References!$F$78</f>
        <v>351.87195454406901</v>
      </c>
      <c r="P55" s="181">
        <f t="shared" si="13"/>
        <v>0.61563432455747258</v>
      </c>
      <c r="Q55" s="181">
        <f>+'Proposed Rates'!$B$74</f>
        <v>50.86</v>
      </c>
      <c r="R55" s="181">
        <f t="shared" si="14"/>
        <v>51.475634324557475</v>
      </c>
      <c r="S55" s="181">
        <f>+'Proposed Rates'!$F$74</f>
        <v>51.475634324557475</v>
      </c>
      <c r="T55" s="181">
        <f t="shared" si="15"/>
        <v>29069.541599999997</v>
      </c>
      <c r="U55" s="181">
        <f t="shared" si="16"/>
        <v>29421.413554544066</v>
      </c>
      <c r="V55" s="181">
        <f t="shared" si="17"/>
        <v>351.87195454406901</v>
      </c>
      <c r="W55" s="194"/>
    </row>
    <row r="56" spans="1:23" s="163" customFormat="1" ht="13.5" customHeight="1">
      <c r="A56" s="180" t="s">
        <v>161</v>
      </c>
      <c r="B56" s="180" t="s">
        <v>162</v>
      </c>
      <c r="D56" s="181">
        <v>105.94</v>
      </c>
      <c r="E56" s="182">
        <v>28497.86</v>
      </c>
      <c r="G56" s="164">
        <f t="shared" si="18"/>
        <v>269</v>
      </c>
      <c r="I56" s="183">
        <f>+References!C13</f>
        <v>2.17</v>
      </c>
      <c r="J56" s="184">
        <f t="shared" si="10"/>
        <v>583.73</v>
      </c>
      <c r="K56" s="163">
        <f>+References!C41</f>
        <v>613</v>
      </c>
      <c r="L56" s="164">
        <f t="shared" si="11"/>
        <v>357826.49</v>
      </c>
      <c r="M56" s="164">
        <f t="shared" si="12"/>
        <v>283082.31233016425</v>
      </c>
      <c r="N56" s="181">
        <f>+M56*References!$D$69</f>
        <v>352.43747885105341</v>
      </c>
      <c r="O56" s="181">
        <f>+N56/References!$F$78</f>
        <v>359.36422427393347</v>
      </c>
      <c r="P56" s="181">
        <f t="shared" si="13"/>
        <v>0.61563432455747258</v>
      </c>
      <c r="Q56" s="181">
        <f>+'Proposed Rates'!B74</f>
        <v>50.86</v>
      </c>
      <c r="R56" s="181">
        <f t="shared" si="14"/>
        <v>51.475634324557475</v>
      </c>
      <c r="S56" s="181">
        <f>+'Proposed Rates'!F74</f>
        <v>51.475634324557475</v>
      </c>
      <c r="T56" s="181">
        <f t="shared" si="15"/>
        <v>29688.507799999999</v>
      </c>
      <c r="U56" s="181">
        <f t="shared" si="16"/>
        <v>30047.872024273933</v>
      </c>
      <c r="V56" s="181">
        <f t="shared" si="17"/>
        <v>359.36422427393336</v>
      </c>
      <c r="W56" s="194"/>
    </row>
    <row r="57" spans="1:23" s="163" customFormat="1" ht="13.5" customHeight="1">
      <c r="A57" s="180" t="s">
        <v>163</v>
      </c>
      <c r="B57" s="180" t="s">
        <v>164</v>
      </c>
      <c r="D57" s="181">
        <v>259.63</v>
      </c>
      <c r="E57" s="182">
        <v>15577.8</v>
      </c>
      <c r="G57" s="164">
        <f t="shared" si="18"/>
        <v>60</v>
      </c>
      <c r="I57" s="183">
        <f>+References!C12</f>
        <v>4.33</v>
      </c>
      <c r="J57" s="184">
        <f t="shared" si="10"/>
        <v>259.8</v>
      </c>
      <c r="K57" s="163">
        <f>+References!C42</f>
        <v>728</v>
      </c>
      <c r="L57" s="164">
        <f t="shared" si="11"/>
        <v>189134.4</v>
      </c>
      <c r="M57" s="164">
        <f t="shared" si="12"/>
        <v>149627.27687706469</v>
      </c>
      <c r="N57" s="181">
        <f>+M57*References!$D$69</f>
        <v>186.28595971194497</v>
      </c>
      <c r="O57" s="181">
        <f>+N57/References!$F$78</f>
        <v>189.94719183455604</v>
      </c>
      <c r="P57" s="181">
        <f t="shared" si="13"/>
        <v>0.73112852900137038</v>
      </c>
      <c r="Q57" s="181">
        <f>+'Proposed Rates'!$B$75</f>
        <v>62.43</v>
      </c>
      <c r="R57" s="181">
        <f t="shared" si="14"/>
        <v>63.161128529001367</v>
      </c>
      <c r="S57" s="181">
        <f>+'Proposed Rates'!$F$75</f>
        <v>63.161128529001367</v>
      </c>
      <c r="T57" s="181">
        <f t="shared" si="15"/>
        <v>16219.314</v>
      </c>
      <c r="U57" s="181">
        <f t="shared" si="16"/>
        <v>16409.261191834554</v>
      </c>
      <c r="V57" s="181">
        <f t="shared" si="17"/>
        <v>189.94719183455345</v>
      </c>
      <c r="W57" s="194"/>
    </row>
    <row r="58" spans="1:23" s="163" customFormat="1" ht="13.5" customHeight="1">
      <c r="A58" s="180" t="s">
        <v>165</v>
      </c>
      <c r="B58" s="180" t="s">
        <v>166</v>
      </c>
      <c r="D58" s="181">
        <v>130.11000000000001</v>
      </c>
      <c r="E58" s="182">
        <v>1496.27</v>
      </c>
      <c r="G58" s="164">
        <f t="shared" si="18"/>
        <v>11.500038429021595</v>
      </c>
      <c r="I58" s="183">
        <f>+References!C13</f>
        <v>2.17</v>
      </c>
      <c r="J58" s="184">
        <f t="shared" si="10"/>
        <v>24.95508339097686</v>
      </c>
      <c r="K58" s="163">
        <f>+References!C42</f>
        <v>728</v>
      </c>
      <c r="L58" s="164">
        <f t="shared" si="11"/>
        <v>18167.300708631155</v>
      </c>
      <c r="M58" s="164">
        <f t="shared" si="12"/>
        <v>14372.444850007441</v>
      </c>
      <c r="N58" s="181">
        <f>+M58*References!$D$69</f>
        <v>17.89369383825921</v>
      </c>
      <c r="O58" s="181">
        <f>+N58/References!$F$78</f>
        <v>18.245373410751444</v>
      </c>
      <c r="P58" s="181">
        <f t="shared" si="13"/>
        <v>0.73112852900137049</v>
      </c>
      <c r="Q58" s="181">
        <f>+'Proposed Rates'!B75</f>
        <v>62.43</v>
      </c>
      <c r="R58" s="181">
        <f t="shared" si="14"/>
        <v>63.161128529001367</v>
      </c>
      <c r="S58" s="181">
        <f>+'Proposed Rates'!F75</f>
        <v>63.161128529001367</v>
      </c>
      <c r="T58" s="181">
        <f t="shared" si="15"/>
        <v>1557.9458560986855</v>
      </c>
      <c r="U58" s="181">
        <f t="shared" si="16"/>
        <v>1576.1912295094367</v>
      </c>
      <c r="V58" s="181">
        <f t="shared" si="17"/>
        <v>18.245373410751199</v>
      </c>
      <c r="W58" s="194"/>
    </row>
    <row r="59" spans="1:23" s="163" customFormat="1" ht="13.5" customHeight="1">
      <c r="A59" s="180" t="s">
        <v>167</v>
      </c>
      <c r="B59" s="180" t="s">
        <v>168</v>
      </c>
      <c r="D59" s="181">
        <v>307.47000000000003</v>
      </c>
      <c r="E59" s="182">
        <v>340584.57</v>
      </c>
      <c r="G59" s="164">
        <f t="shared" si="18"/>
        <v>1107.7001658698409</v>
      </c>
      <c r="I59" s="183">
        <f>+References!C12</f>
        <v>4.33</v>
      </c>
      <c r="J59" s="184">
        <f t="shared" si="10"/>
        <v>4796.3417182164112</v>
      </c>
      <c r="K59" s="163">
        <f>+References!C43</f>
        <v>840</v>
      </c>
      <c r="L59" s="164">
        <f t="shared" si="11"/>
        <v>4028927.0433017854</v>
      </c>
      <c r="M59" s="164">
        <f t="shared" si="12"/>
        <v>3187349.2195264841</v>
      </c>
      <c r="N59" s="181">
        <f>+M59*References!$D$69</f>
        <v>3968.2497783104604</v>
      </c>
      <c r="O59" s="181">
        <f>+N59/References!$F$78</f>
        <v>4046.2410750316967</v>
      </c>
      <c r="P59" s="181">
        <f t="shared" si="13"/>
        <v>0.84360984115542748</v>
      </c>
      <c r="Q59" s="181">
        <f>+'Proposed Rates'!$B$76</f>
        <v>73.89</v>
      </c>
      <c r="R59" s="181">
        <f t="shared" si="14"/>
        <v>74.733609841155427</v>
      </c>
      <c r="S59" s="181">
        <f>+'Proposed Rates'!$F$76</f>
        <v>74.733609841155427</v>
      </c>
      <c r="T59" s="181">
        <f t="shared" si="15"/>
        <v>354401.68955901067</v>
      </c>
      <c r="U59" s="181">
        <f t="shared" si="16"/>
        <v>358447.93063404231</v>
      </c>
      <c r="V59" s="181">
        <f t="shared" si="17"/>
        <v>4046.241075031634</v>
      </c>
      <c r="W59" s="194"/>
    </row>
    <row r="60" spans="1:23" s="163" customFormat="1" ht="13.5" customHeight="1">
      <c r="A60" s="180" t="s">
        <v>169</v>
      </c>
      <c r="B60" s="180" t="s">
        <v>170</v>
      </c>
      <c r="D60" s="181">
        <v>614.95000000000005</v>
      </c>
      <c r="E60" s="182">
        <v>169171.07</v>
      </c>
      <c r="G60" s="164">
        <f t="shared" si="18"/>
        <v>275.09727620131719</v>
      </c>
      <c r="I60" s="183">
        <f>+References!C11</f>
        <v>8.66</v>
      </c>
      <c r="J60" s="184">
        <f t="shared" si="10"/>
        <v>2382.3424119034071</v>
      </c>
      <c r="K60" s="163">
        <f>+References!C43</f>
        <v>840</v>
      </c>
      <c r="L60" s="164">
        <f t="shared" si="11"/>
        <v>2001167.6259988619</v>
      </c>
      <c r="M60" s="164">
        <f t="shared" si="12"/>
        <v>1583156.0120884934</v>
      </c>
      <c r="N60" s="181">
        <f>+M60*References!$D$69</f>
        <v>1971.0292350501682</v>
      </c>
      <c r="O60" s="181">
        <f>+N60/References!$F$78</f>
        <v>2009.7675036836711</v>
      </c>
      <c r="P60" s="181">
        <f t="shared" si="13"/>
        <v>0.84360984115542736</v>
      </c>
      <c r="Q60" s="181">
        <f>+'Proposed Rates'!$B$76</f>
        <v>73.89</v>
      </c>
      <c r="R60" s="181">
        <f t="shared" si="14"/>
        <v>74.733609841155427</v>
      </c>
      <c r="S60" s="181">
        <f>+'Proposed Rates'!$F$76</f>
        <v>74.733609841155427</v>
      </c>
      <c r="T60" s="181">
        <f t="shared" si="15"/>
        <v>176031.28081554273</v>
      </c>
      <c r="U60" s="181">
        <f t="shared" si="16"/>
        <v>178041.04831922642</v>
      </c>
      <c r="V60" s="181">
        <f t="shared" si="17"/>
        <v>2009.7675036836881</v>
      </c>
      <c r="W60" s="194"/>
    </row>
    <row r="61" spans="1:23" s="163" customFormat="1" ht="13.5" customHeight="1">
      <c r="A61" s="180" t="s">
        <v>171</v>
      </c>
      <c r="B61" s="180" t="s">
        <v>172</v>
      </c>
      <c r="D61" s="181">
        <v>922.42</v>
      </c>
      <c r="E61" s="182">
        <v>83869.220000000016</v>
      </c>
      <c r="G61" s="164">
        <f t="shared" si="18"/>
        <v>90.923028555321892</v>
      </c>
      <c r="I61" s="183">
        <f>+References!C10</f>
        <v>12.99</v>
      </c>
      <c r="J61" s="184">
        <f t="shared" si="10"/>
        <v>1181.0901409336313</v>
      </c>
      <c r="K61" s="163">
        <f>+References!C43</f>
        <v>840</v>
      </c>
      <c r="L61" s="164">
        <f t="shared" si="11"/>
        <v>992115.7183842503</v>
      </c>
      <c r="M61" s="164">
        <f t="shared" si="12"/>
        <v>784878.75970086968</v>
      </c>
      <c r="N61" s="181">
        <f>+M61*References!$D$69</f>
        <v>977.17405582757965</v>
      </c>
      <c r="O61" s="181">
        <f>+N61/References!$F$78</f>
        <v>996.37926618326208</v>
      </c>
      <c r="P61" s="181">
        <f t="shared" si="13"/>
        <v>0.84360984115542736</v>
      </c>
      <c r="Q61" s="181">
        <f>+'Proposed Rates'!$B$76</f>
        <v>73.89</v>
      </c>
      <c r="R61" s="181">
        <f t="shared" si="14"/>
        <v>74.733609841155427</v>
      </c>
      <c r="S61" s="181">
        <f>+'Proposed Rates'!$F$76</f>
        <v>74.733609841155427</v>
      </c>
      <c r="T61" s="181">
        <f t="shared" si="15"/>
        <v>87270.750513586026</v>
      </c>
      <c r="U61" s="181">
        <f t="shared" si="16"/>
        <v>88267.129779769282</v>
      </c>
      <c r="V61" s="181">
        <f t="shared" si="17"/>
        <v>996.37926618325582</v>
      </c>
      <c r="W61" s="194"/>
    </row>
    <row r="62" spans="1:23" s="163" customFormat="1" ht="13.5" customHeight="1">
      <c r="A62" s="180" t="s">
        <v>173</v>
      </c>
      <c r="B62" s="180" t="s">
        <v>174</v>
      </c>
      <c r="D62" s="181">
        <v>1537.37</v>
      </c>
      <c r="E62" s="182">
        <v>24597.919999999998</v>
      </c>
      <c r="G62" s="164">
        <f t="shared" si="18"/>
        <v>16</v>
      </c>
      <c r="I62" s="183">
        <f>+References!C8</f>
        <v>21.65</v>
      </c>
      <c r="J62" s="184">
        <f t="shared" si="10"/>
        <v>346.4</v>
      </c>
      <c r="K62" s="163">
        <f>+References!C43</f>
        <v>840</v>
      </c>
      <c r="L62" s="164">
        <f t="shared" si="11"/>
        <v>290976</v>
      </c>
      <c r="M62" s="164">
        <f t="shared" si="12"/>
        <v>230195.81058009953</v>
      </c>
      <c r="N62" s="181">
        <f>+M62*References!$D$69</f>
        <v>286.59378417222302</v>
      </c>
      <c r="O62" s="181">
        <f>+N62/References!$F$78</f>
        <v>292.22644897624008</v>
      </c>
      <c r="P62" s="181">
        <f t="shared" si="13"/>
        <v>0.84360984115542759</v>
      </c>
      <c r="Q62" s="181">
        <f>+'Proposed Rates'!B76</f>
        <v>73.89</v>
      </c>
      <c r="R62" s="181">
        <f t="shared" si="14"/>
        <v>74.733609841155427</v>
      </c>
      <c r="S62" s="181">
        <f>+'Proposed Rates'!F76</f>
        <v>74.733609841155427</v>
      </c>
      <c r="T62" s="181">
        <f t="shared" si="15"/>
        <v>25595.495999999999</v>
      </c>
      <c r="U62" s="181">
        <f t="shared" si="16"/>
        <v>25887.722448976238</v>
      </c>
      <c r="V62" s="181">
        <f t="shared" si="17"/>
        <v>292.22644897623832</v>
      </c>
      <c r="W62" s="194"/>
    </row>
    <row r="63" spans="1:23" s="163" customFormat="1" ht="13.5" customHeight="1">
      <c r="A63" s="180" t="s">
        <v>175</v>
      </c>
      <c r="B63" s="180" t="s">
        <v>176</v>
      </c>
      <c r="D63" s="181">
        <v>154.09</v>
      </c>
      <c r="E63" s="182">
        <v>34593.219999999994</v>
      </c>
      <c r="G63" s="164">
        <f t="shared" si="18"/>
        <v>224.50009734570702</v>
      </c>
      <c r="I63" s="183">
        <f>+References!C13</f>
        <v>2.17</v>
      </c>
      <c r="J63" s="184">
        <f t="shared" si="10"/>
        <v>487.16521124018419</v>
      </c>
      <c r="K63" s="163">
        <f>+References!C43</f>
        <v>840</v>
      </c>
      <c r="L63" s="164">
        <f t="shared" si="11"/>
        <v>409218.7774417547</v>
      </c>
      <c r="M63" s="164">
        <f t="shared" si="12"/>
        <v>323739.58050767786</v>
      </c>
      <c r="N63" s="181">
        <f>+M63*References!$D$69</f>
        <v>403.05577773205766</v>
      </c>
      <c r="O63" s="181">
        <f>+N63/References!$F$78</f>
        <v>410.97736647078199</v>
      </c>
      <c r="P63" s="181">
        <f t="shared" si="13"/>
        <v>0.84360984115542736</v>
      </c>
      <c r="Q63" s="181">
        <f>+'Proposed Rates'!B76</f>
        <v>73.89</v>
      </c>
      <c r="R63" s="181">
        <f t="shared" si="14"/>
        <v>74.733609841155427</v>
      </c>
      <c r="S63" s="181">
        <f>+'Proposed Rates'!F76</f>
        <v>74.733609841155427</v>
      </c>
      <c r="T63" s="181">
        <f t="shared" si="15"/>
        <v>35996.63745853721</v>
      </c>
      <c r="U63" s="181">
        <f t="shared" si="16"/>
        <v>36407.614825007993</v>
      </c>
      <c r="V63" s="181">
        <f t="shared" si="17"/>
        <v>410.97736647078273</v>
      </c>
      <c r="W63" s="194"/>
    </row>
    <row r="64" spans="1:23" s="163" customFormat="1" ht="13.5" customHeight="1">
      <c r="A64" s="180" t="s">
        <v>177</v>
      </c>
      <c r="B64" s="180" t="s">
        <v>178</v>
      </c>
      <c r="D64" s="181">
        <v>402.56</v>
      </c>
      <c r="E64" s="182">
        <v>194829.30000000002</v>
      </c>
      <c r="G64" s="164">
        <f t="shared" si="18"/>
        <v>483.97580484896667</v>
      </c>
      <c r="I64" s="183">
        <f>+References!C12</f>
        <v>4.33</v>
      </c>
      <c r="J64" s="184">
        <f t="shared" si="10"/>
        <v>2095.6152349960257</v>
      </c>
      <c r="K64" s="163">
        <f>+References!C44</f>
        <v>980</v>
      </c>
      <c r="L64" s="164">
        <f t="shared" si="11"/>
        <v>2053702.9302961051</v>
      </c>
      <c r="M64" s="164">
        <f t="shared" ref="M64:M95" si="19">+L64*$D$110</f>
        <v>1624717.5393511408</v>
      </c>
      <c r="N64" s="181">
        <f>+M64*References!$D$69</f>
        <v>2022.7733364921639</v>
      </c>
      <c r="O64" s="181">
        <f>+N64/References!$F$78</f>
        <v>2062.5285747708726</v>
      </c>
      <c r="P64" s="181">
        <f t="shared" ref="P64:P95" si="20">+O64/J64</f>
        <v>0.98421148134799863</v>
      </c>
      <c r="Q64" s="181">
        <f>+'Proposed Rates'!$B$77</f>
        <v>96.53</v>
      </c>
      <c r="R64" s="181">
        <f t="shared" ref="R64:R95" si="21">+Q64+P64</f>
        <v>97.514211481347999</v>
      </c>
      <c r="S64" s="181">
        <f>+'Proposed Rates'!$F$77</f>
        <v>97.514211481347999</v>
      </c>
      <c r="T64" s="181">
        <f t="shared" ref="T64:T87" si="22">+G64*Q64*I64</f>
        <v>202289.73863416637</v>
      </c>
      <c r="U64" s="181">
        <f t="shared" ref="U64:U87" si="23">+G64*R64*I64</f>
        <v>204352.26720893724</v>
      </c>
      <c r="V64" s="181">
        <f t="shared" ref="V64:V95" si="24">+U64-T64</f>
        <v>2062.5285747708695</v>
      </c>
      <c r="W64" s="194"/>
    </row>
    <row r="65" spans="1:23" s="163" customFormat="1" ht="13.5" customHeight="1">
      <c r="A65" s="180" t="s">
        <v>179</v>
      </c>
      <c r="B65" s="180" t="s">
        <v>180</v>
      </c>
      <c r="D65" s="181">
        <v>805.12</v>
      </c>
      <c r="E65" s="182">
        <v>126001.28</v>
      </c>
      <c r="G65" s="164">
        <f t="shared" si="18"/>
        <v>156.5</v>
      </c>
      <c r="I65" s="183">
        <f>+References!C11</f>
        <v>8.66</v>
      </c>
      <c r="J65" s="184">
        <f t="shared" si="10"/>
        <v>1355.29</v>
      </c>
      <c r="K65" s="163">
        <f>+References!C44</f>
        <v>980</v>
      </c>
      <c r="L65" s="164">
        <f t="shared" si="11"/>
        <v>1328184.2</v>
      </c>
      <c r="M65" s="164">
        <f t="shared" si="19"/>
        <v>1050747.9603770792</v>
      </c>
      <c r="N65" s="181">
        <f>+M65*References!$D$69</f>
        <v>1308.1812106694595</v>
      </c>
      <c r="O65" s="181">
        <f>+N65/References!$F$78</f>
        <v>1333.8919785561288</v>
      </c>
      <c r="P65" s="181">
        <f t="shared" si="20"/>
        <v>0.98421148134799852</v>
      </c>
      <c r="Q65" s="181">
        <f>+'Proposed Rates'!$B$77</f>
        <v>96.53</v>
      </c>
      <c r="R65" s="181">
        <f t="shared" si="21"/>
        <v>97.514211481347999</v>
      </c>
      <c r="S65" s="181">
        <f>+'Proposed Rates'!$F$77</f>
        <v>97.514211481347999</v>
      </c>
      <c r="T65" s="181">
        <f t="shared" si="22"/>
        <v>130826.1437</v>
      </c>
      <c r="U65" s="181">
        <f t="shared" si="23"/>
        <v>132160.03567855613</v>
      </c>
      <c r="V65" s="181">
        <f t="shared" si="24"/>
        <v>1333.8919785561302</v>
      </c>
      <c r="W65" s="194"/>
    </row>
    <row r="66" spans="1:23" s="163" customFormat="1" ht="13.5" customHeight="1">
      <c r="A66" s="180" t="s">
        <v>181</v>
      </c>
      <c r="B66" s="180" t="s">
        <v>182</v>
      </c>
      <c r="D66" s="181">
        <v>1207.68</v>
      </c>
      <c r="E66" s="182">
        <v>57968.639999999999</v>
      </c>
      <c r="G66" s="164">
        <f t="shared" si="18"/>
        <v>48</v>
      </c>
      <c r="I66" s="183">
        <f>+References!C10</f>
        <v>12.99</v>
      </c>
      <c r="J66" s="184">
        <f t="shared" si="10"/>
        <v>623.52</v>
      </c>
      <c r="K66" s="163">
        <f>+References!C44</f>
        <v>980</v>
      </c>
      <c r="L66" s="164">
        <f t="shared" si="11"/>
        <v>611049.6</v>
      </c>
      <c r="M66" s="164">
        <f t="shared" si="19"/>
        <v>483411.20221820899</v>
      </c>
      <c r="N66" s="181">
        <f>+M66*References!$D$69</f>
        <v>601.84694676166828</v>
      </c>
      <c r="O66" s="181">
        <f>+N66/References!$F$78</f>
        <v>613.67554285010408</v>
      </c>
      <c r="P66" s="181">
        <f t="shared" si="20"/>
        <v>0.98421148134799863</v>
      </c>
      <c r="Q66" s="181">
        <f>+'Proposed Rates'!$B$77</f>
        <v>96.53</v>
      </c>
      <c r="R66" s="181">
        <f t="shared" si="21"/>
        <v>97.514211481347999</v>
      </c>
      <c r="S66" s="181">
        <f>+'Proposed Rates'!$F$77</f>
        <v>97.514211481347999</v>
      </c>
      <c r="T66" s="181">
        <f t="shared" si="22"/>
        <v>60188.385600000009</v>
      </c>
      <c r="U66" s="181">
        <f t="shared" si="23"/>
        <v>60802.0611428501</v>
      </c>
      <c r="V66" s="181">
        <f t="shared" si="24"/>
        <v>613.67554285009101</v>
      </c>
      <c r="W66" s="194"/>
    </row>
    <row r="67" spans="1:23" s="163" customFormat="1" ht="13.5" customHeight="1">
      <c r="A67" s="180" t="s">
        <v>183</v>
      </c>
      <c r="B67" s="180" t="s">
        <v>184</v>
      </c>
      <c r="D67" s="181">
        <v>1610.24</v>
      </c>
      <c r="E67" s="182">
        <v>19322.88</v>
      </c>
      <c r="G67" s="164">
        <f t="shared" si="18"/>
        <v>12</v>
      </c>
      <c r="I67" s="183">
        <f>+References!C9</f>
        <v>17.32</v>
      </c>
      <c r="J67" s="184">
        <f t="shared" si="10"/>
        <v>207.84</v>
      </c>
      <c r="K67" s="163">
        <f>+References!C44</f>
        <v>980</v>
      </c>
      <c r="L67" s="164">
        <f t="shared" si="11"/>
        <v>203683.20000000001</v>
      </c>
      <c r="M67" s="164">
        <f t="shared" si="19"/>
        <v>161137.06740606966</v>
      </c>
      <c r="N67" s="181">
        <f>+M67*References!$D$69</f>
        <v>200.61564892055611</v>
      </c>
      <c r="O67" s="181">
        <f>+N67/References!$F$78</f>
        <v>204.55851428336803</v>
      </c>
      <c r="P67" s="181">
        <f t="shared" si="20"/>
        <v>0.98421148134799852</v>
      </c>
      <c r="Q67" s="181">
        <f>+'Proposed Rates'!$B$77</f>
        <v>96.53</v>
      </c>
      <c r="R67" s="181">
        <f t="shared" si="21"/>
        <v>97.514211481347999</v>
      </c>
      <c r="S67" s="181">
        <f>+'Proposed Rates'!$F$77</f>
        <v>97.514211481347999</v>
      </c>
      <c r="T67" s="181">
        <f t="shared" si="22"/>
        <v>20062.795200000004</v>
      </c>
      <c r="U67" s="181">
        <f t="shared" si="23"/>
        <v>20267.353714283367</v>
      </c>
      <c r="V67" s="181">
        <f t="shared" si="24"/>
        <v>204.55851428336246</v>
      </c>
      <c r="W67" s="194"/>
    </row>
    <row r="68" spans="1:23" s="163" customFormat="1" ht="13.5" customHeight="1">
      <c r="A68" s="180" t="s">
        <v>185</v>
      </c>
      <c r="B68" s="180" t="s">
        <v>186</v>
      </c>
      <c r="D68" s="181">
        <v>201.74</v>
      </c>
      <c r="E68" s="182">
        <v>8271.34</v>
      </c>
      <c r="G68" s="164">
        <f t="shared" si="18"/>
        <v>41</v>
      </c>
      <c r="I68" s="183">
        <f>+References!C13</f>
        <v>2.17</v>
      </c>
      <c r="J68" s="184">
        <f t="shared" si="10"/>
        <v>88.97</v>
      </c>
      <c r="K68" s="163">
        <f>+References!C44</f>
        <v>980</v>
      </c>
      <c r="L68" s="164">
        <f t="shared" si="11"/>
        <v>87190.6</v>
      </c>
      <c r="M68" s="164">
        <f t="shared" si="19"/>
        <v>68977.891104301481</v>
      </c>
      <c r="N68" s="181">
        <f>+M68*References!$D$69</f>
        <v>85.87747442485508</v>
      </c>
      <c r="O68" s="181">
        <f>+N68/References!$F$78</f>
        <v>87.565295495531458</v>
      </c>
      <c r="P68" s="181">
        <f t="shared" si="20"/>
        <v>0.98421148134799885</v>
      </c>
      <c r="Q68" s="181">
        <f>+'Proposed Rates'!B77</f>
        <v>96.53</v>
      </c>
      <c r="R68" s="181">
        <f t="shared" si="21"/>
        <v>97.514211481347999</v>
      </c>
      <c r="S68" s="181">
        <f>+'Proposed Rates'!F77</f>
        <v>97.514211481347999</v>
      </c>
      <c r="T68" s="181">
        <f t="shared" si="22"/>
        <v>8588.2741000000005</v>
      </c>
      <c r="U68" s="181">
        <f t="shared" si="23"/>
        <v>8675.8393954955318</v>
      </c>
      <c r="V68" s="181">
        <f t="shared" si="24"/>
        <v>87.565295495531245</v>
      </c>
      <c r="W68" s="194"/>
    </row>
    <row r="69" spans="1:23" s="198" customFormat="1" ht="13.5" customHeight="1">
      <c r="A69" s="197" t="s">
        <v>187</v>
      </c>
      <c r="B69" s="197" t="s">
        <v>188</v>
      </c>
      <c r="D69" s="199">
        <v>244.77</v>
      </c>
      <c r="E69" s="200">
        <v>2937.2400000000002</v>
      </c>
      <c r="G69" s="201">
        <f t="shared" si="18"/>
        <v>12</v>
      </c>
      <c r="I69" s="202">
        <f>+References!C12</f>
        <v>4.33</v>
      </c>
      <c r="J69" s="195">
        <f t="shared" si="10"/>
        <v>51.96</v>
      </c>
      <c r="K69" s="201">
        <f>References!$C$56</f>
        <v>1296</v>
      </c>
      <c r="L69" s="201">
        <f t="shared" si="11"/>
        <v>67340.160000000003</v>
      </c>
      <c r="M69" s="201">
        <f t="shared" si="19"/>
        <v>53273.887591394465</v>
      </c>
      <c r="N69" s="199">
        <f>+M69*References!$D$69</f>
        <v>66.325990051285899</v>
      </c>
      <c r="O69" s="199">
        <f>+N69/References!$F$78</f>
        <v>67.629549620215556</v>
      </c>
      <c r="P69" s="199">
        <f t="shared" si="20"/>
        <v>1.301569469211231</v>
      </c>
      <c r="Q69" s="199">
        <f>+'Proposed Rates'!B112</f>
        <v>59.92</v>
      </c>
      <c r="R69" s="199">
        <f t="shared" si="21"/>
        <v>61.221569469211232</v>
      </c>
      <c r="S69" s="199">
        <f>+'Proposed Rates'!F112</f>
        <v>61.221569469211232</v>
      </c>
      <c r="T69" s="181">
        <f t="shared" si="22"/>
        <v>3113.4431999999997</v>
      </c>
      <c r="U69" s="199">
        <f t="shared" si="23"/>
        <v>3181.0727496202157</v>
      </c>
      <c r="V69" s="181">
        <f t="shared" si="24"/>
        <v>67.629549620216039</v>
      </c>
      <c r="W69" s="203"/>
    </row>
    <row r="70" spans="1:23" s="163" customFormat="1" ht="13.5" customHeight="1">
      <c r="A70" s="180" t="s">
        <v>189</v>
      </c>
      <c r="B70" s="180" t="s">
        <v>190</v>
      </c>
      <c r="D70" s="181">
        <v>334.75</v>
      </c>
      <c r="E70" s="182">
        <v>7364.5</v>
      </c>
      <c r="G70" s="164">
        <f t="shared" si="18"/>
        <v>22</v>
      </c>
      <c r="I70" s="183">
        <f>+References!C12</f>
        <v>4.33</v>
      </c>
      <c r="J70" s="184">
        <f t="shared" si="10"/>
        <v>95.26</v>
      </c>
      <c r="K70" s="204">
        <f>+References!C57</f>
        <v>1892</v>
      </c>
      <c r="L70" s="164">
        <f t="shared" si="11"/>
        <v>180231.92</v>
      </c>
      <c r="M70" s="164">
        <f t="shared" si="19"/>
        <v>142584.38124384024</v>
      </c>
      <c r="N70" s="181">
        <f>+M70*References!$D$69</f>
        <v>177.51755464858053</v>
      </c>
      <c r="O70" s="181">
        <f>+N70/References!$F$78</f>
        <v>181.00645405040203</v>
      </c>
      <c r="P70" s="181">
        <f t="shared" si="20"/>
        <v>1.9001307374596055</v>
      </c>
      <c r="Q70" s="181">
        <f>+'Proposed Rates'!B113</f>
        <v>81.12</v>
      </c>
      <c r="R70" s="181">
        <f t="shared" si="21"/>
        <v>83.02013073745961</v>
      </c>
      <c r="S70" s="181">
        <f>+'Proposed Rates'!F113</f>
        <v>83.02013073745961</v>
      </c>
      <c r="T70" s="181">
        <f t="shared" si="22"/>
        <v>7727.4912000000004</v>
      </c>
      <c r="U70" s="181">
        <f t="shared" si="23"/>
        <v>7908.4976540504022</v>
      </c>
      <c r="V70" s="181">
        <f t="shared" si="24"/>
        <v>181.00645405040177</v>
      </c>
      <c r="W70" s="194"/>
    </row>
    <row r="71" spans="1:23" s="163" customFormat="1" ht="13.5" customHeight="1">
      <c r="A71" s="180" t="s">
        <v>191</v>
      </c>
      <c r="B71" s="180" t="s">
        <v>192</v>
      </c>
      <c r="D71" s="181">
        <v>435.17</v>
      </c>
      <c r="E71" s="182">
        <v>26110.199999999997</v>
      </c>
      <c r="G71" s="164">
        <f t="shared" si="18"/>
        <v>59.999999999999993</v>
      </c>
      <c r="I71" s="183">
        <f>+References!C12</f>
        <v>4.33</v>
      </c>
      <c r="J71" s="184">
        <f t="shared" si="10"/>
        <v>259.79999999999995</v>
      </c>
      <c r="K71" s="204">
        <f>+References!C58</f>
        <v>2452</v>
      </c>
      <c r="L71" s="164">
        <f t="shared" si="11"/>
        <v>637029.59999999986</v>
      </c>
      <c r="M71" s="164">
        <f t="shared" si="19"/>
        <v>503964.39959143207</v>
      </c>
      <c r="N71" s="181">
        <f>+M71*References!$D$69</f>
        <v>627.43567749133092</v>
      </c>
      <c r="O71" s="181">
        <f>+N71/References!$F$78</f>
        <v>639.76719008012537</v>
      </c>
      <c r="P71" s="181">
        <f t="shared" si="20"/>
        <v>2.4625372982298903</v>
      </c>
      <c r="Q71" s="181">
        <f>+'Proposed Rates'!B114</f>
        <v>105.45</v>
      </c>
      <c r="R71" s="181">
        <f t="shared" si="21"/>
        <v>107.91253729822989</v>
      </c>
      <c r="S71" s="181">
        <f>+'Proposed Rates'!F114</f>
        <v>107.91253729822989</v>
      </c>
      <c r="T71" s="181">
        <f t="shared" si="22"/>
        <v>27395.909999999996</v>
      </c>
      <c r="U71" s="181">
        <f t="shared" si="23"/>
        <v>28035.677190080125</v>
      </c>
      <c r="V71" s="181">
        <f t="shared" si="24"/>
        <v>639.76719008012878</v>
      </c>
      <c r="W71" s="194"/>
    </row>
    <row r="72" spans="1:23" s="163" customFormat="1" ht="13.5" customHeight="1">
      <c r="A72" s="180" t="s">
        <v>193</v>
      </c>
      <c r="B72" s="180" t="s">
        <v>194</v>
      </c>
      <c r="D72" s="181">
        <v>17.899999999999999</v>
      </c>
      <c r="E72" s="182">
        <v>5540.8000000000011</v>
      </c>
      <c r="G72" s="164">
        <f t="shared" si="18"/>
        <v>309.54189944134089</v>
      </c>
      <c r="I72" s="183">
        <f>+References!C15</f>
        <v>1</v>
      </c>
      <c r="J72" s="184">
        <f t="shared" si="10"/>
        <v>309.54189944134089</v>
      </c>
      <c r="K72" s="163">
        <f>+References!C37</f>
        <v>175</v>
      </c>
      <c r="L72" s="164">
        <f t="shared" si="11"/>
        <v>54169.832402234657</v>
      </c>
      <c r="M72" s="164">
        <f t="shared" si="19"/>
        <v>42854.628831314425</v>
      </c>
      <c r="N72" s="181">
        <f>+M72*References!$D$69</f>
        <v>53.35401289498629</v>
      </c>
      <c r="O72" s="181">
        <f>+N72/References!$F$78</f>
        <v>54.402623462220596</v>
      </c>
      <c r="P72" s="181">
        <f t="shared" si="20"/>
        <v>0.17575205024071403</v>
      </c>
      <c r="Q72" s="181">
        <f>+'Proposed Rates'!B80</f>
        <v>18.559999999999999</v>
      </c>
      <c r="R72" s="181">
        <f t="shared" si="21"/>
        <v>18.735752050240713</v>
      </c>
      <c r="S72" s="181">
        <f>+'Proposed Rates'!F80</f>
        <v>18.735752050240713</v>
      </c>
      <c r="T72" s="181">
        <f t="shared" si="22"/>
        <v>5745.0976536312864</v>
      </c>
      <c r="U72" s="181">
        <f t="shared" si="23"/>
        <v>5799.5002770935071</v>
      </c>
      <c r="V72" s="181">
        <f t="shared" si="24"/>
        <v>54.402623462220618</v>
      </c>
      <c r="W72" s="194"/>
    </row>
    <row r="73" spans="1:23" s="163" customFormat="1" ht="13.5" customHeight="1">
      <c r="A73" s="180" t="s">
        <v>195</v>
      </c>
      <c r="B73" s="180" t="s">
        <v>196</v>
      </c>
      <c r="D73" s="181">
        <v>23.77</v>
      </c>
      <c r="E73" s="182">
        <v>1140.96</v>
      </c>
      <c r="G73" s="164">
        <f t="shared" si="18"/>
        <v>48</v>
      </c>
      <c r="I73" s="183">
        <f>+References!C15</f>
        <v>1</v>
      </c>
      <c r="J73" s="184">
        <f t="shared" si="10"/>
        <v>48</v>
      </c>
      <c r="K73" s="163">
        <f>+References!C38</f>
        <v>250</v>
      </c>
      <c r="L73" s="164">
        <f t="shared" si="11"/>
        <v>12000</v>
      </c>
      <c r="M73" s="164">
        <f t="shared" si="19"/>
        <v>9493.3937058767533</v>
      </c>
      <c r="N73" s="181">
        <f>+M73*References!$D$69</f>
        <v>11.819275163816521</v>
      </c>
      <c r="O73" s="181">
        <f>+N73/References!$F$78</f>
        <v>12.051569159363247</v>
      </c>
      <c r="P73" s="181">
        <f t="shared" si="20"/>
        <v>0.25107435748673429</v>
      </c>
      <c r="Q73" s="181">
        <f>+'Proposed Rates'!B81</f>
        <v>24.68</v>
      </c>
      <c r="R73" s="181">
        <f t="shared" si="21"/>
        <v>24.931074357486732</v>
      </c>
      <c r="S73" s="181">
        <f>+'Proposed Rates'!F81</f>
        <v>24.931074357486732</v>
      </c>
      <c r="T73" s="181">
        <f t="shared" si="22"/>
        <v>1184.6399999999999</v>
      </c>
      <c r="U73" s="181">
        <f t="shared" si="23"/>
        <v>1196.6915691593631</v>
      </c>
      <c r="V73" s="181">
        <f t="shared" si="24"/>
        <v>12.051569159363225</v>
      </c>
      <c r="W73" s="194"/>
    </row>
    <row r="74" spans="1:23" s="163" customFormat="1" ht="13.5" customHeight="1">
      <c r="A74" s="180" t="s">
        <v>197</v>
      </c>
      <c r="B74" s="180" t="s">
        <v>198</v>
      </c>
      <c r="D74" s="181">
        <v>28.06</v>
      </c>
      <c r="E74" s="182">
        <v>5668.1200000000008</v>
      </c>
      <c r="G74" s="164">
        <f t="shared" si="18"/>
        <v>202.00000000000003</v>
      </c>
      <c r="I74" s="183">
        <f>+References!C15</f>
        <v>1</v>
      </c>
      <c r="J74" s="184">
        <f t="shared" si="10"/>
        <v>202.00000000000003</v>
      </c>
      <c r="K74" s="163">
        <f>+References!C39</f>
        <v>324</v>
      </c>
      <c r="L74" s="164">
        <f t="shared" si="11"/>
        <v>65448.000000000007</v>
      </c>
      <c r="M74" s="164">
        <f t="shared" si="19"/>
        <v>51776.96927185182</v>
      </c>
      <c r="N74" s="181">
        <f>+M74*References!$D$69</f>
        <v>64.462326743455321</v>
      </c>
      <c r="O74" s="181">
        <f>+N74/References!$F$78</f>
        <v>65.729258195167176</v>
      </c>
      <c r="P74" s="181">
        <f t="shared" si="20"/>
        <v>0.32539236730280774</v>
      </c>
      <c r="Q74" s="181">
        <f>+'Proposed Rates'!B82</f>
        <v>29.19</v>
      </c>
      <c r="R74" s="181">
        <f t="shared" si="21"/>
        <v>29.515392367302809</v>
      </c>
      <c r="S74" s="181">
        <f>+'Proposed Rates'!F82</f>
        <v>29.515392367302809</v>
      </c>
      <c r="T74" s="181">
        <f t="shared" si="22"/>
        <v>5896.380000000001</v>
      </c>
      <c r="U74" s="181">
        <f t="shared" si="23"/>
        <v>5962.109258195168</v>
      </c>
      <c r="V74" s="181">
        <f t="shared" si="24"/>
        <v>65.729258195166949</v>
      </c>
      <c r="W74" s="194"/>
    </row>
    <row r="75" spans="1:23" s="163" customFormat="1" ht="13.5" customHeight="1">
      <c r="A75" s="180" t="s">
        <v>199</v>
      </c>
      <c r="B75" s="180" t="s">
        <v>200</v>
      </c>
      <c r="D75" s="181">
        <v>38.72</v>
      </c>
      <c r="E75" s="182">
        <v>1122.8800000000001</v>
      </c>
      <c r="G75" s="164">
        <f t="shared" si="18"/>
        <v>29.000000000000004</v>
      </c>
      <c r="I75" s="183">
        <f>+References!C15</f>
        <v>1</v>
      </c>
      <c r="J75" s="184">
        <f t="shared" si="10"/>
        <v>29.000000000000004</v>
      </c>
      <c r="K75" s="163">
        <f>+References!C40</f>
        <v>473</v>
      </c>
      <c r="L75" s="164">
        <f t="shared" si="11"/>
        <v>13717.000000000002</v>
      </c>
      <c r="M75" s="164">
        <f t="shared" si="19"/>
        <v>10851.740121959287</v>
      </c>
      <c r="N75" s="181">
        <f>+M75*References!$D$69</f>
        <v>13.510416451839269</v>
      </c>
      <c r="O75" s="181">
        <f>+N75/References!$F$78</f>
        <v>13.77594784658214</v>
      </c>
      <c r="P75" s="181">
        <f t="shared" si="20"/>
        <v>0.47503268436490131</v>
      </c>
      <c r="Q75" s="181">
        <f>+'Proposed Rates'!B83</f>
        <v>40.32</v>
      </c>
      <c r="R75" s="181">
        <f t="shared" si="21"/>
        <v>40.795032684364898</v>
      </c>
      <c r="S75" s="181">
        <f>+'Proposed Rates'!F83</f>
        <v>40.795032684364898</v>
      </c>
      <c r="T75" s="181">
        <f t="shared" si="22"/>
        <v>1169.2800000000002</v>
      </c>
      <c r="U75" s="181">
        <f t="shared" si="23"/>
        <v>1183.0559478465823</v>
      </c>
      <c r="V75" s="181">
        <f t="shared" si="24"/>
        <v>13.775947846582085</v>
      </c>
      <c r="W75" s="194"/>
    </row>
    <row r="76" spans="1:23" s="163" customFormat="1" ht="13.5" customHeight="1">
      <c r="A76" s="180" t="s">
        <v>201</v>
      </c>
      <c r="B76" s="180" t="s">
        <v>202</v>
      </c>
      <c r="D76" s="181">
        <v>57.53</v>
      </c>
      <c r="E76" s="182">
        <v>114.62</v>
      </c>
      <c r="G76" s="164">
        <f t="shared" si="18"/>
        <v>1.9923518164435947</v>
      </c>
      <c r="I76" s="183">
        <f>+References!C15</f>
        <v>1</v>
      </c>
      <c r="J76" s="184">
        <f t="shared" si="10"/>
        <v>1.9923518164435947</v>
      </c>
      <c r="K76" s="164">
        <f>References!$C$56</f>
        <v>1296</v>
      </c>
      <c r="L76" s="164">
        <f t="shared" si="11"/>
        <v>2582.0879541108989</v>
      </c>
      <c r="M76" s="164">
        <f t="shared" si="19"/>
        <v>2042.731460964716</v>
      </c>
      <c r="N76" s="181">
        <f>+M76*References!$D$69</f>
        <v>2.5432006689010636</v>
      </c>
      <c r="O76" s="181">
        <f>+N76/References!$F$78</f>
        <v>2.5931842962105214</v>
      </c>
      <c r="P76" s="181">
        <f t="shared" si="20"/>
        <v>1.301569469211231</v>
      </c>
      <c r="Q76" s="181">
        <f>+'Proposed Rates'!B118</f>
        <v>60.94</v>
      </c>
      <c r="R76" s="181">
        <f t="shared" si="21"/>
        <v>62.241569469211228</v>
      </c>
      <c r="S76" s="181">
        <f>+'Proposed Rates'!F118</f>
        <v>62.241569469211228</v>
      </c>
      <c r="T76" s="181">
        <f t="shared" si="22"/>
        <v>121.41391969407266</v>
      </c>
      <c r="U76" s="181">
        <f t="shared" si="23"/>
        <v>124.00710399028318</v>
      </c>
      <c r="V76" s="181">
        <f t="shared" si="24"/>
        <v>2.5931842962105236</v>
      </c>
      <c r="W76" s="194"/>
    </row>
    <row r="77" spans="1:23" s="163" customFormat="1" ht="13.5" customHeight="1">
      <c r="A77" s="180" t="s">
        <v>203</v>
      </c>
      <c r="B77" s="180" t="s">
        <v>204</v>
      </c>
      <c r="D77" s="181">
        <v>101.5</v>
      </c>
      <c r="E77" s="182">
        <v>4872</v>
      </c>
      <c r="G77" s="164">
        <f t="shared" si="18"/>
        <v>48</v>
      </c>
      <c r="I77" s="183">
        <f>+References!C15</f>
        <v>1</v>
      </c>
      <c r="J77" s="184">
        <f t="shared" si="10"/>
        <v>48</v>
      </c>
      <c r="K77" s="204">
        <f>+References!C58</f>
        <v>2452</v>
      </c>
      <c r="L77" s="164">
        <f t="shared" si="11"/>
        <v>117696</v>
      </c>
      <c r="M77" s="164">
        <f t="shared" si="19"/>
        <v>93111.205467239197</v>
      </c>
      <c r="N77" s="181">
        <f>+M77*References!$D$69</f>
        <v>115.92345080671244</v>
      </c>
      <c r="O77" s="181">
        <f>+N77/References!$F$78</f>
        <v>118.20179031503474</v>
      </c>
      <c r="P77" s="181">
        <f t="shared" si="20"/>
        <v>2.4625372982298903</v>
      </c>
      <c r="Q77" s="181">
        <f>+'Proposed Rates'!B120</f>
        <v>106.47</v>
      </c>
      <c r="R77" s="181">
        <f t="shared" si="21"/>
        <v>108.93253729822989</v>
      </c>
      <c r="S77" s="181">
        <f>+'Proposed Rates'!F120</f>
        <v>108.93253729822989</v>
      </c>
      <c r="T77" s="181">
        <f t="shared" si="22"/>
        <v>5110.5599999999995</v>
      </c>
      <c r="U77" s="181">
        <f t="shared" si="23"/>
        <v>5228.7617903150349</v>
      </c>
      <c r="V77" s="181">
        <f t="shared" si="24"/>
        <v>118.2017903150354</v>
      </c>
      <c r="W77" s="194"/>
    </row>
    <row r="78" spans="1:23" s="163" customFormat="1" ht="13.5" customHeight="1">
      <c r="A78" s="180" t="s">
        <v>205</v>
      </c>
      <c r="B78" s="180" t="s">
        <v>206</v>
      </c>
      <c r="D78" s="181">
        <v>49.82</v>
      </c>
      <c r="E78" s="182">
        <v>1494.6000000000001</v>
      </c>
      <c r="G78" s="164">
        <f t="shared" si="18"/>
        <v>30.000000000000004</v>
      </c>
      <c r="I78" s="183">
        <f>+References!C15</f>
        <v>1</v>
      </c>
      <c r="J78" s="184">
        <f t="shared" si="10"/>
        <v>30.000000000000004</v>
      </c>
      <c r="K78" s="163">
        <f>+References!C41</f>
        <v>613</v>
      </c>
      <c r="L78" s="164">
        <f t="shared" si="11"/>
        <v>18390.000000000004</v>
      </c>
      <c r="M78" s="164">
        <f t="shared" si="19"/>
        <v>14548.625854256128</v>
      </c>
      <c r="N78" s="181">
        <f>+M78*References!$D$69</f>
        <v>18.113039188548822</v>
      </c>
      <c r="O78" s="181">
        <f>+N78/References!$F$78</f>
        <v>18.469029736724181</v>
      </c>
      <c r="P78" s="181">
        <f t="shared" si="20"/>
        <v>0.61563432455747258</v>
      </c>
      <c r="Q78" s="181">
        <f>+'Proposed Rates'!B84</f>
        <v>51.88</v>
      </c>
      <c r="R78" s="181">
        <f t="shared" si="21"/>
        <v>52.495634324557479</v>
      </c>
      <c r="S78" s="181">
        <f>+'Proposed Rates'!F84</f>
        <v>52.495634324557479</v>
      </c>
      <c r="T78" s="181">
        <f t="shared" si="22"/>
        <v>1556.4000000000003</v>
      </c>
      <c r="U78" s="181">
        <f t="shared" si="23"/>
        <v>1574.8690297367245</v>
      </c>
      <c r="V78" s="181">
        <f t="shared" si="24"/>
        <v>18.469029736724224</v>
      </c>
      <c r="W78" s="194"/>
    </row>
    <row r="79" spans="1:23" s="163" customFormat="1" ht="13.5" customHeight="1">
      <c r="A79" s="180" t="s">
        <v>207</v>
      </c>
      <c r="B79" s="180" t="s">
        <v>208</v>
      </c>
      <c r="D79" s="181">
        <v>60.96</v>
      </c>
      <c r="E79" s="182">
        <v>548.64</v>
      </c>
      <c r="G79" s="164">
        <f t="shared" si="18"/>
        <v>9</v>
      </c>
      <c r="I79" s="183">
        <f>+References!C15</f>
        <v>1</v>
      </c>
      <c r="J79" s="184">
        <f t="shared" si="10"/>
        <v>9</v>
      </c>
      <c r="K79" s="163">
        <f>+References!C42</f>
        <v>728</v>
      </c>
      <c r="L79" s="164">
        <f t="shared" si="11"/>
        <v>6552</v>
      </c>
      <c r="M79" s="164">
        <f t="shared" si="19"/>
        <v>5183.3929634087071</v>
      </c>
      <c r="N79" s="181">
        <f>+M79*References!$D$69</f>
        <v>6.4533242394438206</v>
      </c>
      <c r="O79" s="181">
        <f>+N79/References!$F$78</f>
        <v>6.5801567610123337</v>
      </c>
      <c r="P79" s="181">
        <f t="shared" si="20"/>
        <v>0.73112852900137038</v>
      </c>
      <c r="Q79" s="181">
        <f>+'Proposed Rates'!B85</f>
        <v>63.45</v>
      </c>
      <c r="R79" s="181">
        <f t="shared" si="21"/>
        <v>64.18112852900137</v>
      </c>
      <c r="S79" s="181">
        <f>+'Proposed Rates'!F85</f>
        <v>64.18112852900137</v>
      </c>
      <c r="T79" s="181">
        <f t="shared" si="22"/>
        <v>571.05000000000007</v>
      </c>
      <c r="U79" s="181">
        <f t="shared" si="23"/>
        <v>577.63015676101236</v>
      </c>
      <c r="V79" s="181">
        <f t="shared" si="24"/>
        <v>6.5801567610122902</v>
      </c>
      <c r="W79" s="194"/>
    </row>
    <row r="80" spans="1:23" s="163" customFormat="1" ht="13.5" customHeight="1">
      <c r="A80" s="180" t="s">
        <v>209</v>
      </c>
      <c r="B80" s="180" t="s">
        <v>210</v>
      </c>
      <c r="D80" s="181">
        <v>72.010000000000005</v>
      </c>
      <c r="E80" s="182">
        <v>1800.25</v>
      </c>
      <c r="G80" s="164">
        <f t="shared" si="18"/>
        <v>25</v>
      </c>
      <c r="I80" s="183">
        <f>+References!C15</f>
        <v>1</v>
      </c>
      <c r="J80" s="184">
        <f t="shared" si="10"/>
        <v>25</v>
      </c>
      <c r="K80" s="163">
        <f>+References!C43</f>
        <v>840</v>
      </c>
      <c r="L80" s="164">
        <f t="shared" si="11"/>
        <v>21000</v>
      </c>
      <c r="M80" s="164">
        <f t="shared" si="19"/>
        <v>16613.43898528432</v>
      </c>
      <c r="N80" s="181">
        <f>+M80*References!$D$69</f>
        <v>20.683731536678913</v>
      </c>
      <c r="O80" s="181">
        <f>+N80/References!$F$78</f>
        <v>21.090246028885684</v>
      </c>
      <c r="P80" s="181">
        <f t="shared" si="20"/>
        <v>0.84360984115542736</v>
      </c>
      <c r="Q80" s="181">
        <f>+'Proposed Rates'!B86</f>
        <v>74.91</v>
      </c>
      <c r="R80" s="181">
        <f t="shared" si="21"/>
        <v>75.753609841155424</v>
      </c>
      <c r="S80" s="181">
        <f>+'Proposed Rates'!F86</f>
        <v>75.753609841155424</v>
      </c>
      <c r="T80" s="181">
        <f t="shared" si="22"/>
        <v>1872.75</v>
      </c>
      <c r="U80" s="181">
        <f t="shared" si="23"/>
        <v>1893.8402460288855</v>
      </c>
      <c r="V80" s="181">
        <f t="shared" si="24"/>
        <v>21.090246028885531</v>
      </c>
      <c r="W80" s="194"/>
    </row>
    <row r="81" spans="1:23" s="163" customFormat="1" ht="13.5" customHeight="1">
      <c r="A81" s="180" t="s">
        <v>211</v>
      </c>
      <c r="B81" s="180" t="s">
        <v>212</v>
      </c>
      <c r="D81" s="181">
        <v>93.97</v>
      </c>
      <c r="E81" s="182">
        <v>2139.3500000000004</v>
      </c>
      <c r="G81" s="164">
        <f t="shared" si="18"/>
        <v>22.766308396296694</v>
      </c>
      <c r="I81" s="183">
        <f>+References!C15</f>
        <v>1</v>
      </c>
      <c r="J81" s="184">
        <f t="shared" si="10"/>
        <v>22.766308396296694</v>
      </c>
      <c r="K81" s="163">
        <f>+References!C44</f>
        <v>980</v>
      </c>
      <c r="L81" s="164">
        <f t="shared" si="11"/>
        <v>22310.982228370758</v>
      </c>
      <c r="M81" s="164">
        <f t="shared" si="19"/>
        <v>17650.578188228588</v>
      </c>
      <c r="N81" s="181">
        <f>+M81*References!$D$69</f>
        <v>21.974969844344525</v>
      </c>
      <c r="O81" s="181">
        <f>+N81/References!$F$78</f>
        <v>22.406862111544548</v>
      </c>
      <c r="P81" s="181">
        <f t="shared" si="20"/>
        <v>0.98421148134799863</v>
      </c>
      <c r="Q81" s="181">
        <f>+'Proposed Rates'!B87</f>
        <v>97.55</v>
      </c>
      <c r="R81" s="181">
        <f t="shared" si="21"/>
        <v>98.534211481347995</v>
      </c>
      <c r="S81" s="181">
        <f>+'Proposed Rates'!F87</f>
        <v>98.534211481347995</v>
      </c>
      <c r="T81" s="181">
        <f t="shared" si="22"/>
        <v>2220.8533840587424</v>
      </c>
      <c r="U81" s="181">
        <f t="shared" si="23"/>
        <v>2243.2602461702868</v>
      </c>
      <c r="V81" s="181">
        <f t="shared" si="24"/>
        <v>22.406862111544342</v>
      </c>
      <c r="W81" s="194"/>
    </row>
    <row r="82" spans="1:23" s="163" customFormat="1" ht="13.5" customHeight="1">
      <c r="A82" s="180" t="s">
        <v>213</v>
      </c>
      <c r="B82" s="180" t="s">
        <v>214</v>
      </c>
      <c r="D82" s="181">
        <v>16.899999999999999</v>
      </c>
      <c r="E82" s="182">
        <v>5467.15</v>
      </c>
      <c r="G82" s="164">
        <f t="shared" si="18"/>
        <v>323.5</v>
      </c>
      <c r="I82" s="183">
        <f>+References!C15</f>
        <v>1</v>
      </c>
      <c r="J82" s="184">
        <f t="shared" si="10"/>
        <v>323.5</v>
      </c>
      <c r="K82" s="163">
        <f>+References!C37</f>
        <v>175</v>
      </c>
      <c r="L82" s="164">
        <f t="shared" si="11"/>
        <v>56612.5</v>
      </c>
      <c r="M82" s="164">
        <f t="shared" si="19"/>
        <v>44787.062597828975</v>
      </c>
      <c r="N82" s="181">
        <f>+M82*References!$D$69</f>
        <v>55.7598929342969</v>
      </c>
      <c r="O82" s="181">
        <f>+N82/References!$F$78</f>
        <v>56.855788252870994</v>
      </c>
      <c r="P82" s="181">
        <f t="shared" si="20"/>
        <v>0.17575205024071405</v>
      </c>
      <c r="Q82" s="181">
        <f>+'Proposed Rates'!B91</f>
        <v>17.55</v>
      </c>
      <c r="R82" s="181">
        <f t="shared" si="21"/>
        <v>17.725752050240715</v>
      </c>
      <c r="S82" s="181">
        <f>+'Proposed Rates'!F91</f>
        <v>17.725752050240715</v>
      </c>
      <c r="T82" s="181">
        <f t="shared" si="22"/>
        <v>5677.4250000000002</v>
      </c>
      <c r="U82" s="181">
        <f t="shared" si="23"/>
        <v>5734.2807882528714</v>
      </c>
      <c r="V82" s="181">
        <f t="shared" si="24"/>
        <v>56.855788252871207</v>
      </c>
      <c r="W82" s="194"/>
    </row>
    <row r="83" spans="1:23" s="163" customFormat="1" ht="13.5" customHeight="1">
      <c r="A83" s="180" t="s">
        <v>215</v>
      </c>
      <c r="B83" s="180" t="s">
        <v>216</v>
      </c>
      <c r="D83" s="181">
        <v>22.77</v>
      </c>
      <c r="E83" s="182">
        <v>2504.6999999999998</v>
      </c>
      <c r="G83" s="164">
        <f t="shared" si="18"/>
        <v>110</v>
      </c>
      <c r="I83" s="183">
        <f>+References!C15</f>
        <v>1</v>
      </c>
      <c r="J83" s="184">
        <f t="shared" si="10"/>
        <v>110</v>
      </c>
      <c r="K83" s="163">
        <f>+References!C38</f>
        <v>250</v>
      </c>
      <c r="L83" s="164">
        <f t="shared" si="11"/>
        <v>27500</v>
      </c>
      <c r="M83" s="164">
        <f t="shared" si="19"/>
        <v>21755.693909300895</v>
      </c>
      <c r="N83" s="181">
        <f>+M83*References!$D$69</f>
        <v>27.085838917079531</v>
      </c>
      <c r="O83" s="181">
        <f>+N83/References!$F$78</f>
        <v>27.61817932354078</v>
      </c>
      <c r="P83" s="181">
        <f t="shared" si="20"/>
        <v>0.25107435748673435</v>
      </c>
      <c r="Q83" s="181">
        <f>+'Proposed Rates'!B92</f>
        <v>23.66</v>
      </c>
      <c r="R83" s="181">
        <f t="shared" si="21"/>
        <v>23.911074357486733</v>
      </c>
      <c r="S83" s="181">
        <f>+'Proposed Rates'!F92</f>
        <v>23.911074357486733</v>
      </c>
      <c r="T83" s="181">
        <f t="shared" si="22"/>
        <v>2602.6</v>
      </c>
      <c r="U83" s="181">
        <f t="shared" si="23"/>
        <v>2630.2181793235404</v>
      </c>
      <c r="V83" s="181">
        <f t="shared" si="24"/>
        <v>27.618179323540517</v>
      </c>
      <c r="W83" s="194"/>
    </row>
    <row r="84" spans="1:23" s="163" customFormat="1" ht="13.5" customHeight="1">
      <c r="A84" s="180" t="s">
        <v>217</v>
      </c>
      <c r="B84" s="180" t="s">
        <v>218</v>
      </c>
      <c r="D84" s="181">
        <v>27.06</v>
      </c>
      <c r="E84" s="182">
        <v>31667.32</v>
      </c>
      <c r="G84" s="164">
        <f t="shared" si="18"/>
        <v>1170.2631189948263</v>
      </c>
      <c r="I84" s="183">
        <f>+References!C15</f>
        <v>1</v>
      </c>
      <c r="J84" s="184">
        <f t="shared" si="10"/>
        <v>1170.2631189948263</v>
      </c>
      <c r="K84" s="163">
        <f>+References!C39</f>
        <v>324</v>
      </c>
      <c r="L84" s="164">
        <f t="shared" si="11"/>
        <v>379165.25055432372</v>
      </c>
      <c r="M84" s="164">
        <f t="shared" si="19"/>
        <v>299963.75025829993</v>
      </c>
      <c r="N84" s="181">
        <f>+M84*References!$D$69</f>
        <v>373.45486907158227</v>
      </c>
      <c r="O84" s="181">
        <f>+N84/References!$F$78</f>
        <v>380.79468665689393</v>
      </c>
      <c r="P84" s="181">
        <f t="shared" si="20"/>
        <v>0.32539236730280774</v>
      </c>
      <c r="Q84" s="181">
        <f>+'Proposed Rates'!B93</f>
        <v>28.17</v>
      </c>
      <c r="R84" s="181">
        <f t="shared" si="21"/>
        <v>28.495392367302809</v>
      </c>
      <c r="S84" s="181">
        <f>+'Proposed Rates'!F93</f>
        <v>28.495392367302809</v>
      </c>
      <c r="T84" s="181">
        <f t="shared" si="22"/>
        <v>32966.31206208426</v>
      </c>
      <c r="U84" s="181">
        <f t="shared" si="23"/>
        <v>33347.106748741149</v>
      </c>
      <c r="V84" s="181">
        <f t="shared" si="24"/>
        <v>380.7946866568891</v>
      </c>
      <c r="W84" s="194"/>
    </row>
    <row r="85" spans="1:23" s="163" customFormat="1" ht="13.5" customHeight="1">
      <c r="A85" s="180" t="s">
        <v>219</v>
      </c>
      <c r="B85" s="180" t="s">
        <v>220</v>
      </c>
      <c r="D85" s="181">
        <v>37.72</v>
      </c>
      <c r="E85" s="182">
        <v>1056.1599999999999</v>
      </c>
      <c r="G85" s="164">
        <f t="shared" si="18"/>
        <v>27.999999999999996</v>
      </c>
      <c r="I85" s="183">
        <f>+References!C15</f>
        <v>1</v>
      </c>
      <c r="J85" s="184">
        <f t="shared" si="10"/>
        <v>27.999999999999996</v>
      </c>
      <c r="K85" s="163">
        <f>+References!C40</f>
        <v>473</v>
      </c>
      <c r="L85" s="164">
        <f t="shared" si="11"/>
        <v>13243.999999999998</v>
      </c>
      <c r="M85" s="164">
        <f t="shared" si="19"/>
        <v>10477.542186719309</v>
      </c>
      <c r="N85" s="181">
        <f>+M85*References!$D$69</f>
        <v>13.044540022465499</v>
      </c>
      <c r="O85" s="181">
        <f>+N85/References!$F$78</f>
        <v>13.300915162217237</v>
      </c>
      <c r="P85" s="181">
        <f t="shared" si="20"/>
        <v>0.47503268436490137</v>
      </c>
      <c r="Q85" s="181">
        <f>+'Proposed Rates'!B94</f>
        <v>39.299999999999997</v>
      </c>
      <c r="R85" s="181">
        <f t="shared" si="21"/>
        <v>39.775032684364902</v>
      </c>
      <c r="S85" s="181">
        <f>+'Proposed Rates'!F94</f>
        <v>39.775032684364902</v>
      </c>
      <c r="T85" s="181">
        <f t="shared" si="22"/>
        <v>1100.3999999999999</v>
      </c>
      <c r="U85" s="181">
        <f t="shared" si="23"/>
        <v>1113.7009151622171</v>
      </c>
      <c r="V85" s="181">
        <f t="shared" si="24"/>
        <v>13.300915162217279</v>
      </c>
      <c r="W85" s="194"/>
    </row>
    <row r="86" spans="1:23" s="163" customFormat="1" ht="13.5" customHeight="1">
      <c r="A86" s="180" t="s">
        <v>221</v>
      </c>
      <c r="B86" s="180" t="s">
        <v>222</v>
      </c>
      <c r="D86" s="181">
        <v>48.82</v>
      </c>
      <c r="E86" s="182">
        <v>48.82</v>
      </c>
      <c r="G86" s="164">
        <f t="shared" si="18"/>
        <v>1</v>
      </c>
      <c r="I86" s="183">
        <f>+References!C15</f>
        <v>1</v>
      </c>
      <c r="J86" s="184">
        <f t="shared" si="10"/>
        <v>1</v>
      </c>
      <c r="K86" s="163">
        <f>+References!C41</f>
        <v>613</v>
      </c>
      <c r="L86" s="164">
        <f t="shared" si="11"/>
        <v>613</v>
      </c>
      <c r="M86" s="164">
        <f t="shared" si="19"/>
        <v>484.95419514187085</v>
      </c>
      <c r="N86" s="181">
        <f>+M86*References!$D$69</f>
        <v>0.60376797295162732</v>
      </c>
      <c r="O86" s="181">
        <f>+N86/References!$F$78</f>
        <v>0.61563432455747258</v>
      </c>
      <c r="P86" s="181">
        <f t="shared" si="20"/>
        <v>0.61563432455747258</v>
      </c>
      <c r="Q86" s="181">
        <f>+'Proposed Rates'!B95</f>
        <v>50.86</v>
      </c>
      <c r="R86" s="181">
        <f t="shared" si="21"/>
        <v>51.475634324557475</v>
      </c>
      <c r="S86" s="181">
        <f>+'Proposed Rates'!F95</f>
        <v>51.475634324557475</v>
      </c>
      <c r="T86" s="181">
        <f t="shared" si="22"/>
        <v>50.86</v>
      </c>
      <c r="U86" s="181">
        <f t="shared" si="23"/>
        <v>51.475634324557475</v>
      </c>
      <c r="V86" s="181">
        <f t="shared" si="24"/>
        <v>0.61563432455747602</v>
      </c>
      <c r="W86" s="194"/>
    </row>
    <row r="87" spans="1:23" s="163" customFormat="1" ht="13.5" customHeight="1">
      <c r="A87" s="180" t="s">
        <v>223</v>
      </c>
      <c r="B87" s="180" t="s">
        <v>224</v>
      </c>
      <c r="D87" s="181">
        <v>92.97</v>
      </c>
      <c r="E87" s="182">
        <v>185.94</v>
      </c>
      <c r="G87" s="164">
        <f t="shared" si="18"/>
        <v>2</v>
      </c>
      <c r="I87" s="183">
        <f>+References!C15</f>
        <v>1</v>
      </c>
      <c r="J87" s="184">
        <f t="shared" si="10"/>
        <v>2</v>
      </c>
      <c r="K87" s="163">
        <f>+References!C44</f>
        <v>980</v>
      </c>
      <c r="L87" s="164">
        <f t="shared" si="11"/>
        <v>1960</v>
      </c>
      <c r="M87" s="164">
        <f t="shared" si="19"/>
        <v>1550.5876386265365</v>
      </c>
      <c r="N87" s="181">
        <f>+M87*References!$D$69</f>
        <v>1.9304816100900319</v>
      </c>
      <c r="O87" s="181">
        <f>+N87/References!$F$78</f>
        <v>1.9684229626959975</v>
      </c>
      <c r="P87" s="181">
        <f t="shared" si="20"/>
        <v>0.98421148134799874</v>
      </c>
      <c r="Q87" s="181">
        <f>+'Proposed Rates'!B98</f>
        <v>96.53</v>
      </c>
      <c r="R87" s="181">
        <f t="shared" si="21"/>
        <v>97.514211481347999</v>
      </c>
      <c r="S87" s="181">
        <f>+'Proposed Rates'!F98</f>
        <v>97.514211481347999</v>
      </c>
      <c r="T87" s="181">
        <f t="shared" si="22"/>
        <v>193.06</v>
      </c>
      <c r="U87" s="181">
        <f t="shared" si="23"/>
        <v>195.028422962696</v>
      </c>
      <c r="V87" s="181">
        <f t="shared" si="24"/>
        <v>1.9684229626959961</v>
      </c>
      <c r="W87" s="194"/>
    </row>
    <row r="88" spans="1:23" s="244" customFormat="1" ht="13.5" customHeight="1">
      <c r="A88" s="197" t="s">
        <v>225</v>
      </c>
      <c r="B88" s="197" t="s">
        <v>226</v>
      </c>
      <c r="C88" s="198"/>
      <c r="D88" s="199">
        <v>12.28</v>
      </c>
      <c r="E88" s="200">
        <v>122169.42</v>
      </c>
      <c r="F88" s="198"/>
      <c r="G88" s="201">
        <f t="shared" si="18"/>
        <v>9948.649837133551</v>
      </c>
      <c r="H88" s="198"/>
      <c r="I88" s="202">
        <f>+References!C12</f>
        <v>4.33</v>
      </c>
      <c r="J88" s="195">
        <f>+G88*I88</f>
        <v>43077.653794788275</v>
      </c>
      <c r="K88" s="198">
        <f>+References!C35</f>
        <v>29</v>
      </c>
      <c r="L88" s="201">
        <f t="shared" si="11"/>
        <v>1249251.9600488599</v>
      </c>
      <c r="M88" s="201">
        <f t="shared" si="19"/>
        <v>988303.39121517038</v>
      </c>
      <c r="N88" s="199">
        <f>+M88*References!$D$69</f>
        <v>1230.4377220628833</v>
      </c>
      <c r="O88" s="199">
        <f>+N88/References!$F$78</f>
        <v>1254.6205328332442</v>
      </c>
      <c r="P88" s="199">
        <f>+O88/G88</f>
        <v>0.12610962827843691</v>
      </c>
      <c r="Q88" s="199">
        <f>+'Proposed Rates'!B106</f>
        <v>12.47</v>
      </c>
      <c r="R88" s="199">
        <f t="shared" si="21"/>
        <v>12.596109628278437</v>
      </c>
      <c r="S88" s="199">
        <f>+'Proposed Rates'!F106</f>
        <v>12.596109628278437</v>
      </c>
      <c r="T88" s="199">
        <f>+G88*Q88</f>
        <v>124059.66346905539</v>
      </c>
      <c r="U88" s="199">
        <f>+G88*R88</f>
        <v>125314.28400188863</v>
      </c>
      <c r="V88" s="199">
        <f t="shared" si="24"/>
        <v>1254.6205328332435</v>
      </c>
      <c r="W88" s="245"/>
    </row>
    <row r="89" spans="1:23" s="163" customFormat="1" ht="13.5" customHeight="1">
      <c r="A89" s="180" t="s">
        <v>227</v>
      </c>
      <c r="B89" s="180" t="s">
        <v>89</v>
      </c>
      <c r="D89" s="181">
        <v>23.56</v>
      </c>
      <c r="E89" s="182">
        <v>20090.79</v>
      </c>
      <c r="G89" s="164">
        <f t="shared" si="18"/>
        <v>852.75000000000011</v>
      </c>
      <c r="I89" s="183">
        <f>+References!D12</f>
        <v>8.66</v>
      </c>
      <c r="J89" s="184">
        <f t="shared" si="10"/>
        <v>7384.8150000000014</v>
      </c>
      <c r="K89" s="163">
        <f>+References!C35</f>
        <v>29</v>
      </c>
      <c r="L89" s="164">
        <f t="shared" si="11"/>
        <v>214159.63500000004</v>
      </c>
      <c r="M89" s="164">
        <f t="shared" si="19"/>
        <v>169425.14424682193</v>
      </c>
      <c r="N89" s="181">
        <f>+M89*References!$D$69</f>
        <v>210.93430458729264</v>
      </c>
      <c r="O89" s="181">
        <f>+N89/References!$F$78</f>
        <v>215.07997102887421</v>
      </c>
      <c r="P89" s="181">
        <f t="shared" si="20"/>
        <v>2.9124625468461184E-2</v>
      </c>
      <c r="Q89" s="181">
        <f>+'Proposed Rates'!B101</f>
        <v>2.88</v>
      </c>
      <c r="R89" s="181">
        <f t="shared" si="21"/>
        <v>2.9091246254684613</v>
      </c>
      <c r="S89" s="181">
        <f>+'Proposed Rates'!F101</f>
        <v>2.9091246254684613</v>
      </c>
      <c r="T89" s="181">
        <f t="shared" ref="T89:T98" si="25">+G89*Q89*I89</f>
        <v>21268.267200000002</v>
      </c>
      <c r="U89" s="181">
        <f t="shared" ref="U89:U98" si="26">+G89*R89*I89</f>
        <v>21483.347171028876</v>
      </c>
      <c r="V89" s="181">
        <f t="shared" si="24"/>
        <v>215.07997102887384</v>
      </c>
      <c r="W89" s="194"/>
    </row>
    <row r="90" spans="1:23" s="163" customFormat="1" ht="13.5" customHeight="1">
      <c r="A90" s="180" t="s">
        <v>228</v>
      </c>
      <c r="B90" s="180" t="s">
        <v>91</v>
      </c>
      <c r="D90" s="181">
        <v>35.33</v>
      </c>
      <c r="E90" s="182">
        <v>8204.4900000000016</v>
      </c>
      <c r="G90" s="164">
        <f t="shared" si="18"/>
        <v>232.22445513727715</v>
      </c>
      <c r="I90" s="183">
        <f>+References!E12</f>
        <v>12.99</v>
      </c>
      <c r="J90" s="184">
        <f t="shared" si="10"/>
        <v>3016.5956722332303</v>
      </c>
      <c r="K90" s="163">
        <f>+References!C35</f>
        <v>29</v>
      </c>
      <c r="L90" s="164">
        <f t="shared" si="11"/>
        <v>87481.274494763682</v>
      </c>
      <c r="M90" s="164">
        <f t="shared" si="19"/>
        <v>69207.84838922217</v>
      </c>
      <c r="N90" s="181">
        <f>+M90*References!$D$69</f>
        <v>86.163771244581326</v>
      </c>
      <c r="O90" s="181">
        <f>+N90/References!$F$78</f>
        <v>87.857219143573715</v>
      </c>
      <c r="P90" s="181">
        <f t="shared" si="20"/>
        <v>2.9124625468461181E-2</v>
      </c>
      <c r="Q90" s="181">
        <f>+'Proposed Rates'!B101</f>
        <v>2.88</v>
      </c>
      <c r="R90" s="181">
        <f t="shared" si="21"/>
        <v>2.9091246254684613</v>
      </c>
      <c r="S90" s="181">
        <f>+'Proposed Rates'!F101</f>
        <v>2.9091246254684613</v>
      </c>
      <c r="T90" s="181">
        <f t="shared" si="25"/>
        <v>8687.7955360317028</v>
      </c>
      <c r="U90" s="181">
        <f t="shared" si="26"/>
        <v>8775.652755175277</v>
      </c>
      <c r="V90" s="181">
        <f t="shared" si="24"/>
        <v>87.857219143574184</v>
      </c>
      <c r="W90" s="194"/>
    </row>
    <row r="91" spans="1:23" s="163" customFormat="1" ht="13.5" customHeight="1">
      <c r="A91" s="180" t="s">
        <v>229</v>
      </c>
      <c r="B91" s="180" t="s">
        <v>93</v>
      </c>
      <c r="D91" s="181">
        <v>47.11</v>
      </c>
      <c r="E91" s="182">
        <v>4475.4500000000007</v>
      </c>
      <c r="G91" s="164">
        <f t="shared" si="18"/>
        <v>95.000000000000014</v>
      </c>
      <c r="I91" s="183">
        <f>+References!F12</f>
        <v>17.32</v>
      </c>
      <c r="J91" s="184">
        <f t="shared" si="10"/>
        <v>1645.4000000000003</v>
      </c>
      <c r="K91" s="163">
        <f>+References!C35</f>
        <v>29</v>
      </c>
      <c r="L91" s="164">
        <f t="shared" si="11"/>
        <v>47716.600000000006</v>
      </c>
      <c r="M91" s="164">
        <f t="shared" si="19"/>
        <v>37749.372508819899</v>
      </c>
      <c r="N91" s="181">
        <f>+M91*References!$D$69</f>
        <v>46.997968773480629</v>
      </c>
      <c r="O91" s="181">
        <f>+N91/References!$F$78</f>
        <v>47.921658745806042</v>
      </c>
      <c r="P91" s="181">
        <f t="shared" si="20"/>
        <v>2.9124625468461184E-2</v>
      </c>
      <c r="Q91" s="181">
        <f>+'Proposed Rates'!B101</f>
        <v>2.88</v>
      </c>
      <c r="R91" s="181">
        <f t="shared" si="21"/>
        <v>2.9091246254684613</v>
      </c>
      <c r="S91" s="181">
        <f>+'Proposed Rates'!F101</f>
        <v>2.9091246254684613</v>
      </c>
      <c r="T91" s="181">
        <f t="shared" si="25"/>
        <v>4738.7520000000004</v>
      </c>
      <c r="U91" s="181">
        <f t="shared" si="26"/>
        <v>4786.6736587458072</v>
      </c>
      <c r="V91" s="181">
        <f t="shared" si="24"/>
        <v>47.921658745806781</v>
      </c>
      <c r="W91" s="194"/>
    </row>
    <row r="92" spans="1:23" s="163" customFormat="1" ht="13.5" customHeight="1">
      <c r="A92" s="180" t="s">
        <v>230</v>
      </c>
      <c r="B92" s="180" t="s">
        <v>95</v>
      </c>
      <c r="D92" s="181">
        <v>58.89</v>
      </c>
      <c r="E92" s="182">
        <v>1325.03</v>
      </c>
      <c r="G92" s="164">
        <f t="shared" si="18"/>
        <v>22.500084904058415</v>
      </c>
      <c r="I92" s="183">
        <f>+References!G12</f>
        <v>21.65</v>
      </c>
      <c r="J92" s="184">
        <f t="shared" si="10"/>
        <v>487.12683817286467</v>
      </c>
      <c r="K92" s="163">
        <f>+References!C35</f>
        <v>29</v>
      </c>
      <c r="L92" s="164">
        <f t="shared" si="11"/>
        <v>14126.678307013075</v>
      </c>
      <c r="M92" s="164">
        <f t="shared" si="19"/>
        <v>11175.843243728634</v>
      </c>
      <c r="N92" s="181">
        <f>+M92*References!$D$69</f>
        <v>13.913924838442105</v>
      </c>
      <c r="O92" s="181">
        <f>+N92/References!$F$78</f>
        <v>14.187386717420383</v>
      </c>
      <c r="P92" s="181">
        <f t="shared" si="20"/>
        <v>2.9124625468461181E-2</v>
      </c>
      <c r="Q92" s="181">
        <f>+'Proposed Rates'!B101</f>
        <v>2.88</v>
      </c>
      <c r="R92" s="181">
        <f t="shared" si="21"/>
        <v>2.9091246254684613</v>
      </c>
      <c r="S92" s="181">
        <f>+'Proposed Rates'!F101</f>
        <v>2.9091246254684613</v>
      </c>
      <c r="T92" s="181">
        <f t="shared" si="25"/>
        <v>1402.9252939378503</v>
      </c>
      <c r="U92" s="181">
        <f t="shared" si="26"/>
        <v>1417.1126806552707</v>
      </c>
      <c r="V92" s="181">
        <f t="shared" si="24"/>
        <v>14.187386717420395</v>
      </c>
      <c r="W92" s="194"/>
    </row>
    <row r="93" spans="1:23" s="163" customFormat="1" ht="13.5" customHeight="1">
      <c r="A93" s="180" t="s">
        <v>231</v>
      </c>
      <c r="B93" s="180" t="s">
        <v>97</v>
      </c>
      <c r="D93" s="181">
        <v>70.67</v>
      </c>
      <c r="E93" s="182">
        <v>848.04</v>
      </c>
      <c r="G93" s="164">
        <f t="shared" si="18"/>
        <v>12</v>
      </c>
      <c r="I93" s="183">
        <f>+References!H12</f>
        <v>25.98</v>
      </c>
      <c r="J93" s="184">
        <f t="shared" si="10"/>
        <v>311.76</v>
      </c>
      <c r="K93" s="163">
        <f>+References!C35</f>
        <v>29</v>
      </c>
      <c r="L93" s="164">
        <f t="shared" si="11"/>
        <v>9041.0399999999991</v>
      </c>
      <c r="M93" s="164">
        <f t="shared" si="19"/>
        <v>7152.5126858816629</v>
      </c>
      <c r="N93" s="181">
        <f>+M93*References!$D$69</f>
        <v>8.9048782939226427</v>
      </c>
      <c r="O93" s="181">
        <f>+N93/References!$F$78</f>
        <v>9.0798932360474573</v>
      </c>
      <c r="P93" s="181">
        <f t="shared" si="20"/>
        <v>2.9124625468461181E-2</v>
      </c>
      <c r="Q93" s="181">
        <f>+'Proposed Rates'!B101</f>
        <v>2.88</v>
      </c>
      <c r="R93" s="181">
        <f t="shared" si="21"/>
        <v>2.9091246254684613</v>
      </c>
      <c r="S93" s="181">
        <f>+'Proposed Rates'!F101</f>
        <v>2.9091246254684613</v>
      </c>
      <c r="T93" s="181">
        <f t="shared" si="25"/>
        <v>897.86880000000008</v>
      </c>
      <c r="U93" s="181">
        <f t="shared" si="26"/>
        <v>906.94869323604746</v>
      </c>
      <c r="V93" s="181">
        <f t="shared" si="24"/>
        <v>9.0798932360473827</v>
      </c>
      <c r="W93" s="194"/>
    </row>
    <row r="94" spans="1:23" s="163" customFormat="1" ht="13.5" customHeight="1">
      <c r="A94" s="180" t="s">
        <v>232</v>
      </c>
      <c r="B94" s="180" t="s">
        <v>101</v>
      </c>
      <c r="D94" s="181">
        <v>94.22</v>
      </c>
      <c r="E94" s="182">
        <v>1130.6400000000001</v>
      </c>
      <c r="G94" s="164">
        <f t="shared" si="18"/>
        <v>12.000000000000002</v>
      </c>
      <c r="I94" s="203">
        <f>+References!C12*8</f>
        <v>34.64</v>
      </c>
      <c r="J94" s="184">
        <f t="shared" si="10"/>
        <v>415.68000000000006</v>
      </c>
      <c r="K94" s="163">
        <f>+References!C35</f>
        <v>29</v>
      </c>
      <c r="L94" s="164">
        <f t="shared" si="11"/>
        <v>12054.720000000001</v>
      </c>
      <c r="M94" s="164">
        <f t="shared" si="19"/>
        <v>9536.6835811755518</v>
      </c>
      <c r="N94" s="181">
        <f>+M94*References!$D$69</f>
        <v>11.873171058563525</v>
      </c>
      <c r="O94" s="181">
        <f>+N94/References!$F$78</f>
        <v>12.106524314729946</v>
      </c>
      <c r="P94" s="181">
        <f t="shared" si="20"/>
        <v>2.9124625468461181E-2</v>
      </c>
      <c r="Q94" s="181">
        <f>+'Proposed Rates'!B101</f>
        <v>2.88</v>
      </c>
      <c r="R94" s="181">
        <f t="shared" si="21"/>
        <v>2.9091246254684613</v>
      </c>
      <c r="S94" s="181">
        <f>+'Proposed Rates'!F101</f>
        <v>2.9091246254684613</v>
      </c>
      <c r="T94" s="181">
        <f t="shared" si="25"/>
        <v>1197.1584</v>
      </c>
      <c r="U94" s="181">
        <f t="shared" si="26"/>
        <v>1209.2649243147303</v>
      </c>
      <c r="V94" s="181">
        <f t="shared" si="24"/>
        <v>12.106524314730223</v>
      </c>
      <c r="W94" s="194"/>
    </row>
    <row r="95" spans="1:23" s="163" customFormat="1" ht="13.5" customHeight="1">
      <c r="A95" s="180" t="s">
        <v>233</v>
      </c>
      <c r="B95" s="180" t="s">
        <v>102</v>
      </c>
      <c r="D95" s="181">
        <v>106</v>
      </c>
      <c r="E95" s="182">
        <v>1272</v>
      </c>
      <c r="G95" s="164">
        <f t="shared" si="18"/>
        <v>12</v>
      </c>
      <c r="I95" s="203">
        <f>+References!C12*9</f>
        <v>38.97</v>
      </c>
      <c r="J95" s="184">
        <f t="shared" si="10"/>
        <v>467.64</v>
      </c>
      <c r="K95" s="163">
        <f>+References!C35</f>
        <v>29</v>
      </c>
      <c r="L95" s="164">
        <f t="shared" si="11"/>
        <v>13561.56</v>
      </c>
      <c r="M95" s="164">
        <f t="shared" si="19"/>
        <v>10728.769028822495</v>
      </c>
      <c r="N95" s="181">
        <f>+M95*References!$D$69</f>
        <v>13.357317440883964</v>
      </c>
      <c r="O95" s="181">
        <f>+N95/References!$F$78</f>
        <v>13.619839854071186</v>
      </c>
      <c r="P95" s="181">
        <f t="shared" si="20"/>
        <v>2.9124625468461181E-2</v>
      </c>
      <c r="Q95" s="181">
        <f>+'Proposed Rates'!B101</f>
        <v>2.88</v>
      </c>
      <c r="R95" s="181">
        <f t="shared" si="21"/>
        <v>2.9091246254684613</v>
      </c>
      <c r="S95" s="181">
        <f>+'Proposed Rates'!F101</f>
        <v>2.9091246254684613</v>
      </c>
      <c r="T95" s="181">
        <f t="shared" si="25"/>
        <v>1346.8032000000001</v>
      </c>
      <c r="U95" s="181">
        <f t="shared" si="26"/>
        <v>1360.4230398540712</v>
      </c>
      <c r="V95" s="181">
        <f t="shared" si="24"/>
        <v>13.619839854071188</v>
      </c>
      <c r="W95" s="194"/>
    </row>
    <row r="96" spans="1:23" s="163" customFormat="1" ht="13.5" customHeight="1">
      <c r="A96" s="180" t="s">
        <v>234</v>
      </c>
      <c r="B96" s="180" t="s">
        <v>235</v>
      </c>
      <c r="D96" s="181">
        <v>3.85</v>
      </c>
      <c r="E96" s="182">
        <v>10895.34</v>
      </c>
      <c r="G96" s="164">
        <f t="shared" ref="G96:G98" si="27">+IFERROR(E96/D96,0)</f>
        <v>2829.9584415584413</v>
      </c>
      <c r="I96" s="183">
        <f>+References!C15</f>
        <v>1</v>
      </c>
      <c r="J96" s="184">
        <f t="shared" ref="J96:J98" si="28">+G96*I96</f>
        <v>2829.9584415584413</v>
      </c>
      <c r="K96" s="163">
        <f>+References!C35</f>
        <v>29</v>
      </c>
      <c r="L96" s="164">
        <f t="shared" ref="L96:L98" si="29">+J96*K96</f>
        <v>82068.794805194804</v>
      </c>
      <c r="M96" s="164">
        <f t="shared" ref="M96:M98" si="30">+L96*$D$110</f>
        <v>64925.948337710601</v>
      </c>
      <c r="N96" s="181">
        <f>+M96*References!$D$69</f>
        <v>80.832805680449439</v>
      </c>
      <c r="O96" s="181">
        <f>+N96/References!$F$78</f>
        <v>82.42147970169971</v>
      </c>
      <c r="P96" s="181">
        <f t="shared" ref="P96:P98" si="31">+O96/J96</f>
        <v>2.9124625468461188E-2</v>
      </c>
      <c r="Q96" s="181">
        <f>+'Proposed Rates'!B107</f>
        <v>3.98</v>
      </c>
      <c r="R96" s="181">
        <f t="shared" ref="R96:R98" si="32">+Q96+P96</f>
        <v>4.0091246254684609</v>
      </c>
      <c r="S96" s="181">
        <f>+'Proposed Rates'!F107</f>
        <v>4.0091246254684609</v>
      </c>
      <c r="T96" s="181">
        <f t="shared" si="25"/>
        <v>11263.234597402596</v>
      </c>
      <c r="U96" s="181">
        <f t="shared" si="26"/>
        <v>11345.656077104295</v>
      </c>
      <c r="V96" s="181">
        <f t="shared" ref="V96:V98" si="33">+U96-T96</f>
        <v>82.421479701699354</v>
      </c>
      <c r="W96" s="194"/>
    </row>
    <row r="97" spans="1:23" s="163" customFormat="1" ht="13.5" customHeight="1">
      <c r="A97" s="180" t="s">
        <v>236</v>
      </c>
      <c r="B97" s="180" t="s">
        <v>237</v>
      </c>
      <c r="D97" s="181">
        <v>17.579999999999998</v>
      </c>
      <c r="E97" s="182">
        <v>86902.19</v>
      </c>
      <c r="G97" s="164">
        <f t="shared" si="27"/>
        <v>4943.2417519908995</v>
      </c>
      <c r="I97" s="183">
        <f>+References!C15</f>
        <v>1</v>
      </c>
      <c r="J97" s="184">
        <f t="shared" si="28"/>
        <v>4943.2417519908995</v>
      </c>
      <c r="K97" s="163">
        <f>+References!C36</f>
        <v>125</v>
      </c>
      <c r="L97" s="164">
        <f t="shared" si="29"/>
        <v>617905.21899886243</v>
      </c>
      <c r="M97" s="164">
        <f t="shared" si="30"/>
        <v>488834.79307268315</v>
      </c>
      <c r="N97" s="181">
        <f>+M97*References!$D$69</f>
        <v>608.59931737548868</v>
      </c>
      <c r="O97" s="181">
        <f>+N97/References!$F$78</f>
        <v>620.56062339135713</v>
      </c>
      <c r="P97" s="181">
        <f t="shared" si="31"/>
        <v>0.1255371787433672</v>
      </c>
      <c r="Q97" s="181">
        <f>+'Proposed Rates'!B50</f>
        <v>18.149999999999999</v>
      </c>
      <c r="R97" s="181">
        <f t="shared" si="32"/>
        <v>18.275537178743367</v>
      </c>
      <c r="S97" s="181">
        <f>+'Proposed Rates'!F50</f>
        <v>18.275537178743367</v>
      </c>
      <c r="T97" s="181">
        <f t="shared" si="25"/>
        <v>89719.837798634821</v>
      </c>
      <c r="U97" s="181">
        <f t="shared" si="26"/>
        <v>90340.398422026177</v>
      </c>
      <c r="V97" s="181">
        <f t="shared" si="33"/>
        <v>620.56062339135678</v>
      </c>
      <c r="W97" s="194"/>
    </row>
    <row r="98" spans="1:23" s="163" customFormat="1" ht="13.5" customHeight="1">
      <c r="A98" s="180" t="s">
        <v>238</v>
      </c>
      <c r="B98" s="180" t="s">
        <v>239</v>
      </c>
      <c r="D98" s="181">
        <v>17.579999999999998</v>
      </c>
      <c r="E98" s="182">
        <v>114.27</v>
      </c>
      <c r="G98" s="164">
        <f t="shared" si="27"/>
        <v>6.5</v>
      </c>
      <c r="I98" s="183">
        <f>+References!C15</f>
        <v>1</v>
      </c>
      <c r="J98" s="184">
        <f t="shared" si="28"/>
        <v>6.5</v>
      </c>
      <c r="K98" s="163">
        <f>+References!C36</f>
        <v>125</v>
      </c>
      <c r="L98" s="164">
        <f t="shared" si="29"/>
        <v>812.5</v>
      </c>
      <c r="M98" s="164">
        <f t="shared" si="30"/>
        <v>642.78186550207181</v>
      </c>
      <c r="N98" s="181">
        <f>+M98*References!$D$69</f>
        <v>0.80026342255007687</v>
      </c>
      <c r="O98" s="181">
        <f>+N98/References!$F$78</f>
        <v>0.81599166183188654</v>
      </c>
      <c r="P98" s="181">
        <f t="shared" si="31"/>
        <v>0.12553717874336717</v>
      </c>
      <c r="Q98" s="181">
        <f>+'Proposed Rates'!B51</f>
        <v>18.149999999999999</v>
      </c>
      <c r="R98" s="181">
        <f t="shared" si="32"/>
        <v>18.275537178743367</v>
      </c>
      <c r="S98" s="181">
        <f>+'Proposed Rates'!F51</f>
        <v>18.275537178743367</v>
      </c>
      <c r="T98" s="181">
        <f t="shared" si="25"/>
        <v>117.97499999999999</v>
      </c>
      <c r="U98" s="181">
        <f t="shared" si="26"/>
        <v>118.79099166183188</v>
      </c>
      <c r="V98" s="181">
        <f t="shared" si="33"/>
        <v>0.81599166183188743</v>
      </c>
      <c r="W98" s="194"/>
    </row>
    <row r="99" spans="1:23" s="163" customFormat="1" ht="13.5" customHeight="1">
      <c r="A99" s="186"/>
      <c r="B99" s="186"/>
      <c r="D99" s="181"/>
      <c r="E99" s="182"/>
    </row>
    <row r="100" spans="1:23" s="163" customFormat="1" ht="13.5" customHeight="1">
      <c r="A100" s="187"/>
      <c r="B100" s="188" t="s">
        <v>240</v>
      </c>
      <c r="D100" s="189"/>
      <c r="E100" s="190">
        <f>+SUM(E32:E99)</f>
        <v>5115957.0299999993</v>
      </c>
      <c r="F100" s="191"/>
      <c r="G100" s="205">
        <f>+SUM(G32:G99)</f>
        <v>56537.659804857329</v>
      </c>
      <c r="H100" s="205"/>
      <c r="I100" s="205"/>
      <c r="J100" s="205">
        <f t="shared" ref="J100:O100" si="34">+SUM(J32:J99)</f>
        <v>206084.31399988625</v>
      </c>
      <c r="K100" s="205"/>
      <c r="L100" s="205">
        <f t="shared" si="34"/>
        <v>60174067.756670885</v>
      </c>
      <c r="M100" s="205">
        <f t="shared" si="34"/>
        <v>47604676.341515034</v>
      </c>
      <c r="N100" s="189">
        <f t="shared" si="34"/>
        <v>59267.822045186062</v>
      </c>
      <c r="O100" s="189">
        <f t="shared" si="34"/>
        <v>60432.661597477447</v>
      </c>
      <c r="P100" s="189"/>
      <c r="Q100" s="189"/>
      <c r="R100" s="189"/>
      <c r="S100" s="189"/>
      <c r="T100" s="189">
        <f t="shared" ref="T100" si="35">+SUM(T32:T99)</f>
        <v>5320931.1515378943</v>
      </c>
      <c r="U100" s="189">
        <f t="shared" ref="U100:V100" si="36">+SUM(U32:U99)</f>
        <v>5381363.8131353771</v>
      </c>
      <c r="V100" s="189">
        <f t="shared" si="36"/>
        <v>60432.661597477323</v>
      </c>
    </row>
    <row r="101" spans="1:23" s="163" customFormat="1" ht="13.5" customHeight="1">
      <c r="A101" s="187"/>
      <c r="B101" s="188"/>
      <c r="D101" s="181"/>
      <c r="E101" s="164"/>
      <c r="L101" s="184"/>
    </row>
    <row r="102" spans="1:23" s="163" customFormat="1" ht="13.5" customHeight="1" thickBot="1">
      <c r="A102" s="162"/>
      <c r="B102" s="206" t="s">
        <v>241</v>
      </c>
      <c r="D102" s="207"/>
      <c r="E102" s="208">
        <f>+E100+E27</f>
        <v>16095728.719999999</v>
      </c>
      <c r="F102" s="209"/>
      <c r="G102" s="209">
        <f>+G100+G27</f>
        <v>980812.68544899079</v>
      </c>
      <c r="H102" s="209"/>
      <c r="I102" s="209"/>
      <c r="J102" s="209">
        <f t="shared" ref="J102:O102" si="37">+J100+J27</f>
        <v>3437434.3407381508</v>
      </c>
      <c r="K102" s="209"/>
      <c r="L102" s="209">
        <f t="shared" si="37"/>
        <v>180893988.59335801</v>
      </c>
      <c r="M102" s="209">
        <f t="shared" si="37"/>
        <v>143108154.39526048</v>
      </c>
      <c r="N102" s="207">
        <f t="shared" si="37"/>
        <v>178169.65222209875</v>
      </c>
      <c r="O102" s="207">
        <f t="shared" si="37"/>
        <v>181671.36783716004</v>
      </c>
      <c r="P102" s="207"/>
      <c r="Q102" s="207"/>
      <c r="R102" s="207"/>
      <c r="S102" s="207"/>
      <c r="T102" s="207">
        <f t="shared" ref="T102" si="38">+T100+T27</f>
        <v>16733476.446688078</v>
      </c>
      <c r="U102" s="207">
        <f t="shared" ref="U102:V102" si="39">+U100+U27</f>
        <v>16915147.814525247</v>
      </c>
      <c r="V102" s="207">
        <f t="shared" si="39"/>
        <v>181671.36783716109</v>
      </c>
    </row>
    <row r="103" spans="1:23" s="163" customFormat="1" ht="13.5" customHeight="1" thickTop="1">
      <c r="A103" s="162"/>
      <c r="B103" s="162"/>
      <c r="E103" s="164"/>
      <c r="V103" s="210">
        <f>V102-References!C76</f>
        <v>8.440110832452774E-10</v>
      </c>
    </row>
    <row r="104" spans="1:23" s="163" customFormat="1" ht="13.5" customHeight="1">
      <c r="A104" s="162"/>
      <c r="B104" s="162"/>
      <c r="E104" s="164"/>
    </row>
    <row r="105" spans="1:23" s="163" customFormat="1" ht="13.5" customHeight="1">
      <c r="A105" s="162"/>
      <c r="B105" s="162"/>
      <c r="E105" s="164"/>
    </row>
    <row r="106" spans="1:23" s="163" customFormat="1" ht="13.5" customHeight="1">
      <c r="A106" s="162"/>
      <c r="B106" s="255" t="s">
        <v>242</v>
      </c>
      <c r="C106" s="255"/>
      <c r="F106" s="211"/>
      <c r="H106" s="212"/>
      <c r="K106" s="213" t="s">
        <v>578</v>
      </c>
      <c r="L106" s="214">
        <f>V27</f>
        <v>121238.70623968376</v>
      </c>
      <c r="M106" s="251">
        <f>L106/E27</f>
        <v>1.1042006123870848E-2</v>
      </c>
    </row>
    <row r="107" spans="1:23" s="163" customFormat="1" ht="13.5" customHeight="1">
      <c r="A107" s="162"/>
      <c r="D107" s="217" t="s">
        <v>64</v>
      </c>
      <c r="F107" s="216"/>
      <c r="K107" s="213" t="s">
        <v>579</v>
      </c>
      <c r="L107" s="214">
        <f>V100</f>
        <v>60432.661597477323</v>
      </c>
      <c r="M107" s="251">
        <f>L107/E100</f>
        <v>1.1812581935911478E-2</v>
      </c>
    </row>
    <row r="108" spans="1:23" s="163" customFormat="1" ht="13.5" customHeight="1">
      <c r="A108" s="162"/>
      <c r="B108" s="211" t="s">
        <v>246</v>
      </c>
      <c r="D108" s="219">
        <f>Disposal!C19*D124</f>
        <v>71554.077197630249</v>
      </c>
      <c r="F108" s="218"/>
      <c r="K108" s="213" t="s">
        <v>622</v>
      </c>
      <c r="L108" s="214">
        <f>+L106+L107</f>
        <v>181671.36783716109</v>
      </c>
    </row>
    <row r="109" spans="1:23" s="163" customFormat="1" ht="13.5" customHeight="1">
      <c r="A109" s="162"/>
      <c r="B109" s="211" t="s">
        <v>248</v>
      </c>
      <c r="D109" s="220">
        <f>+D108*References!H22</f>
        <v>143108154.39526051</v>
      </c>
      <c r="F109" s="220"/>
      <c r="L109" s="221"/>
    </row>
    <row r="110" spans="1:23" s="163" customFormat="1" ht="13.5" customHeight="1">
      <c r="A110" s="162"/>
      <c r="B110" s="223" t="s">
        <v>623</v>
      </c>
      <c r="D110" s="224">
        <f>+'Regulated DF Calc'!D109/(L102)</f>
        <v>0.79111614215639614</v>
      </c>
      <c r="F110" s="218"/>
      <c r="H110" s="222"/>
      <c r="K110" s="225" t="s">
        <v>624</v>
      </c>
      <c r="L110" s="164">
        <v>29403</v>
      </c>
    </row>
    <row r="111" spans="1:23" s="163" customFormat="1" ht="13.5" customHeight="1">
      <c r="A111" s="162"/>
      <c r="F111" s="226"/>
      <c r="H111" s="227"/>
      <c r="K111" s="213" t="s">
        <v>580</v>
      </c>
      <c r="L111" s="214">
        <f>+L110*References!E69</f>
        <v>64686.600000000086</v>
      </c>
      <c r="M111" s="252">
        <f>+References!E70</f>
        <v>2.6576467745832361E-2</v>
      </c>
    </row>
    <row r="112" spans="1:23" s="163" customFormat="1" ht="13.5" customHeight="1">
      <c r="A112" s="162"/>
      <c r="B112" s="228" t="s">
        <v>243</v>
      </c>
      <c r="D112" s="229" t="s">
        <v>581</v>
      </c>
      <c r="E112" s="229" t="s">
        <v>244</v>
      </c>
      <c r="H112" s="227"/>
      <c r="M112" s="230"/>
      <c r="N112" s="221"/>
    </row>
    <row r="113" spans="1:22" s="163" customFormat="1" ht="13.5" customHeight="1">
      <c r="A113" s="162"/>
      <c r="B113" s="218" t="s">
        <v>245</v>
      </c>
      <c r="D113" s="227">
        <f>+L27</f>
        <v>120719920.83668712</v>
      </c>
      <c r="E113" s="227">
        <f>+M27</f>
        <v>95503478.053745449</v>
      </c>
      <c r="F113" s="231"/>
      <c r="G113" s="248">
        <f>+E113/$E$115</f>
        <v>0.66735175544202519</v>
      </c>
      <c r="M113" s="213"/>
      <c r="N113" s="214"/>
      <c r="O113" s="215"/>
      <c r="P113" s="161"/>
    </row>
    <row r="114" spans="1:22" s="163" customFormat="1" ht="13.5" customHeight="1">
      <c r="A114" s="162"/>
      <c r="B114" s="218" t="s">
        <v>247</v>
      </c>
      <c r="D114" s="227">
        <f>+L100</f>
        <v>60174067.756670885</v>
      </c>
      <c r="E114" s="227">
        <f>+M100</f>
        <v>47604676.341515034</v>
      </c>
      <c r="F114" s="231"/>
      <c r="G114" s="248">
        <f>+E114/$E$115</f>
        <v>0.33264824455797487</v>
      </c>
      <c r="N114" s="221"/>
    </row>
    <row r="115" spans="1:22" s="163" customFormat="1" ht="13.5" customHeight="1">
      <c r="A115" s="162"/>
      <c r="B115" s="218"/>
      <c r="D115" s="246">
        <f>+D113+D114</f>
        <v>180893988.59335801</v>
      </c>
      <c r="E115" s="246">
        <f>+E113+E114</f>
        <v>143108154.39526048</v>
      </c>
      <c r="G115" s="249">
        <f>+G113+G114</f>
        <v>1</v>
      </c>
      <c r="V115" s="221"/>
    </row>
    <row r="116" spans="1:22" s="163" customFormat="1" ht="13.5" customHeight="1">
      <c r="A116" s="162"/>
      <c r="B116" s="218"/>
      <c r="D116" s="222"/>
      <c r="E116" s="232"/>
      <c r="F116" s="233"/>
      <c r="H116" s="222"/>
      <c r="N116" s="166"/>
    </row>
    <row r="117" spans="1:22" s="163" customFormat="1" ht="13.5" customHeight="1">
      <c r="A117" s="162"/>
      <c r="B117" s="228" t="s">
        <v>249</v>
      </c>
      <c r="D117" s="227"/>
      <c r="N117" s="164"/>
    </row>
    <row r="118" spans="1:22" s="163" customFormat="1" ht="13.5" customHeight="1">
      <c r="A118" s="162"/>
      <c r="B118" s="218" t="s">
        <v>245</v>
      </c>
      <c r="D118" s="164">
        <f>+'Non-Regulated'!Z66</f>
        <v>89212939.900357455</v>
      </c>
      <c r="E118" s="227">
        <f>+'Non-Regulated'!AA66</f>
        <v>70218747.642917678</v>
      </c>
      <c r="G118" s="248">
        <f>+E118/$E$120</f>
        <v>0.49843356495524482</v>
      </c>
    </row>
    <row r="119" spans="1:22" s="163" customFormat="1" ht="13.5" customHeight="1">
      <c r="A119" s="162"/>
      <c r="B119" s="218" t="s">
        <v>247</v>
      </c>
      <c r="D119" s="164">
        <f>+'Non-Regulated'!Z206</f>
        <v>89773681.73369731</v>
      </c>
      <c r="E119" s="227">
        <f>+'Non-Regulated'!AA206</f>
        <v>70660102.77965115</v>
      </c>
      <c r="G119" s="248">
        <f>+E119/$E$120</f>
        <v>0.50156643504475518</v>
      </c>
    </row>
    <row r="120" spans="1:22" s="163" customFormat="1" ht="13.5" customHeight="1">
      <c r="A120" s="162"/>
      <c r="B120" s="218"/>
      <c r="D120" s="246">
        <f>+D118+D119</f>
        <v>178986621.63405478</v>
      </c>
      <c r="E120" s="246">
        <f>+E118+E119</f>
        <v>140878850.42256883</v>
      </c>
      <c r="G120" s="249">
        <f>+G118+G119</f>
        <v>1</v>
      </c>
    </row>
    <row r="121" spans="1:22" s="163" customFormat="1" ht="13.5" customHeight="1">
      <c r="A121" s="162"/>
      <c r="B121" s="218"/>
      <c r="D121" s="222"/>
      <c r="E121" s="232"/>
      <c r="G121" s="164"/>
    </row>
    <row r="122" spans="1:22" s="163" customFormat="1" ht="13.5" customHeight="1">
      <c r="A122" s="162"/>
      <c r="B122" s="218"/>
      <c r="D122" s="247">
        <f>+D115+D120</f>
        <v>359880610.22741282</v>
      </c>
      <c r="E122" s="247">
        <f>+E115+E120</f>
        <v>283987004.81782931</v>
      </c>
      <c r="G122" s="164"/>
      <c r="M122" s="165"/>
      <c r="N122" s="165"/>
      <c r="O122" s="165"/>
    </row>
    <row r="123" spans="1:22" ht="13.5" customHeight="1">
      <c r="B123" s="218"/>
      <c r="D123" s="163"/>
      <c r="E123" s="218"/>
      <c r="L123" s="227"/>
    </row>
    <row r="124" spans="1:22" ht="13.5" customHeight="1">
      <c r="B124" s="234" t="s">
        <v>243</v>
      </c>
      <c r="D124" s="248">
        <f>+D115/D122</f>
        <v>0.50264999961806489</v>
      </c>
      <c r="E124" s="218"/>
      <c r="L124" s="227"/>
    </row>
    <row r="125" spans="1:22" ht="13.5" customHeight="1">
      <c r="B125" s="234" t="s">
        <v>249</v>
      </c>
      <c r="D125" s="248">
        <f>+D120/D122</f>
        <v>0.49735000038193505</v>
      </c>
      <c r="E125" s="218"/>
      <c r="L125" s="227"/>
    </row>
    <row r="126" spans="1:22" ht="13.5" customHeight="1">
      <c r="B126" s="163"/>
      <c r="D126" s="250">
        <v>1</v>
      </c>
      <c r="E126" s="163"/>
      <c r="L126" s="222"/>
    </row>
    <row r="127" spans="1:22" ht="13.5" customHeight="1">
      <c r="I127" s="163"/>
      <c r="J127" s="236"/>
      <c r="K127" s="222"/>
      <c r="L127" s="163"/>
    </row>
  </sheetData>
  <mergeCells count="3">
    <mergeCell ref="A4:B4"/>
    <mergeCell ref="B106:C106"/>
    <mergeCell ref="E1:M2"/>
  </mergeCells>
  <pageMargins left="0.7" right="0.7" top="0.75" bottom="0.75" header="0.3" footer="0.3"/>
  <pageSetup scale="63" pageOrder="overThenDown" orientation="landscape" r:id="rId1"/>
  <headerFooter>
    <oddFooter xml:space="preserve">&amp;L&amp;F - &amp;A
&amp;R&amp;P of &amp;N
</oddFooter>
  </headerFooter>
  <colBreaks count="2" manualBreakCount="2">
    <brk id="13" max="104" man="1"/>
    <brk id="13" min="104" max="12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09"/>
  <sheetViews>
    <sheetView showGridLines="0" view="pageBreakPreview" zoomScale="90" zoomScaleNormal="100" zoomScaleSheetLayoutView="90" workbookViewId="0"/>
  </sheetViews>
  <sheetFormatPr defaultRowHeight="12.75" outlineLevelCol="1"/>
  <cols>
    <col min="1" max="1" width="16.85546875" style="3" customWidth="1"/>
    <col min="2" max="2" width="25.140625" style="3" customWidth="1"/>
    <col min="3" max="3" width="2.28515625" style="4" customWidth="1"/>
    <col min="4" max="4" width="5.28515625" style="4" bestFit="1" customWidth="1" outlineLevel="1"/>
    <col min="5" max="5" width="7.42578125" style="4" bestFit="1" customWidth="1" outlineLevel="1"/>
    <col min="6" max="6" width="2.28515625" style="4" customWidth="1" outlineLevel="1"/>
    <col min="7" max="7" width="8.140625" style="4" bestFit="1" customWidth="1" outlineLevel="1"/>
    <col min="8" max="8" width="9.85546875" style="4" bestFit="1" customWidth="1" outlineLevel="1"/>
    <col min="9" max="9" width="2.28515625" style="4" customWidth="1" outlineLevel="1"/>
    <col min="10" max="10" width="9.85546875" style="4" bestFit="1" customWidth="1" outlineLevel="1"/>
    <col min="11" max="11" width="12" style="4" bestFit="1" customWidth="1" outlineLevel="1"/>
    <col min="12" max="12" width="2.28515625" style="4" customWidth="1" outlineLevel="1"/>
    <col min="13" max="13" width="10.85546875" style="4" bestFit="1" customWidth="1" outlineLevel="1"/>
    <col min="14" max="14" width="13.28515625" style="4" bestFit="1" customWidth="1" outlineLevel="1"/>
    <col min="15" max="15" width="2.28515625" style="4" customWidth="1" outlineLevel="1"/>
    <col min="16" max="16" width="10.85546875" style="4" bestFit="1" customWidth="1" outlineLevel="1"/>
    <col min="17" max="17" width="12.7109375" style="4" bestFit="1" customWidth="1" outlineLevel="1"/>
    <col min="18" max="18" width="2.28515625" style="4" customWidth="1" outlineLevel="1"/>
    <col min="19" max="19" width="8.140625" style="4" bestFit="1" customWidth="1" outlineLevel="1"/>
    <col min="20" max="20" width="8.5703125" style="4" bestFit="1" customWidth="1" outlineLevel="1"/>
    <col min="21" max="21" width="2.28515625" style="4" customWidth="1"/>
    <col min="22" max="22" width="13.5703125" style="4" bestFit="1" customWidth="1"/>
    <col min="23" max="23" width="16.140625" style="4" bestFit="1" customWidth="1"/>
    <col min="24" max="24" width="11.5703125" style="9" bestFit="1" customWidth="1"/>
    <col min="25" max="25" width="12.85546875" style="4" bestFit="1" customWidth="1"/>
    <col min="26" max="26" width="17" style="4" bestFit="1" customWidth="1"/>
    <col min="27" max="27" width="18" style="4" customWidth="1"/>
    <col min="28" max="16384" width="9.140625" style="4"/>
  </cols>
  <sheetData>
    <row r="1" spans="1:27" ht="12.75" customHeight="1">
      <c r="A1" s="161" t="s">
        <v>625</v>
      </c>
      <c r="D1" s="256" t="s">
        <v>627</v>
      </c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27" ht="15" customHeight="1" thickBot="1">
      <c r="A2" s="1" t="s">
        <v>584</v>
      </c>
      <c r="D2" s="259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1"/>
    </row>
    <row r="3" spans="1:27" customFormat="1" ht="15"/>
    <row r="4" spans="1:27" ht="9.75" customHeight="1">
      <c r="A4" s="5"/>
      <c r="B4" s="6"/>
    </row>
    <row r="5" spans="1:27">
      <c r="D5" s="262" t="s">
        <v>335</v>
      </c>
      <c r="E5" s="262"/>
      <c r="G5" s="262" t="s">
        <v>336</v>
      </c>
      <c r="H5" s="262"/>
      <c r="J5" s="262" t="s">
        <v>337</v>
      </c>
      <c r="K5" s="262"/>
      <c r="M5" s="262" t="s">
        <v>338</v>
      </c>
      <c r="N5" s="262"/>
      <c r="P5" s="262" t="s">
        <v>339</v>
      </c>
      <c r="Q5" s="262"/>
      <c r="S5" s="262" t="s">
        <v>340</v>
      </c>
      <c r="T5" s="262"/>
    </row>
    <row r="6" spans="1:27" ht="3.75" customHeight="1">
      <c r="D6" s="150"/>
      <c r="E6" s="150"/>
      <c r="G6" s="150"/>
      <c r="H6" s="150"/>
      <c r="J6" s="150"/>
      <c r="K6" s="150"/>
      <c r="M6" s="150"/>
      <c r="N6" s="150"/>
      <c r="P6" s="150"/>
      <c r="Q6" s="150"/>
      <c r="S6" s="150"/>
      <c r="T6" s="150"/>
    </row>
    <row r="7" spans="1:27" ht="25.5">
      <c r="D7" s="7" t="s">
        <v>69</v>
      </c>
      <c r="E7" s="7" t="s">
        <v>70</v>
      </c>
      <c r="G7" s="7" t="s">
        <v>69</v>
      </c>
      <c r="H7" s="7" t="s">
        <v>70</v>
      </c>
      <c r="J7" s="7" t="s">
        <v>69</v>
      </c>
      <c r="K7" s="7" t="s">
        <v>70</v>
      </c>
      <c r="M7" s="7" t="s">
        <v>69</v>
      </c>
      <c r="N7" s="7" t="s">
        <v>70</v>
      </c>
      <c r="P7" s="7" t="s">
        <v>69</v>
      </c>
      <c r="Q7" s="7" t="s">
        <v>70</v>
      </c>
      <c r="S7" s="7" t="s">
        <v>69</v>
      </c>
      <c r="T7" s="7" t="s">
        <v>70</v>
      </c>
      <c r="V7" s="134" t="s">
        <v>341</v>
      </c>
      <c r="W7" s="134" t="s">
        <v>72</v>
      </c>
      <c r="X7" s="135" t="s">
        <v>73</v>
      </c>
      <c r="Y7" s="134" t="s">
        <v>17</v>
      </c>
      <c r="Z7" s="136" t="s">
        <v>74</v>
      </c>
      <c r="AA7" s="136" t="s">
        <v>75</v>
      </c>
    </row>
    <row r="8" spans="1:27" ht="9.75" customHeight="1">
      <c r="D8" s="17"/>
      <c r="E8" s="17"/>
      <c r="G8" s="17"/>
      <c r="H8" s="17"/>
      <c r="J8" s="17"/>
      <c r="K8" s="17"/>
      <c r="M8" s="17"/>
      <c r="N8" s="17"/>
      <c r="P8" s="17"/>
      <c r="Q8" s="17"/>
      <c r="S8" s="17"/>
      <c r="T8" s="17"/>
      <c r="V8" s="50"/>
      <c r="W8" s="50"/>
      <c r="X8" s="159"/>
      <c r="Y8" s="50"/>
      <c r="Z8" s="160"/>
      <c r="AA8" s="160"/>
    </row>
    <row r="9" spans="1:27">
      <c r="A9" s="137" t="s">
        <v>76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</row>
    <row r="10" spans="1:27">
      <c r="A10" s="5"/>
      <c r="B10" s="6"/>
    </row>
    <row r="11" spans="1:27">
      <c r="A11" s="139" t="s">
        <v>342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</row>
    <row r="12" spans="1:27">
      <c r="A12" s="2" t="s">
        <v>343</v>
      </c>
      <c r="B12" s="2" t="s">
        <v>87</v>
      </c>
      <c r="D12" s="8">
        <v>0</v>
      </c>
      <c r="E12" s="8">
        <v>0</v>
      </c>
      <c r="G12" s="8">
        <v>0</v>
      </c>
      <c r="H12" s="8">
        <v>0</v>
      </c>
      <c r="J12" s="8">
        <v>13.64</v>
      </c>
      <c r="K12" s="8">
        <v>277801.47000000003</v>
      </c>
      <c r="M12" s="8">
        <v>0</v>
      </c>
      <c r="N12" s="8">
        <v>0</v>
      </c>
      <c r="P12" s="8">
        <v>0</v>
      </c>
      <c r="Q12" s="8">
        <v>0</v>
      </c>
      <c r="S12" s="8">
        <v>0</v>
      </c>
      <c r="T12" s="8">
        <v>0</v>
      </c>
      <c r="V12" s="9">
        <f>+IFERROR((E12/D12),0)+IFERROR((H12/G12),0)+IFERROR((K12/J12),0)+IFERROR((N12/M12),0)+IFERROR((Q12/P12),0)+IFERROR((T12/S12),0)</f>
        <v>20366.676686217012</v>
      </c>
      <c r="W12" s="10">
        <v>4.33</v>
      </c>
      <c r="X12" s="9">
        <f t="shared" ref="X12:X64" si="0">+V12*W12</f>
        <v>88187.710051319664</v>
      </c>
      <c r="Y12" s="4">
        <v>34</v>
      </c>
      <c r="Z12" s="8">
        <f t="shared" ref="Z12:Z64" si="1">+X12*Y12</f>
        <v>2998382.1417448684</v>
      </c>
      <c r="AA12" s="8">
        <v>2360001.1296945321</v>
      </c>
    </row>
    <row r="13" spans="1:27">
      <c r="A13" s="2" t="s">
        <v>86</v>
      </c>
      <c r="B13" s="2" t="s">
        <v>87</v>
      </c>
      <c r="D13" s="8">
        <v>0</v>
      </c>
      <c r="E13" s="8">
        <v>0</v>
      </c>
      <c r="G13" s="8">
        <v>0</v>
      </c>
      <c r="H13" s="8">
        <v>0</v>
      </c>
      <c r="J13" s="8">
        <v>0</v>
      </c>
      <c r="K13" s="8">
        <v>-52.04</v>
      </c>
      <c r="M13" s="8">
        <v>0</v>
      </c>
      <c r="N13" s="8">
        <v>0</v>
      </c>
      <c r="P13" s="8">
        <v>0</v>
      </c>
      <c r="Q13" s="8">
        <v>0</v>
      </c>
      <c r="S13" s="8">
        <v>0</v>
      </c>
      <c r="T13" s="8">
        <v>0</v>
      </c>
      <c r="V13" s="9">
        <f t="shared" ref="V13:V64" si="2">+IFERROR((E13/D13),0)+IFERROR((H13/G13),0)+IFERROR((K13/J13),0)+IFERROR((N13/M13),0)+IFERROR((Q13/P13),0)+IFERROR((T13/S13),0)</f>
        <v>0</v>
      </c>
      <c r="W13" s="10">
        <v>4.33</v>
      </c>
      <c r="X13" s="9">
        <f t="shared" si="0"/>
        <v>0</v>
      </c>
      <c r="Y13" s="4">
        <v>34</v>
      </c>
      <c r="Z13" s="8">
        <f t="shared" si="1"/>
        <v>0</v>
      </c>
      <c r="AA13" s="8">
        <v>0</v>
      </c>
    </row>
    <row r="14" spans="1:27">
      <c r="A14" s="2" t="s">
        <v>344</v>
      </c>
      <c r="B14" s="2" t="s">
        <v>345</v>
      </c>
      <c r="D14" s="8">
        <v>0</v>
      </c>
      <c r="E14" s="8">
        <v>0</v>
      </c>
      <c r="G14" s="8">
        <v>0</v>
      </c>
      <c r="H14" s="8">
        <v>0</v>
      </c>
      <c r="J14" s="8">
        <v>0</v>
      </c>
      <c r="K14" s="8">
        <v>0</v>
      </c>
      <c r="M14" s="8">
        <v>15.55</v>
      </c>
      <c r="N14" s="8">
        <v>182.57999999999998</v>
      </c>
      <c r="P14" s="8">
        <v>0</v>
      </c>
      <c r="Q14" s="8">
        <v>0</v>
      </c>
      <c r="S14" s="8">
        <v>0</v>
      </c>
      <c r="T14" s="8">
        <v>0</v>
      </c>
      <c r="V14" s="9">
        <f t="shared" si="2"/>
        <v>11.741479099678456</v>
      </c>
      <c r="W14" s="10">
        <v>2.17</v>
      </c>
      <c r="X14" s="9">
        <f t="shared" si="0"/>
        <v>25.479009646302249</v>
      </c>
      <c r="Y14" s="4">
        <v>20</v>
      </c>
      <c r="Z14" s="8">
        <f t="shared" si="1"/>
        <v>509.58019292604496</v>
      </c>
      <c r="AA14" s="8">
        <v>401.08624388870624</v>
      </c>
    </row>
    <row r="15" spans="1:27">
      <c r="A15" s="2" t="s">
        <v>346</v>
      </c>
      <c r="B15" s="2" t="s">
        <v>347</v>
      </c>
      <c r="D15" s="8">
        <v>0</v>
      </c>
      <c r="E15" s="8">
        <v>0</v>
      </c>
      <c r="G15" s="8">
        <v>0</v>
      </c>
      <c r="H15" s="8">
        <v>0</v>
      </c>
      <c r="J15" s="8">
        <v>0</v>
      </c>
      <c r="K15" s="8">
        <v>0</v>
      </c>
      <c r="M15" s="8">
        <v>19.45</v>
      </c>
      <c r="N15" s="8">
        <v>364.95999999999992</v>
      </c>
      <c r="P15" s="8">
        <v>0</v>
      </c>
      <c r="Q15" s="8">
        <v>0</v>
      </c>
      <c r="S15" s="8">
        <v>0</v>
      </c>
      <c r="T15" s="8">
        <v>0</v>
      </c>
      <c r="V15" s="9">
        <f t="shared" si="2"/>
        <v>18.764010282776347</v>
      </c>
      <c r="W15" s="10">
        <v>4.33</v>
      </c>
      <c r="X15" s="9">
        <f t="shared" si="0"/>
        <v>81.248164524421583</v>
      </c>
      <c r="Y15" s="4">
        <v>20</v>
      </c>
      <c r="Z15" s="8">
        <f t="shared" si="1"/>
        <v>1624.9632904884315</v>
      </c>
      <c r="AA15" s="8">
        <v>1278.9948111928004</v>
      </c>
    </row>
    <row r="16" spans="1:27">
      <c r="A16" s="2" t="s">
        <v>348</v>
      </c>
      <c r="B16" s="2" t="s">
        <v>81</v>
      </c>
      <c r="D16" s="8">
        <v>0</v>
      </c>
      <c r="E16" s="8">
        <v>0</v>
      </c>
      <c r="G16" s="8">
        <v>0</v>
      </c>
      <c r="H16" s="8">
        <v>0</v>
      </c>
      <c r="J16" s="8">
        <v>11.37</v>
      </c>
      <c r="K16" s="8">
        <v>2659.9400000000005</v>
      </c>
      <c r="M16" s="8">
        <v>0</v>
      </c>
      <c r="N16" s="8">
        <v>0</v>
      </c>
      <c r="P16" s="8">
        <v>0</v>
      </c>
      <c r="Q16" s="8">
        <v>0</v>
      </c>
      <c r="S16" s="8">
        <v>0</v>
      </c>
      <c r="T16" s="8">
        <v>0</v>
      </c>
      <c r="V16" s="9">
        <f t="shared" si="2"/>
        <v>233.94371152154798</v>
      </c>
      <c r="W16" s="10">
        <v>4.33</v>
      </c>
      <c r="X16" s="9">
        <f t="shared" si="0"/>
        <v>1012.9762708883028</v>
      </c>
      <c r="Y16" s="4">
        <v>20</v>
      </c>
      <c r="Z16" s="8">
        <f t="shared" si="1"/>
        <v>20259.525417766057</v>
      </c>
      <c r="AA16" s="8">
        <v>15946.100467760634</v>
      </c>
    </row>
    <row r="17" spans="1:27">
      <c r="A17" s="2" t="s">
        <v>349</v>
      </c>
      <c r="B17" s="2" t="s">
        <v>89</v>
      </c>
      <c r="D17" s="8">
        <v>0</v>
      </c>
      <c r="E17" s="8">
        <v>0</v>
      </c>
      <c r="G17" s="8">
        <v>0</v>
      </c>
      <c r="H17" s="8">
        <v>0</v>
      </c>
      <c r="J17" s="8">
        <v>20.86</v>
      </c>
      <c r="K17" s="8">
        <v>104581.37999999999</v>
      </c>
      <c r="M17" s="8">
        <v>0</v>
      </c>
      <c r="N17" s="8">
        <v>0</v>
      </c>
      <c r="P17" s="8">
        <v>0</v>
      </c>
      <c r="Q17" s="8">
        <v>0</v>
      </c>
      <c r="S17" s="8">
        <v>0</v>
      </c>
      <c r="T17" s="8">
        <v>0</v>
      </c>
      <c r="V17" s="9">
        <f t="shared" si="2"/>
        <v>5013.4889741131346</v>
      </c>
      <c r="W17" s="10">
        <v>4.33</v>
      </c>
      <c r="X17" s="9">
        <f t="shared" si="0"/>
        <v>21708.407257909872</v>
      </c>
      <c r="Y17" s="4">
        <v>51</v>
      </c>
      <c r="Z17" s="8">
        <f t="shared" si="1"/>
        <v>1107128.7701534035</v>
      </c>
      <c r="AA17" s="8">
        <v>871411.65627369017</v>
      </c>
    </row>
    <row r="18" spans="1:27">
      <c r="A18" s="2" t="s">
        <v>88</v>
      </c>
      <c r="B18" s="2" t="s">
        <v>89</v>
      </c>
      <c r="D18" s="8">
        <v>0</v>
      </c>
      <c r="E18" s="8">
        <v>0</v>
      </c>
      <c r="G18" s="8">
        <v>0</v>
      </c>
      <c r="H18" s="8">
        <v>0</v>
      </c>
      <c r="J18" s="8">
        <v>0</v>
      </c>
      <c r="K18" s="8">
        <v>0</v>
      </c>
      <c r="M18" s="8">
        <v>0</v>
      </c>
      <c r="N18" s="8">
        <v>0</v>
      </c>
      <c r="P18" s="8">
        <v>0</v>
      </c>
      <c r="Q18" s="8">
        <v>0</v>
      </c>
      <c r="S18" s="8">
        <v>0</v>
      </c>
      <c r="T18" s="8">
        <v>0</v>
      </c>
      <c r="V18" s="9">
        <f t="shared" si="2"/>
        <v>0</v>
      </c>
      <c r="W18" s="10">
        <v>4.33</v>
      </c>
      <c r="X18" s="9">
        <f t="shared" si="0"/>
        <v>0</v>
      </c>
      <c r="Y18" s="4">
        <v>51</v>
      </c>
      <c r="Z18" s="8">
        <f t="shared" si="1"/>
        <v>0</v>
      </c>
      <c r="AA18" s="8">
        <v>0</v>
      </c>
    </row>
    <row r="19" spans="1:27">
      <c r="A19" s="2" t="s">
        <v>350</v>
      </c>
      <c r="B19" s="2" t="s">
        <v>351</v>
      </c>
      <c r="D19" s="8">
        <v>0</v>
      </c>
      <c r="E19" s="8">
        <v>0</v>
      </c>
      <c r="G19" s="8">
        <v>0</v>
      </c>
      <c r="H19" s="8">
        <v>0</v>
      </c>
      <c r="J19" s="8">
        <v>11.34</v>
      </c>
      <c r="K19" s="8">
        <v>20581.490000000002</v>
      </c>
      <c r="M19" s="8">
        <v>0</v>
      </c>
      <c r="N19" s="8">
        <v>0</v>
      </c>
      <c r="P19" s="8">
        <v>0</v>
      </c>
      <c r="Q19" s="8">
        <v>0</v>
      </c>
      <c r="S19" s="8">
        <v>0</v>
      </c>
      <c r="T19" s="8">
        <v>0</v>
      </c>
      <c r="V19" s="9">
        <f t="shared" si="2"/>
        <v>1814.946208112875</v>
      </c>
      <c r="W19" s="10">
        <v>2.17</v>
      </c>
      <c r="X19" s="9">
        <f t="shared" si="0"/>
        <v>3938.4332716049385</v>
      </c>
      <c r="Y19" s="4">
        <v>34</v>
      </c>
      <c r="Z19" s="8">
        <f t="shared" si="1"/>
        <v>133906.73123456791</v>
      </c>
      <c r="AA19" s="8">
        <v>105396.85138445318</v>
      </c>
    </row>
    <row r="20" spans="1:27">
      <c r="A20" s="2" t="s">
        <v>352</v>
      </c>
      <c r="B20" s="2" t="s">
        <v>353</v>
      </c>
      <c r="D20" s="8">
        <v>0</v>
      </c>
      <c r="E20" s="8">
        <v>0</v>
      </c>
      <c r="G20" s="8">
        <v>0</v>
      </c>
      <c r="H20" s="8">
        <v>0</v>
      </c>
      <c r="J20" s="8">
        <v>6.94</v>
      </c>
      <c r="K20" s="8">
        <v>1244.46</v>
      </c>
      <c r="M20" s="8">
        <v>0</v>
      </c>
      <c r="N20" s="8">
        <v>0</v>
      </c>
      <c r="P20" s="8">
        <v>0</v>
      </c>
      <c r="Q20" s="8">
        <v>0</v>
      </c>
      <c r="S20" s="8">
        <v>0</v>
      </c>
      <c r="T20" s="8">
        <v>0</v>
      </c>
      <c r="V20" s="9">
        <f t="shared" si="2"/>
        <v>179.31700288184439</v>
      </c>
      <c r="W20" s="10">
        <v>1</v>
      </c>
      <c r="X20" s="9">
        <f t="shared" si="0"/>
        <v>179.31700288184439</v>
      </c>
      <c r="Y20" s="4">
        <v>34</v>
      </c>
      <c r="Z20" s="8">
        <f t="shared" si="1"/>
        <v>6096.7780979827094</v>
      </c>
      <c r="AA20" s="8">
        <v>4798.7222837322979</v>
      </c>
    </row>
    <row r="21" spans="1:27">
      <c r="A21" s="2" t="s">
        <v>354</v>
      </c>
      <c r="B21" s="2" t="s">
        <v>91</v>
      </c>
      <c r="D21" s="8">
        <v>0</v>
      </c>
      <c r="E21" s="8">
        <v>0</v>
      </c>
      <c r="G21" s="8">
        <v>0</v>
      </c>
      <c r="H21" s="8">
        <v>0</v>
      </c>
      <c r="J21" s="8">
        <v>28.04</v>
      </c>
      <c r="K21" s="8">
        <v>9925.5899999999983</v>
      </c>
      <c r="M21" s="8">
        <v>0</v>
      </c>
      <c r="N21" s="8">
        <v>0</v>
      </c>
      <c r="P21" s="8">
        <v>0</v>
      </c>
      <c r="Q21" s="8">
        <v>0</v>
      </c>
      <c r="S21" s="8">
        <v>0</v>
      </c>
      <c r="T21" s="8">
        <v>0</v>
      </c>
      <c r="V21" s="9">
        <f t="shared" si="2"/>
        <v>353.97967189728956</v>
      </c>
      <c r="W21" s="10">
        <v>4.33</v>
      </c>
      <c r="X21" s="9">
        <f t="shared" si="0"/>
        <v>1532.7319793152637</v>
      </c>
      <c r="Y21" s="4">
        <v>77</v>
      </c>
      <c r="Z21" s="8">
        <f t="shared" si="1"/>
        <v>118020.3624072753</v>
      </c>
      <c r="AA21" s="8">
        <v>92892.825344151104</v>
      </c>
    </row>
    <row r="22" spans="1:27">
      <c r="A22" s="2" t="s">
        <v>90</v>
      </c>
      <c r="B22" s="2" t="s">
        <v>91</v>
      </c>
      <c r="D22" s="8">
        <v>0</v>
      </c>
      <c r="E22" s="8">
        <v>0</v>
      </c>
      <c r="G22" s="8">
        <v>0</v>
      </c>
      <c r="H22" s="8">
        <v>0</v>
      </c>
      <c r="J22" s="8">
        <v>0</v>
      </c>
      <c r="K22" s="8">
        <v>0</v>
      </c>
      <c r="M22" s="8">
        <v>0</v>
      </c>
      <c r="N22" s="8">
        <v>0</v>
      </c>
      <c r="P22" s="8">
        <v>0</v>
      </c>
      <c r="Q22" s="8">
        <v>0</v>
      </c>
      <c r="S22" s="8">
        <v>0</v>
      </c>
      <c r="T22" s="8">
        <v>0</v>
      </c>
      <c r="V22" s="9">
        <f t="shared" si="2"/>
        <v>0</v>
      </c>
      <c r="W22" s="10">
        <v>4.33</v>
      </c>
      <c r="X22" s="9">
        <f t="shared" si="0"/>
        <v>0</v>
      </c>
      <c r="Y22" s="4">
        <v>77</v>
      </c>
      <c r="Z22" s="8">
        <f t="shared" si="1"/>
        <v>0</v>
      </c>
      <c r="AA22" s="8">
        <v>0</v>
      </c>
    </row>
    <row r="23" spans="1:27">
      <c r="A23" s="2" t="s">
        <v>355</v>
      </c>
      <c r="B23" s="2" t="s">
        <v>356</v>
      </c>
      <c r="D23" s="8">
        <v>0</v>
      </c>
      <c r="E23" s="8">
        <v>0</v>
      </c>
      <c r="G23" s="8">
        <v>0</v>
      </c>
      <c r="H23" s="8">
        <v>0</v>
      </c>
      <c r="J23" s="8">
        <v>0</v>
      </c>
      <c r="K23" s="8">
        <v>0</v>
      </c>
      <c r="M23" s="8">
        <v>0</v>
      </c>
      <c r="N23" s="8">
        <v>0</v>
      </c>
      <c r="P23" s="8">
        <v>4.46</v>
      </c>
      <c r="Q23" s="8">
        <v>248.79500000000002</v>
      </c>
      <c r="S23" s="8">
        <v>0</v>
      </c>
      <c r="T23" s="8">
        <v>0</v>
      </c>
      <c r="V23" s="9">
        <f t="shared" si="2"/>
        <v>55.78363228699552</v>
      </c>
      <c r="W23" s="10">
        <v>2.17</v>
      </c>
      <c r="X23" s="9">
        <f t="shared" si="0"/>
        <v>121.05048206278028</v>
      </c>
      <c r="Y23" s="4">
        <v>40</v>
      </c>
      <c r="Z23" s="8">
        <f t="shared" si="1"/>
        <v>4842.0192825112108</v>
      </c>
      <c r="AA23" s="8">
        <v>3811.1122720599169</v>
      </c>
    </row>
    <row r="24" spans="1:27">
      <c r="A24" s="2" t="s">
        <v>357</v>
      </c>
      <c r="B24" s="2" t="s">
        <v>358</v>
      </c>
      <c r="D24" s="8">
        <v>0</v>
      </c>
      <c r="E24" s="8">
        <v>0</v>
      </c>
      <c r="G24" s="8">
        <v>0</v>
      </c>
      <c r="H24" s="8">
        <v>0</v>
      </c>
      <c r="J24" s="8">
        <v>0</v>
      </c>
      <c r="K24" s="8">
        <v>0</v>
      </c>
      <c r="M24" s="8">
        <v>0</v>
      </c>
      <c r="N24" s="8">
        <v>0</v>
      </c>
      <c r="P24" s="8">
        <v>7.78</v>
      </c>
      <c r="Q24" s="8">
        <v>1056.25</v>
      </c>
      <c r="S24" s="8">
        <v>0</v>
      </c>
      <c r="T24" s="8">
        <v>0</v>
      </c>
      <c r="V24" s="9">
        <f t="shared" si="2"/>
        <v>135.76478149100257</v>
      </c>
      <c r="W24" s="10">
        <v>2.17</v>
      </c>
      <c r="X24" s="9">
        <f t="shared" si="0"/>
        <v>294.60957583547554</v>
      </c>
      <c r="Y24" s="4">
        <v>40</v>
      </c>
      <c r="Z24" s="8">
        <f t="shared" si="1"/>
        <v>11784.383033419021</v>
      </c>
      <c r="AA24" s="8">
        <v>9275.3878448054093</v>
      </c>
    </row>
    <row r="25" spans="1:27">
      <c r="A25" s="2" t="s">
        <v>359</v>
      </c>
      <c r="B25" s="2" t="s">
        <v>360</v>
      </c>
      <c r="D25" s="8">
        <v>0</v>
      </c>
      <c r="E25" s="8">
        <v>0</v>
      </c>
      <c r="G25" s="8">
        <v>0</v>
      </c>
      <c r="H25" s="8">
        <v>0</v>
      </c>
      <c r="J25" s="8">
        <v>0</v>
      </c>
      <c r="K25" s="8">
        <v>0</v>
      </c>
      <c r="M25" s="8">
        <v>0</v>
      </c>
      <c r="N25" s="8">
        <v>0</v>
      </c>
      <c r="P25" s="8">
        <v>20.78</v>
      </c>
      <c r="Q25" s="8">
        <v>583.58000000000004</v>
      </c>
      <c r="S25" s="8">
        <v>0</v>
      </c>
      <c r="T25" s="8">
        <v>0</v>
      </c>
      <c r="V25" s="9">
        <f t="shared" si="2"/>
        <v>28.0837343599615</v>
      </c>
      <c r="W25" s="10">
        <v>2.17</v>
      </c>
      <c r="X25" s="9">
        <f t="shared" si="0"/>
        <v>60.941703561116455</v>
      </c>
      <c r="Y25" s="4">
        <v>40</v>
      </c>
      <c r="Z25" s="8">
        <f t="shared" si="1"/>
        <v>2437.6681424446583</v>
      </c>
      <c r="AA25" s="8">
        <v>1918.6679008973626</v>
      </c>
    </row>
    <row r="26" spans="1:27">
      <c r="A26" s="2" t="s">
        <v>361</v>
      </c>
      <c r="B26" s="2" t="s">
        <v>362</v>
      </c>
      <c r="D26" s="8">
        <v>0</v>
      </c>
      <c r="E26" s="8">
        <v>0</v>
      </c>
      <c r="G26" s="8">
        <v>0</v>
      </c>
      <c r="H26" s="8">
        <v>0</v>
      </c>
      <c r="J26" s="8">
        <v>0</v>
      </c>
      <c r="K26" s="8">
        <v>0</v>
      </c>
      <c r="M26" s="8">
        <v>0</v>
      </c>
      <c r="N26" s="8">
        <v>0</v>
      </c>
      <c r="P26" s="8">
        <v>11.7</v>
      </c>
      <c r="Q26" s="8">
        <v>151307.1</v>
      </c>
      <c r="S26" s="8">
        <v>0</v>
      </c>
      <c r="T26" s="8">
        <v>0</v>
      </c>
      <c r="V26" s="9">
        <f t="shared" si="2"/>
        <v>12932.230769230771</v>
      </c>
      <c r="W26" s="10">
        <v>2.17</v>
      </c>
      <c r="X26" s="9">
        <f t="shared" si="0"/>
        <v>28062.940769230772</v>
      </c>
      <c r="Y26" s="4">
        <v>40</v>
      </c>
      <c r="Z26" s="8">
        <f t="shared" si="1"/>
        <v>1122517.6307692309</v>
      </c>
      <c r="AA26" s="8">
        <v>883524.09782422904</v>
      </c>
    </row>
    <row r="27" spans="1:27">
      <c r="A27" s="2" t="s">
        <v>363</v>
      </c>
      <c r="B27" s="2" t="s">
        <v>364</v>
      </c>
      <c r="D27" s="8">
        <v>0</v>
      </c>
      <c r="E27" s="8">
        <v>0</v>
      </c>
      <c r="G27" s="8">
        <v>0</v>
      </c>
      <c r="H27" s="8">
        <v>0</v>
      </c>
      <c r="J27" s="8">
        <v>0</v>
      </c>
      <c r="K27" s="8">
        <v>0</v>
      </c>
      <c r="M27" s="8">
        <v>0</v>
      </c>
      <c r="N27" s="8">
        <v>0</v>
      </c>
      <c r="P27" s="8">
        <v>4.2699999999999996</v>
      </c>
      <c r="Q27" s="8">
        <v>526.4899999999999</v>
      </c>
      <c r="S27" s="8">
        <v>0</v>
      </c>
      <c r="T27" s="8">
        <v>0</v>
      </c>
      <c r="V27" s="9">
        <f t="shared" si="2"/>
        <v>123.29976580796252</v>
      </c>
      <c r="W27" s="10">
        <v>1</v>
      </c>
      <c r="X27" s="9">
        <f t="shared" si="0"/>
        <v>123.29976580796252</v>
      </c>
      <c r="Y27" s="4">
        <v>40</v>
      </c>
      <c r="Z27" s="8">
        <f t="shared" si="1"/>
        <v>4931.9906323185005</v>
      </c>
      <c r="AA27" s="8">
        <v>3881.9279577022348</v>
      </c>
    </row>
    <row r="28" spans="1:27">
      <c r="A28" s="2" t="s">
        <v>365</v>
      </c>
      <c r="B28" s="2" t="s">
        <v>366</v>
      </c>
      <c r="D28" s="8">
        <v>0</v>
      </c>
      <c r="E28" s="8">
        <v>0</v>
      </c>
      <c r="G28" s="8">
        <v>0</v>
      </c>
      <c r="H28" s="8">
        <v>0</v>
      </c>
      <c r="J28" s="8">
        <v>0</v>
      </c>
      <c r="K28" s="8">
        <v>0</v>
      </c>
      <c r="M28" s="8">
        <v>0</v>
      </c>
      <c r="N28" s="8">
        <v>0</v>
      </c>
      <c r="P28" s="8">
        <v>8.01</v>
      </c>
      <c r="Q28" s="8">
        <v>15247.594999999998</v>
      </c>
      <c r="S28" s="8">
        <v>0</v>
      </c>
      <c r="T28" s="8">
        <v>0</v>
      </c>
      <c r="V28" s="9">
        <f t="shared" si="2"/>
        <v>1903.5699126092381</v>
      </c>
      <c r="W28" s="10">
        <v>1</v>
      </c>
      <c r="X28" s="9">
        <f t="shared" si="0"/>
        <v>1903.5699126092381</v>
      </c>
      <c r="Y28" s="4">
        <v>40</v>
      </c>
      <c r="Z28" s="8">
        <f t="shared" si="1"/>
        <v>76142.796504369529</v>
      </c>
      <c r="AA28" s="8">
        <v>59931.348731900012</v>
      </c>
    </row>
    <row r="29" spans="1:27">
      <c r="A29" s="2" t="s">
        <v>367</v>
      </c>
      <c r="B29" s="2" t="s">
        <v>368</v>
      </c>
      <c r="D29" s="8">
        <v>0</v>
      </c>
      <c r="E29" s="8">
        <v>0</v>
      </c>
      <c r="G29" s="8">
        <v>0</v>
      </c>
      <c r="H29" s="8">
        <v>0</v>
      </c>
      <c r="J29" s="8">
        <v>0</v>
      </c>
      <c r="K29" s="8">
        <v>0</v>
      </c>
      <c r="M29" s="8">
        <v>0</v>
      </c>
      <c r="N29" s="8">
        <v>0</v>
      </c>
      <c r="P29" s="8">
        <v>5.13</v>
      </c>
      <c r="Q29" s="8">
        <v>686.37</v>
      </c>
      <c r="S29" s="8">
        <v>0</v>
      </c>
      <c r="T29" s="8">
        <v>0</v>
      </c>
      <c r="V29" s="9">
        <f t="shared" si="2"/>
        <v>133.79532163742689</v>
      </c>
      <c r="W29" s="10">
        <v>4.33</v>
      </c>
      <c r="X29" s="9">
        <f t="shared" si="0"/>
        <v>579.33374269005844</v>
      </c>
      <c r="Y29" s="4">
        <v>40</v>
      </c>
      <c r="Z29" s="8">
        <f t="shared" si="1"/>
        <v>23173.349707602338</v>
      </c>
      <c r="AA29" s="8">
        <v>18239.546830052277</v>
      </c>
    </row>
    <row r="30" spans="1:27">
      <c r="A30" s="2" t="s">
        <v>369</v>
      </c>
      <c r="B30" s="2" t="s">
        <v>370</v>
      </c>
      <c r="D30" s="8">
        <v>0</v>
      </c>
      <c r="E30" s="8">
        <v>0</v>
      </c>
      <c r="G30" s="8">
        <v>0</v>
      </c>
      <c r="H30" s="8">
        <v>0</v>
      </c>
      <c r="J30" s="8">
        <v>0</v>
      </c>
      <c r="K30" s="8">
        <v>0</v>
      </c>
      <c r="M30" s="8">
        <v>0</v>
      </c>
      <c r="N30" s="8">
        <v>0</v>
      </c>
      <c r="P30" s="8">
        <v>10.18</v>
      </c>
      <c r="Q30" s="8">
        <v>0</v>
      </c>
      <c r="S30" s="8">
        <v>0</v>
      </c>
      <c r="T30" s="8">
        <v>0</v>
      </c>
      <c r="V30" s="9">
        <f t="shared" si="2"/>
        <v>0</v>
      </c>
      <c r="W30" s="10">
        <v>4.33</v>
      </c>
      <c r="X30" s="9">
        <f t="shared" si="0"/>
        <v>0</v>
      </c>
      <c r="Y30" s="4">
        <v>40</v>
      </c>
      <c r="Z30" s="8">
        <f t="shared" si="1"/>
        <v>0</v>
      </c>
      <c r="AA30" s="8">
        <v>0</v>
      </c>
    </row>
    <row r="31" spans="1:27">
      <c r="A31" s="2" t="s">
        <v>371</v>
      </c>
      <c r="B31" s="2" t="s">
        <v>372</v>
      </c>
      <c r="D31" s="8">
        <v>0</v>
      </c>
      <c r="E31" s="8">
        <v>0</v>
      </c>
      <c r="G31" s="8">
        <v>0</v>
      </c>
      <c r="H31" s="8">
        <v>0</v>
      </c>
      <c r="J31" s="8">
        <v>0</v>
      </c>
      <c r="K31" s="8">
        <v>0</v>
      </c>
      <c r="M31" s="8">
        <v>0</v>
      </c>
      <c r="N31" s="8">
        <v>0</v>
      </c>
      <c r="P31" s="8">
        <v>25.08</v>
      </c>
      <c r="Q31" s="8">
        <v>631.93499999999995</v>
      </c>
      <c r="S31" s="8">
        <v>0</v>
      </c>
      <c r="T31" s="8">
        <v>0</v>
      </c>
      <c r="V31" s="9">
        <f t="shared" si="2"/>
        <v>25.196770334928228</v>
      </c>
      <c r="W31" s="10">
        <v>4.33</v>
      </c>
      <c r="X31" s="9">
        <f t="shared" si="0"/>
        <v>109.10201555023923</v>
      </c>
      <c r="Y31" s="4">
        <v>40</v>
      </c>
      <c r="Z31" s="8">
        <f t="shared" si="1"/>
        <v>4364.0806220095692</v>
      </c>
      <c r="AA31" s="8">
        <v>3434.930809728975</v>
      </c>
    </row>
    <row r="32" spans="1:27">
      <c r="A32" s="2" t="s">
        <v>373</v>
      </c>
      <c r="B32" s="2" t="s">
        <v>374</v>
      </c>
      <c r="D32" s="8">
        <v>0</v>
      </c>
      <c r="E32" s="8">
        <v>0</v>
      </c>
      <c r="G32" s="8">
        <v>0</v>
      </c>
      <c r="H32" s="8">
        <v>0</v>
      </c>
      <c r="J32" s="8">
        <v>0</v>
      </c>
      <c r="K32" s="8">
        <v>0</v>
      </c>
      <c r="M32" s="8">
        <v>0</v>
      </c>
      <c r="N32" s="8">
        <v>0</v>
      </c>
      <c r="P32" s="8">
        <v>17.18</v>
      </c>
      <c r="Q32" s="8">
        <v>688510.59499999997</v>
      </c>
      <c r="S32" s="8">
        <v>0</v>
      </c>
      <c r="T32" s="8">
        <v>0</v>
      </c>
      <c r="V32" s="9">
        <f t="shared" si="2"/>
        <v>40076.286088474968</v>
      </c>
      <c r="W32" s="10">
        <v>4.33</v>
      </c>
      <c r="X32" s="9">
        <f t="shared" si="0"/>
        <v>173530.31876309661</v>
      </c>
      <c r="Y32" s="4">
        <v>40</v>
      </c>
      <c r="Z32" s="8">
        <f t="shared" si="1"/>
        <v>6941212.7505238643</v>
      </c>
      <c r="AA32" s="8">
        <v>5463369.6301144417</v>
      </c>
    </row>
    <row r="33" spans="1:27">
      <c r="A33" s="2" t="s">
        <v>375</v>
      </c>
      <c r="B33" s="2" t="s">
        <v>93</v>
      </c>
      <c r="D33" s="8">
        <v>0</v>
      </c>
      <c r="E33" s="8">
        <v>0</v>
      </c>
      <c r="G33" s="8">
        <v>0</v>
      </c>
      <c r="H33" s="8">
        <v>0</v>
      </c>
      <c r="J33" s="8">
        <v>35.26</v>
      </c>
      <c r="K33" s="8">
        <v>1169.25</v>
      </c>
      <c r="M33" s="8">
        <v>0</v>
      </c>
      <c r="N33" s="8">
        <v>0</v>
      </c>
      <c r="P33" s="8">
        <v>0</v>
      </c>
      <c r="Q33" s="8">
        <v>0</v>
      </c>
      <c r="S33" s="8">
        <v>0</v>
      </c>
      <c r="T33" s="8">
        <v>0</v>
      </c>
      <c r="V33" s="9">
        <f t="shared" si="2"/>
        <v>33.160805445263755</v>
      </c>
      <c r="W33" s="10">
        <v>4.33</v>
      </c>
      <c r="X33" s="9">
        <f t="shared" si="0"/>
        <v>143.58628757799207</v>
      </c>
      <c r="Y33" s="4">
        <v>97</v>
      </c>
      <c r="Z33" s="8">
        <f t="shared" si="1"/>
        <v>13927.869895065231</v>
      </c>
      <c r="AA33" s="8">
        <v>10962.508156970369</v>
      </c>
    </row>
    <row r="34" spans="1:27">
      <c r="A34" s="2" t="s">
        <v>376</v>
      </c>
      <c r="B34" s="2" t="s">
        <v>95</v>
      </c>
      <c r="D34" s="8">
        <v>0</v>
      </c>
      <c r="E34" s="8">
        <v>0</v>
      </c>
      <c r="G34" s="8">
        <v>0</v>
      </c>
      <c r="H34" s="8">
        <v>0</v>
      </c>
      <c r="J34" s="8">
        <v>42.47</v>
      </c>
      <c r="K34" s="8">
        <v>0</v>
      </c>
      <c r="M34" s="8">
        <v>0</v>
      </c>
      <c r="N34" s="8">
        <v>0</v>
      </c>
      <c r="P34" s="8">
        <v>0</v>
      </c>
      <c r="Q34" s="8">
        <v>0</v>
      </c>
      <c r="S34" s="8">
        <v>0</v>
      </c>
      <c r="T34" s="8">
        <v>0</v>
      </c>
      <c r="V34" s="9">
        <f t="shared" si="2"/>
        <v>0</v>
      </c>
      <c r="W34" s="10">
        <v>4.33</v>
      </c>
      <c r="X34" s="9">
        <f t="shared" si="0"/>
        <v>0</v>
      </c>
      <c r="Y34" s="4">
        <v>117</v>
      </c>
      <c r="Z34" s="8">
        <f t="shared" si="1"/>
        <v>0</v>
      </c>
      <c r="AA34" s="8">
        <v>0</v>
      </c>
    </row>
    <row r="35" spans="1:27">
      <c r="A35" s="2" t="s">
        <v>377</v>
      </c>
      <c r="B35" s="2" t="s">
        <v>378</v>
      </c>
      <c r="D35" s="8">
        <v>0</v>
      </c>
      <c r="E35" s="8">
        <v>0</v>
      </c>
      <c r="G35" s="8">
        <v>0</v>
      </c>
      <c r="H35" s="8">
        <v>0</v>
      </c>
      <c r="J35" s="8">
        <v>0</v>
      </c>
      <c r="K35" s="8">
        <v>0</v>
      </c>
      <c r="M35" s="8">
        <v>0</v>
      </c>
      <c r="N35" s="8">
        <v>0</v>
      </c>
      <c r="P35" s="8">
        <v>32.4</v>
      </c>
      <c r="Q35" s="8">
        <v>201405.18</v>
      </c>
      <c r="S35" s="8">
        <v>0</v>
      </c>
      <c r="T35" s="8">
        <v>0</v>
      </c>
      <c r="V35" s="9">
        <f t="shared" si="2"/>
        <v>6216.2092592592589</v>
      </c>
      <c r="W35" s="10">
        <v>4.33</v>
      </c>
      <c r="X35" s="9">
        <f t="shared" si="0"/>
        <v>26916.18609259259</v>
      </c>
      <c r="Y35" s="4">
        <v>68</v>
      </c>
      <c r="Z35" s="8">
        <f t="shared" si="1"/>
        <v>1830300.6542962962</v>
      </c>
      <c r="AA35" s="8">
        <v>1440614.1070818338</v>
      </c>
    </row>
    <row r="36" spans="1:27">
      <c r="A36" s="2" t="s">
        <v>379</v>
      </c>
      <c r="B36" s="2" t="s">
        <v>380</v>
      </c>
      <c r="D36" s="8">
        <v>0</v>
      </c>
      <c r="E36" s="8">
        <v>0</v>
      </c>
      <c r="G36" s="8">
        <v>0</v>
      </c>
      <c r="H36" s="8">
        <v>0</v>
      </c>
      <c r="J36" s="8">
        <v>0</v>
      </c>
      <c r="K36" s="8">
        <v>0</v>
      </c>
      <c r="M36" s="8">
        <v>0</v>
      </c>
      <c r="N36" s="8">
        <v>0</v>
      </c>
      <c r="P36" s="8">
        <v>40.14</v>
      </c>
      <c r="Q36" s="8">
        <v>0</v>
      </c>
      <c r="S36" s="8">
        <v>0</v>
      </c>
      <c r="T36" s="8">
        <v>0</v>
      </c>
      <c r="V36" s="9">
        <f t="shared" si="2"/>
        <v>0</v>
      </c>
      <c r="W36" s="10">
        <v>4.33</v>
      </c>
      <c r="X36" s="9">
        <f t="shared" si="0"/>
        <v>0</v>
      </c>
      <c r="Y36" s="4">
        <v>68</v>
      </c>
      <c r="Z36" s="8">
        <f t="shared" si="1"/>
        <v>0</v>
      </c>
      <c r="AA36" s="8">
        <v>0</v>
      </c>
    </row>
    <row r="37" spans="1:27">
      <c r="A37" s="2" t="s">
        <v>381</v>
      </c>
      <c r="B37" s="2" t="s">
        <v>382</v>
      </c>
      <c r="D37" s="8">
        <v>0</v>
      </c>
      <c r="E37" s="8">
        <v>0</v>
      </c>
      <c r="G37" s="8">
        <v>0</v>
      </c>
      <c r="H37" s="8">
        <v>0</v>
      </c>
      <c r="J37" s="8">
        <v>0</v>
      </c>
      <c r="K37" s="8">
        <v>0</v>
      </c>
      <c r="M37" s="8">
        <v>12.96</v>
      </c>
      <c r="N37" s="8">
        <v>234047.86</v>
      </c>
      <c r="P37" s="8">
        <v>0</v>
      </c>
      <c r="Q37" s="8">
        <v>0</v>
      </c>
      <c r="S37" s="8">
        <v>0</v>
      </c>
      <c r="T37" s="8">
        <v>0</v>
      </c>
      <c r="V37" s="9">
        <f t="shared" si="2"/>
        <v>18059.248456790123</v>
      </c>
      <c r="W37" s="10">
        <v>4.33</v>
      </c>
      <c r="X37" s="9">
        <f t="shared" si="0"/>
        <v>78196.545817901235</v>
      </c>
      <c r="Y37" s="4">
        <v>20</v>
      </c>
      <c r="Z37" s="8">
        <f t="shared" si="1"/>
        <v>1563930.9163580248</v>
      </c>
      <c r="AA37" s="8">
        <v>1230956.7476350048</v>
      </c>
    </row>
    <row r="38" spans="1:27">
      <c r="A38" s="2" t="s">
        <v>383</v>
      </c>
      <c r="B38" s="2" t="s">
        <v>384</v>
      </c>
      <c r="D38" s="8">
        <v>0</v>
      </c>
      <c r="E38" s="8">
        <v>0</v>
      </c>
      <c r="G38" s="8">
        <v>0</v>
      </c>
      <c r="H38" s="8">
        <v>0</v>
      </c>
      <c r="J38" s="8">
        <v>0</v>
      </c>
      <c r="K38" s="8">
        <v>0</v>
      </c>
      <c r="M38" s="8">
        <v>10.36</v>
      </c>
      <c r="N38" s="8">
        <v>560.24</v>
      </c>
      <c r="P38" s="8">
        <v>0</v>
      </c>
      <c r="Q38" s="8">
        <v>0</v>
      </c>
      <c r="S38" s="8">
        <v>0</v>
      </c>
      <c r="T38" s="8">
        <v>0</v>
      </c>
      <c r="V38" s="9">
        <f t="shared" si="2"/>
        <v>54.077220077220083</v>
      </c>
      <c r="W38" s="10">
        <v>2.17</v>
      </c>
      <c r="X38" s="9">
        <f t="shared" si="0"/>
        <v>117.34756756756758</v>
      </c>
      <c r="Y38" s="4">
        <v>20</v>
      </c>
      <c r="Z38" s="8">
        <f t="shared" si="1"/>
        <v>2346.9513513513516</v>
      </c>
      <c r="AA38" s="8">
        <v>1847.2654847470719</v>
      </c>
    </row>
    <row r="39" spans="1:27">
      <c r="A39" s="2" t="s">
        <v>385</v>
      </c>
      <c r="B39" s="2" t="s">
        <v>386</v>
      </c>
      <c r="D39" s="8">
        <v>0</v>
      </c>
      <c r="E39" s="8">
        <v>0</v>
      </c>
      <c r="G39" s="8">
        <v>0</v>
      </c>
      <c r="H39" s="8">
        <v>0</v>
      </c>
      <c r="J39" s="8">
        <v>0</v>
      </c>
      <c r="K39" s="8">
        <v>0</v>
      </c>
      <c r="M39" s="8">
        <v>12.96</v>
      </c>
      <c r="N39" s="9">
        <v>673.29</v>
      </c>
      <c r="P39" s="8">
        <v>0</v>
      </c>
      <c r="Q39" s="9">
        <v>0</v>
      </c>
      <c r="S39" s="8">
        <v>0</v>
      </c>
      <c r="T39" s="8">
        <v>0</v>
      </c>
      <c r="V39" s="9">
        <f t="shared" si="2"/>
        <v>51.951388888888886</v>
      </c>
      <c r="W39" s="10">
        <v>4.33</v>
      </c>
      <c r="X39" s="9">
        <f t="shared" si="0"/>
        <v>224.94951388888887</v>
      </c>
      <c r="Y39" s="4">
        <v>20</v>
      </c>
      <c r="Z39" s="9">
        <f t="shared" si="1"/>
        <v>4498.990277777777</v>
      </c>
      <c r="AA39" s="9">
        <v>3541.1170544997599</v>
      </c>
    </row>
    <row r="40" spans="1:27">
      <c r="A40" s="2" t="s">
        <v>387</v>
      </c>
      <c r="B40" s="2" t="s">
        <v>388</v>
      </c>
      <c r="D40" s="8">
        <v>0</v>
      </c>
      <c r="E40" s="8">
        <v>0</v>
      </c>
      <c r="G40" s="8">
        <v>0</v>
      </c>
      <c r="H40" s="8">
        <v>0</v>
      </c>
      <c r="J40" s="8">
        <v>0</v>
      </c>
      <c r="K40" s="8">
        <v>0</v>
      </c>
      <c r="M40" s="8">
        <v>10.36</v>
      </c>
      <c r="N40" s="9">
        <v>60858.17</v>
      </c>
      <c r="P40" s="8">
        <v>0</v>
      </c>
      <c r="Q40" s="9">
        <v>0</v>
      </c>
      <c r="S40" s="8">
        <v>0</v>
      </c>
      <c r="T40" s="8">
        <v>0</v>
      </c>
      <c r="V40" s="9">
        <f t="shared" si="2"/>
        <v>5874.3407335907341</v>
      </c>
      <c r="W40" s="10">
        <v>2.17</v>
      </c>
      <c r="X40" s="9">
        <f t="shared" si="0"/>
        <v>12747.319391891893</v>
      </c>
      <c r="Y40" s="4">
        <v>20</v>
      </c>
      <c r="Z40" s="9">
        <f t="shared" si="1"/>
        <v>254946.38783783786</v>
      </c>
      <c r="AA40" s="9">
        <v>200666.13755867077</v>
      </c>
    </row>
    <row r="41" spans="1:27">
      <c r="A41" s="2" t="s">
        <v>389</v>
      </c>
      <c r="B41" s="2" t="s">
        <v>390</v>
      </c>
      <c r="D41" s="8">
        <v>0</v>
      </c>
      <c r="E41" s="8">
        <v>0</v>
      </c>
      <c r="G41" s="8">
        <v>0</v>
      </c>
      <c r="H41" s="8">
        <v>0</v>
      </c>
      <c r="J41" s="8">
        <v>0</v>
      </c>
      <c r="K41" s="8">
        <v>0</v>
      </c>
      <c r="M41" s="8">
        <v>69.12</v>
      </c>
      <c r="N41" s="9">
        <v>22524.540000000005</v>
      </c>
      <c r="P41" s="8">
        <v>0</v>
      </c>
      <c r="Q41" s="9">
        <v>0</v>
      </c>
      <c r="S41" s="8">
        <v>0</v>
      </c>
      <c r="T41" s="8">
        <v>0</v>
      </c>
      <c r="V41" s="9">
        <f t="shared" si="2"/>
        <v>325.8758680555556</v>
      </c>
      <c r="W41" s="10">
        <v>4.33</v>
      </c>
      <c r="X41" s="9">
        <f t="shared" si="0"/>
        <v>1411.0425086805558</v>
      </c>
      <c r="Y41" s="4">
        <v>102</v>
      </c>
      <c r="Z41" s="9">
        <f t="shared" si="1"/>
        <v>143926.33588541669</v>
      </c>
      <c r="AA41" s="9">
        <v>113283.19714601614</v>
      </c>
    </row>
    <row r="42" spans="1:27">
      <c r="A42" s="2" t="s">
        <v>391</v>
      </c>
      <c r="B42" s="2" t="s">
        <v>392</v>
      </c>
      <c r="D42" s="8">
        <v>0</v>
      </c>
      <c r="E42" s="8">
        <v>0</v>
      </c>
      <c r="G42" s="8">
        <v>0</v>
      </c>
      <c r="H42" s="8">
        <v>0</v>
      </c>
      <c r="J42" s="8">
        <v>0</v>
      </c>
      <c r="K42" s="8">
        <v>0</v>
      </c>
      <c r="M42" s="8">
        <v>25.92</v>
      </c>
      <c r="N42" s="9">
        <v>24564.855</v>
      </c>
      <c r="P42" s="8">
        <v>0</v>
      </c>
      <c r="Q42" s="9">
        <v>0</v>
      </c>
      <c r="S42" s="8">
        <v>0</v>
      </c>
      <c r="T42" s="8">
        <v>0</v>
      </c>
      <c r="V42" s="9">
        <f t="shared" si="2"/>
        <v>947.71817129629619</v>
      </c>
      <c r="W42" s="10">
        <v>1</v>
      </c>
      <c r="X42" s="9">
        <f t="shared" si="0"/>
        <v>947.71817129629619</v>
      </c>
      <c r="Y42" s="4">
        <v>34</v>
      </c>
      <c r="Z42" s="9">
        <f t="shared" si="1"/>
        <v>32222.417824074069</v>
      </c>
      <c r="AA42" s="9">
        <v>25361.991524552868</v>
      </c>
    </row>
    <row r="43" spans="1:27">
      <c r="A43" s="2" t="s">
        <v>393</v>
      </c>
      <c r="B43" s="2" t="s">
        <v>394</v>
      </c>
      <c r="D43" s="8">
        <v>0</v>
      </c>
      <c r="E43" s="8">
        <v>0</v>
      </c>
      <c r="G43" s="8">
        <v>0</v>
      </c>
      <c r="H43" s="8">
        <v>0</v>
      </c>
      <c r="J43" s="8">
        <v>0</v>
      </c>
      <c r="K43" s="8">
        <v>0</v>
      </c>
      <c r="M43" s="8">
        <v>12.96</v>
      </c>
      <c r="N43" s="9">
        <v>845248.57</v>
      </c>
      <c r="P43" s="8">
        <v>0</v>
      </c>
      <c r="Q43" s="9">
        <v>0</v>
      </c>
      <c r="S43" s="8">
        <v>0</v>
      </c>
      <c r="T43" s="8">
        <v>0</v>
      </c>
      <c r="V43" s="9">
        <f t="shared" si="2"/>
        <v>65219.797067901229</v>
      </c>
      <c r="W43" s="10">
        <v>2.17</v>
      </c>
      <c r="X43" s="9">
        <f t="shared" si="0"/>
        <v>141526.95963734566</v>
      </c>
      <c r="Y43" s="4">
        <v>34</v>
      </c>
      <c r="Z43" s="9">
        <f t="shared" si="1"/>
        <v>4811916.6276697526</v>
      </c>
      <c r="AA43" s="9">
        <v>3787418.7279837425</v>
      </c>
    </row>
    <row r="44" spans="1:27">
      <c r="A44" s="2" t="s">
        <v>395</v>
      </c>
      <c r="B44" s="2" t="s">
        <v>396</v>
      </c>
      <c r="D44" s="8">
        <v>0</v>
      </c>
      <c r="E44" s="8">
        <v>0</v>
      </c>
      <c r="G44" s="8">
        <v>0</v>
      </c>
      <c r="H44" s="8">
        <v>0</v>
      </c>
      <c r="J44" s="8">
        <v>0</v>
      </c>
      <c r="K44" s="8">
        <v>0</v>
      </c>
      <c r="M44" s="8">
        <v>7.78</v>
      </c>
      <c r="N44" s="9">
        <v>124612.34999999999</v>
      </c>
      <c r="P44" s="8">
        <v>0</v>
      </c>
      <c r="Q44" s="9">
        <v>0</v>
      </c>
      <c r="S44" s="8">
        <v>0</v>
      </c>
      <c r="T44" s="8">
        <v>0</v>
      </c>
      <c r="V44" s="9">
        <f t="shared" si="2"/>
        <v>16017.011568123391</v>
      </c>
      <c r="W44" s="10">
        <v>1</v>
      </c>
      <c r="X44" s="9">
        <f t="shared" si="0"/>
        <v>16017.011568123391</v>
      </c>
      <c r="Y44" s="4">
        <v>34</v>
      </c>
      <c r="Z44" s="9">
        <f t="shared" si="1"/>
        <v>544578.39331619535</v>
      </c>
      <c r="AA44" s="9">
        <v>428633.03030665265</v>
      </c>
    </row>
    <row r="45" spans="1:27">
      <c r="A45" s="2" t="s">
        <v>397</v>
      </c>
      <c r="B45" s="2" t="s">
        <v>398</v>
      </c>
      <c r="D45" s="8">
        <v>0</v>
      </c>
      <c r="E45" s="8">
        <v>0</v>
      </c>
      <c r="G45" s="8">
        <v>0</v>
      </c>
      <c r="H45" s="8">
        <v>0</v>
      </c>
      <c r="J45" s="8">
        <v>0</v>
      </c>
      <c r="K45" s="8">
        <v>0</v>
      </c>
      <c r="M45" s="8">
        <v>17.28</v>
      </c>
      <c r="N45" s="9">
        <v>5436995.7750000004</v>
      </c>
      <c r="P45" s="8">
        <v>0</v>
      </c>
      <c r="Q45" s="9">
        <v>0</v>
      </c>
      <c r="S45" s="8">
        <v>0</v>
      </c>
      <c r="T45" s="8">
        <v>0</v>
      </c>
      <c r="V45" s="9">
        <f t="shared" si="2"/>
        <v>314640.95920138888</v>
      </c>
      <c r="W45" s="10">
        <v>4.33</v>
      </c>
      <c r="X45" s="9">
        <f t="shared" si="0"/>
        <v>1362395.3533420139</v>
      </c>
      <c r="Y45" s="4">
        <v>34</v>
      </c>
      <c r="Z45" s="9">
        <f t="shared" si="1"/>
        <v>46321442.013628475</v>
      </c>
      <c r="AA45" s="9">
        <v>36459213.773740806</v>
      </c>
    </row>
    <row r="46" spans="1:27">
      <c r="A46" s="2" t="s">
        <v>399</v>
      </c>
      <c r="B46" s="2" t="s">
        <v>400</v>
      </c>
      <c r="D46" s="8">
        <v>0</v>
      </c>
      <c r="E46" s="8">
        <v>0</v>
      </c>
      <c r="G46" s="8">
        <v>0</v>
      </c>
      <c r="H46" s="8">
        <v>0</v>
      </c>
      <c r="J46" s="8">
        <v>0</v>
      </c>
      <c r="K46" s="8">
        <v>0</v>
      </c>
      <c r="M46" s="8">
        <v>12.96</v>
      </c>
      <c r="N46" s="9">
        <v>3088</v>
      </c>
      <c r="P46" s="8">
        <v>0</v>
      </c>
      <c r="Q46" s="9">
        <v>0</v>
      </c>
      <c r="S46" s="8">
        <v>0</v>
      </c>
      <c r="T46" s="8">
        <v>0</v>
      </c>
      <c r="V46" s="9">
        <f t="shared" si="2"/>
        <v>238.27160493827159</v>
      </c>
      <c r="W46" s="10">
        <v>2.17</v>
      </c>
      <c r="X46" s="9">
        <f t="shared" si="0"/>
        <v>517.04938271604931</v>
      </c>
      <c r="Y46" s="4">
        <v>34</v>
      </c>
      <c r="Z46" s="9">
        <f t="shared" si="1"/>
        <v>17579.679012345678</v>
      </c>
      <c r="AA46" s="9">
        <v>13836.816111991526</v>
      </c>
    </row>
    <row r="47" spans="1:27">
      <c r="A47" s="2" t="s">
        <v>401</v>
      </c>
      <c r="B47" s="2" t="s">
        <v>402</v>
      </c>
      <c r="D47" s="8">
        <v>0</v>
      </c>
      <c r="E47" s="8">
        <v>0</v>
      </c>
      <c r="G47" s="8">
        <v>0</v>
      </c>
      <c r="H47" s="8">
        <v>0</v>
      </c>
      <c r="J47" s="8">
        <v>0</v>
      </c>
      <c r="K47" s="8">
        <v>0</v>
      </c>
      <c r="M47" s="8">
        <v>7.78</v>
      </c>
      <c r="N47" s="9">
        <v>691.65999999999985</v>
      </c>
      <c r="P47" s="8">
        <v>0</v>
      </c>
      <c r="Q47" s="9">
        <v>0</v>
      </c>
      <c r="S47" s="8">
        <v>0</v>
      </c>
      <c r="T47" s="8">
        <v>0</v>
      </c>
      <c r="V47" s="9">
        <f t="shared" si="2"/>
        <v>88.902313624678641</v>
      </c>
      <c r="W47" s="10">
        <v>1</v>
      </c>
      <c r="X47" s="9">
        <f t="shared" si="0"/>
        <v>88.902313624678641</v>
      </c>
      <c r="Y47" s="4">
        <v>34</v>
      </c>
      <c r="Z47" s="9">
        <f t="shared" si="1"/>
        <v>3022.678663239074</v>
      </c>
      <c r="AA47" s="9">
        <v>2379.1247155029123</v>
      </c>
    </row>
    <row r="48" spans="1:27">
      <c r="A48" s="2" t="s">
        <v>403</v>
      </c>
      <c r="B48" s="2" t="s">
        <v>404</v>
      </c>
      <c r="D48" s="8">
        <v>0</v>
      </c>
      <c r="E48" s="8">
        <v>0</v>
      </c>
      <c r="G48" s="8">
        <v>0</v>
      </c>
      <c r="H48" s="8">
        <v>0</v>
      </c>
      <c r="J48" s="8">
        <v>0</v>
      </c>
      <c r="K48" s="8">
        <v>0</v>
      </c>
      <c r="M48" s="8">
        <v>17.28</v>
      </c>
      <c r="N48" s="9">
        <v>9030.93</v>
      </c>
      <c r="P48" s="8">
        <v>0</v>
      </c>
      <c r="Q48" s="9">
        <v>0</v>
      </c>
      <c r="S48" s="8">
        <v>0</v>
      </c>
      <c r="T48" s="8">
        <v>0</v>
      </c>
      <c r="V48" s="9">
        <f t="shared" si="2"/>
        <v>522.62326388888891</v>
      </c>
      <c r="W48" s="10">
        <v>4.33</v>
      </c>
      <c r="X48" s="9">
        <f t="shared" si="0"/>
        <v>2262.9587326388892</v>
      </c>
      <c r="Y48" s="4">
        <v>34</v>
      </c>
      <c r="Z48" s="9">
        <f t="shared" si="1"/>
        <v>76940.596909722226</v>
      </c>
      <c r="AA48" s="9">
        <v>60559.29065821079</v>
      </c>
    </row>
    <row r="49" spans="1:27">
      <c r="A49" s="2" t="s">
        <v>405</v>
      </c>
      <c r="B49" s="2" t="s">
        <v>406</v>
      </c>
      <c r="D49" s="8">
        <v>0</v>
      </c>
      <c r="E49" s="8">
        <v>0</v>
      </c>
      <c r="G49" s="8">
        <v>0</v>
      </c>
      <c r="H49" s="8">
        <v>0</v>
      </c>
      <c r="J49" s="8">
        <v>0</v>
      </c>
      <c r="K49" s="8">
        <v>0</v>
      </c>
      <c r="M49" s="8">
        <v>19.45</v>
      </c>
      <c r="N49" s="9">
        <v>3271.11</v>
      </c>
      <c r="P49" s="8">
        <v>0</v>
      </c>
      <c r="Q49" s="9">
        <v>0</v>
      </c>
      <c r="S49" s="8">
        <v>0</v>
      </c>
      <c r="T49" s="8">
        <v>0</v>
      </c>
      <c r="V49" s="9">
        <f t="shared" si="2"/>
        <v>168.18046272493575</v>
      </c>
      <c r="W49" s="10">
        <v>2.17</v>
      </c>
      <c r="X49" s="9">
        <f t="shared" si="0"/>
        <v>364.95160411311059</v>
      </c>
      <c r="Y49" s="4">
        <v>34</v>
      </c>
      <c r="Z49" s="9">
        <f t="shared" si="1"/>
        <v>12408.354539845761</v>
      </c>
      <c r="AA49" s="9">
        <v>9766.5105204518713</v>
      </c>
    </row>
    <row r="50" spans="1:27">
      <c r="A50" s="2" t="s">
        <v>407</v>
      </c>
      <c r="B50" s="2" t="s">
        <v>408</v>
      </c>
      <c r="D50" s="8">
        <v>0</v>
      </c>
      <c r="E50" s="8">
        <v>0</v>
      </c>
      <c r="G50" s="8">
        <v>0</v>
      </c>
      <c r="H50" s="8">
        <v>0</v>
      </c>
      <c r="J50" s="8">
        <v>0</v>
      </c>
      <c r="K50" s="8">
        <v>0</v>
      </c>
      <c r="M50" s="8">
        <v>11.66</v>
      </c>
      <c r="N50" s="9">
        <v>1156.6600000000001</v>
      </c>
      <c r="P50" s="8">
        <v>0</v>
      </c>
      <c r="Q50" s="9">
        <v>0</v>
      </c>
      <c r="S50" s="8">
        <v>0</v>
      </c>
      <c r="T50" s="8">
        <v>0</v>
      </c>
      <c r="V50" s="9">
        <f t="shared" si="2"/>
        <v>99.198970840480285</v>
      </c>
      <c r="W50" s="10">
        <v>1</v>
      </c>
      <c r="X50" s="9">
        <f t="shared" si="0"/>
        <v>99.198970840480285</v>
      </c>
      <c r="Y50" s="4">
        <v>34</v>
      </c>
      <c r="Z50" s="9">
        <f t="shared" si="1"/>
        <v>3372.7650085763298</v>
      </c>
      <c r="AA50" s="9">
        <v>2654.6747059406739</v>
      </c>
    </row>
    <row r="51" spans="1:27">
      <c r="A51" s="2" t="s">
        <v>409</v>
      </c>
      <c r="B51" s="2" t="s">
        <v>410</v>
      </c>
      <c r="D51" s="8">
        <v>0</v>
      </c>
      <c r="E51" s="8">
        <v>0</v>
      </c>
      <c r="G51" s="8">
        <v>0</v>
      </c>
      <c r="H51" s="8">
        <v>0</v>
      </c>
      <c r="J51" s="8">
        <v>0</v>
      </c>
      <c r="K51" s="8">
        <v>0</v>
      </c>
      <c r="M51" s="8">
        <v>34.56</v>
      </c>
      <c r="N51" s="9">
        <v>2426530.3849999998</v>
      </c>
      <c r="P51" s="8">
        <v>0</v>
      </c>
      <c r="Q51" s="9">
        <v>0</v>
      </c>
      <c r="S51" s="8">
        <v>0</v>
      </c>
      <c r="T51" s="8">
        <v>0</v>
      </c>
      <c r="V51" s="9">
        <f t="shared" si="2"/>
        <v>70212.106047453693</v>
      </c>
      <c r="W51" s="10">
        <v>4.33</v>
      </c>
      <c r="X51" s="9">
        <f t="shared" si="0"/>
        <v>304018.41918547451</v>
      </c>
      <c r="Y51" s="4">
        <v>51</v>
      </c>
      <c r="Z51" s="9">
        <f t="shared" si="1"/>
        <v>15504939.3784592</v>
      </c>
      <c r="AA51" s="9">
        <v>12203806.159182535</v>
      </c>
    </row>
    <row r="52" spans="1:27">
      <c r="A52" s="2" t="s">
        <v>411</v>
      </c>
      <c r="B52" s="2" t="s">
        <v>412</v>
      </c>
      <c r="D52" s="8">
        <v>0</v>
      </c>
      <c r="E52" s="8">
        <v>0</v>
      </c>
      <c r="G52" s="8">
        <v>0</v>
      </c>
      <c r="H52" s="8">
        <v>0</v>
      </c>
      <c r="J52" s="8">
        <v>0</v>
      </c>
      <c r="K52" s="8">
        <v>0</v>
      </c>
      <c r="M52" s="8">
        <v>36.729999999999997</v>
      </c>
      <c r="N52" s="9">
        <v>633.32999999999993</v>
      </c>
      <c r="P52" s="8">
        <v>0</v>
      </c>
      <c r="Q52" s="9">
        <v>0</v>
      </c>
      <c r="S52" s="8">
        <v>0</v>
      </c>
      <c r="T52" s="8">
        <v>0</v>
      </c>
      <c r="V52" s="9">
        <f t="shared" si="2"/>
        <v>17.242853253471278</v>
      </c>
      <c r="W52" s="10">
        <v>2.17</v>
      </c>
      <c r="X52" s="9">
        <f t="shared" si="0"/>
        <v>37.41699156003267</v>
      </c>
      <c r="Y52" s="4">
        <v>51</v>
      </c>
      <c r="Z52" s="9">
        <f t="shared" si="1"/>
        <v>1908.2665695616661</v>
      </c>
      <c r="AA52" s="9">
        <v>1501.9804171135715</v>
      </c>
    </row>
    <row r="53" spans="1:27">
      <c r="A53" s="2" t="s">
        <v>413</v>
      </c>
      <c r="B53" s="2" t="s">
        <v>414</v>
      </c>
      <c r="D53" s="8">
        <v>0</v>
      </c>
      <c r="E53" s="8">
        <v>0</v>
      </c>
      <c r="G53" s="8">
        <v>0</v>
      </c>
      <c r="H53" s="8">
        <v>0</v>
      </c>
      <c r="J53" s="8">
        <v>0</v>
      </c>
      <c r="K53" s="8">
        <v>0</v>
      </c>
      <c r="M53" s="8">
        <v>12.914999999999999</v>
      </c>
      <c r="N53" s="9">
        <v>303.30999999999995</v>
      </c>
      <c r="P53" s="8">
        <v>0</v>
      </c>
      <c r="Q53" s="9">
        <v>0</v>
      </c>
      <c r="S53" s="8">
        <v>0</v>
      </c>
      <c r="T53" s="8">
        <v>0</v>
      </c>
      <c r="V53" s="9">
        <f t="shared" si="2"/>
        <v>23.485094850948506</v>
      </c>
      <c r="W53" s="10">
        <v>1</v>
      </c>
      <c r="X53" s="9">
        <f t="shared" si="0"/>
        <v>23.485094850948506</v>
      </c>
      <c r="Y53" s="4">
        <v>51</v>
      </c>
      <c r="Z53" s="9">
        <f t="shared" si="1"/>
        <v>1197.7398373983738</v>
      </c>
      <c r="AA53" s="9">
        <v>942.73085808047335</v>
      </c>
    </row>
    <row r="54" spans="1:27">
      <c r="A54" s="2" t="s">
        <v>415</v>
      </c>
      <c r="B54" s="2" t="s">
        <v>416</v>
      </c>
      <c r="D54" s="8">
        <v>0</v>
      </c>
      <c r="E54" s="8">
        <v>0</v>
      </c>
      <c r="G54" s="8">
        <v>0</v>
      </c>
      <c r="H54" s="8">
        <v>0</v>
      </c>
      <c r="J54" s="8">
        <v>0</v>
      </c>
      <c r="K54" s="8">
        <v>0</v>
      </c>
      <c r="M54" s="8">
        <v>34.56</v>
      </c>
      <c r="N54" s="9">
        <v>1625.8899999999999</v>
      </c>
      <c r="P54" s="8">
        <v>0</v>
      </c>
      <c r="Q54" s="9">
        <v>0</v>
      </c>
      <c r="S54" s="8">
        <v>0</v>
      </c>
      <c r="T54" s="8">
        <v>0</v>
      </c>
      <c r="V54" s="9">
        <f t="shared" si="2"/>
        <v>47.045428240740733</v>
      </c>
      <c r="W54" s="10">
        <v>4.33</v>
      </c>
      <c r="X54" s="9">
        <f t="shared" si="0"/>
        <v>203.70670428240737</v>
      </c>
      <c r="Y54" s="4">
        <v>51</v>
      </c>
      <c r="Z54" s="9">
        <f t="shared" si="1"/>
        <v>10389.041918402776</v>
      </c>
      <c r="AA54" s="9">
        <v>8177.1266986023302</v>
      </c>
    </row>
    <row r="55" spans="1:27">
      <c r="A55" s="2" t="s">
        <v>417</v>
      </c>
      <c r="B55" s="2" t="s">
        <v>418</v>
      </c>
      <c r="D55" s="8">
        <v>0</v>
      </c>
      <c r="E55" s="8">
        <v>0</v>
      </c>
      <c r="G55" s="8">
        <v>0</v>
      </c>
      <c r="H55" s="8">
        <v>0</v>
      </c>
      <c r="J55" s="8">
        <v>0</v>
      </c>
      <c r="K55" s="8">
        <v>0</v>
      </c>
      <c r="M55" s="8">
        <v>43.2</v>
      </c>
      <c r="N55" s="9">
        <v>1451.87</v>
      </c>
      <c r="P55" s="8">
        <v>0</v>
      </c>
      <c r="Q55" s="9">
        <v>0</v>
      </c>
      <c r="S55" s="8">
        <v>0</v>
      </c>
      <c r="T55" s="8">
        <v>0</v>
      </c>
      <c r="V55" s="9">
        <f t="shared" si="2"/>
        <v>33.608101851851849</v>
      </c>
      <c r="W55" s="10">
        <v>4.33</v>
      </c>
      <c r="X55" s="9">
        <f t="shared" si="0"/>
        <v>145.5230810185185</v>
      </c>
      <c r="Y55" s="4">
        <v>51</v>
      </c>
      <c r="Z55" s="9">
        <f t="shared" si="1"/>
        <v>7421.6771319444433</v>
      </c>
      <c r="AA55" s="9">
        <v>5841.5390659391542</v>
      </c>
    </row>
    <row r="56" spans="1:27">
      <c r="A56" s="2" t="s">
        <v>419</v>
      </c>
      <c r="B56" s="2" t="s">
        <v>420</v>
      </c>
      <c r="D56" s="8">
        <v>0</v>
      </c>
      <c r="E56" s="8">
        <v>0</v>
      </c>
      <c r="G56" s="8">
        <v>0</v>
      </c>
      <c r="H56" s="8">
        <v>0</v>
      </c>
      <c r="J56" s="8">
        <v>0</v>
      </c>
      <c r="K56" s="8">
        <v>0</v>
      </c>
      <c r="M56" s="8">
        <v>17.28</v>
      </c>
      <c r="N56" s="9">
        <v>186665.28999999998</v>
      </c>
      <c r="P56" s="8">
        <v>0</v>
      </c>
      <c r="Q56" s="9">
        <v>0</v>
      </c>
      <c r="S56" s="8">
        <v>0</v>
      </c>
      <c r="T56" s="8">
        <v>0</v>
      </c>
      <c r="V56" s="9">
        <f t="shared" si="2"/>
        <v>10802.389467592591</v>
      </c>
      <c r="W56" s="10">
        <v>2.17</v>
      </c>
      <c r="X56" s="9">
        <f t="shared" si="0"/>
        <v>23441.185144675921</v>
      </c>
      <c r="Y56" s="4">
        <v>51</v>
      </c>
      <c r="Z56" s="9">
        <f t="shared" si="1"/>
        <v>1195500.4423784721</v>
      </c>
      <c r="AA56" s="9">
        <v>940968.24927113566</v>
      </c>
    </row>
    <row r="57" spans="1:27">
      <c r="A57" s="2" t="s">
        <v>421</v>
      </c>
      <c r="B57" s="2" t="s">
        <v>422</v>
      </c>
      <c r="D57" s="8">
        <v>0</v>
      </c>
      <c r="E57" s="8">
        <v>0</v>
      </c>
      <c r="G57" s="8">
        <v>0</v>
      </c>
      <c r="H57" s="8">
        <v>0</v>
      </c>
      <c r="J57" s="8">
        <v>0</v>
      </c>
      <c r="K57" s="8">
        <v>0</v>
      </c>
      <c r="M57" s="8">
        <v>60.47</v>
      </c>
      <c r="N57" s="9">
        <v>2563.6350000000002</v>
      </c>
      <c r="P57" s="8">
        <v>0</v>
      </c>
      <c r="Q57" s="9">
        <v>0</v>
      </c>
      <c r="S57" s="8">
        <v>0</v>
      </c>
      <c r="T57" s="8">
        <v>0</v>
      </c>
      <c r="V57" s="9">
        <f t="shared" si="2"/>
        <v>42.395154622126675</v>
      </c>
      <c r="W57" s="10">
        <v>4.33</v>
      </c>
      <c r="X57" s="9">
        <f t="shared" si="0"/>
        <v>183.57101951380849</v>
      </c>
      <c r="Y57" s="4">
        <v>77</v>
      </c>
      <c r="Z57" s="9">
        <f t="shared" si="1"/>
        <v>14134.968502563253</v>
      </c>
      <c r="AA57" s="9">
        <v>11125.513712816255</v>
      </c>
    </row>
    <row r="58" spans="1:27">
      <c r="A58" s="2" t="s">
        <v>423</v>
      </c>
      <c r="B58" s="2" t="s">
        <v>424</v>
      </c>
      <c r="D58" s="8">
        <v>0</v>
      </c>
      <c r="E58" s="8">
        <v>0</v>
      </c>
      <c r="G58" s="8">
        <v>0</v>
      </c>
      <c r="H58" s="8">
        <v>0</v>
      </c>
      <c r="J58" s="8">
        <v>0</v>
      </c>
      <c r="K58" s="8">
        <v>0</v>
      </c>
      <c r="M58" s="8">
        <v>51.83</v>
      </c>
      <c r="N58" s="9">
        <v>366090.32499999995</v>
      </c>
      <c r="P58" s="8">
        <v>0</v>
      </c>
      <c r="Q58" s="9">
        <v>0</v>
      </c>
      <c r="S58" s="8">
        <v>0</v>
      </c>
      <c r="T58" s="8">
        <v>0</v>
      </c>
      <c r="V58" s="9">
        <f t="shared" si="2"/>
        <v>7063.2900829635337</v>
      </c>
      <c r="W58" s="10">
        <v>4.33</v>
      </c>
      <c r="X58" s="9">
        <f t="shared" si="0"/>
        <v>30584.0460592321</v>
      </c>
      <c r="Y58" s="4">
        <v>77</v>
      </c>
      <c r="Z58" s="9">
        <f t="shared" si="1"/>
        <v>2354971.5465608719</v>
      </c>
      <c r="AA58" s="9">
        <v>1853578.1123108901</v>
      </c>
    </row>
    <row r="59" spans="1:27">
      <c r="A59" s="2" t="s">
        <v>425</v>
      </c>
      <c r="B59" s="2" t="s">
        <v>426</v>
      </c>
      <c r="D59" s="8">
        <v>0</v>
      </c>
      <c r="E59" s="8">
        <v>0</v>
      </c>
      <c r="G59" s="8">
        <v>0</v>
      </c>
      <c r="H59" s="8">
        <v>0</v>
      </c>
      <c r="J59" s="8">
        <v>18.86</v>
      </c>
      <c r="K59" s="8">
        <v>653.4</v>
      </c>
      <c r="M59" s="8">
        <v>14.28</v>
      </c>
      <c r="N59" s="9">
        <v>21022.659999999996</v>
      </c>
      <c r="P59" s="8">
        <v>22.78</v>
      </c>
      <c r="Q59" s="9">
        <v>1318.61</v>
      </c>
      <c r="S59" s="8">
        <v>0</v>
      </c>
      <c r="T59" s="8">
        <v>0</v>
      </c>
      <c r="V59" s="9">
        <f t="shared" si="2"/>
        <v>1564.7043686723355</v>
      </c>
      <c r="W59" s="10">
        <v>1</v>
      </c>
      <c r="X59" s="9">
        <f t="shared" si="0"/>
        <v>1564.7043686723355</v>
      </c>
      <c r="Y59" s="4">
        <v>34</v>
      </c>
      <c r="Z59" s="9">
        <f t="shared" si="1"/>
        <v>53199.948534859403</v>
      </c>
      <c r="AA59" s="9">
        <v>41873.227863108827</v>
      </c>
    </row>
    <row r="60" spans="1:27">
      <c r="A60" s="2" t="s">
        <v>427</v>
      </c>
      <c r="B60" s="2" t="s">
        <v>428</v>
      </c>
      <c r="D60" s="8">
        <v>0</v>
      </c>
      <c r="E60" s="8">
        <v>0</v>
      </c>
      <c r="G60" s="8">
        <v>0</v>
      </c>
      <c r="H60" s="8">
        <v>0</v>
      </c>
      <c r="J60" s="8">
        <v>0</v>
      </c>
      <c r="K60" s="8">
        <v>0</v>
      </c>
      <c r="M60" s="8">
        <v>0</v>
      </c>
      <c r="N60" s="9">
        <v>0</v>
      </c>
      <c r="P60" s="8">
        <v>6.5</v>
      </c>
      <c r="Q60" s="9">
        <v>0</v>
      </c>
      <c r="S60" s="8">
        <v>0</v>
      </c>
      <c r="T60" s="8">
        <v>0</v>
      </c>
      <c r="V60" s="9">
        <f t="shared" si="2"/>
        <v>0</v>
      </c>
      <c r="W60" s="10">
        <v>1</v>
      </c>
      <c r="X60" s="9">
        <f t="shared" si="0"/>
        <v>0</v>
      </c>
      <c r="Y60" s="4">
        <v>34</v>
      </c>
      <c r="Z60" s="9">
        <f t="shared" si="1"/>
        <v>0</v>
      </c>
      <c r="AA60" s="9">
        <v>0</v>
      </c>
    </row>
    <row r="61" spans="1:27">
      <c r="A61" s="2" t="s">
        <v>103</v>
      </c>
      <c r="B61" s="2" t="s">
        <v>104</v>
      </c>
      <c r="D61" s="8">
        <v>0</v>
      </c>
      <c r="E61" s="8">
        <v>0</v>
      </c>
      <c r="G61" s="8">
        <v>0</v>
      </c>
      <c r="H61" s="8">
        <v>0</v>
      </c>
      <c r="J61" s="8">
        <v>5.68</v>
      </c>
      <c r="K61" s="8">
        <v>24621.519999999997</v>
      </c>
      <c r="M61" s="8">
        <v>6.8</v>
      </c>
      <c r="N61" s="9">
        <v>256660.52</v>
      </c>
      <c r="P61" s="8">
        <v>7.88</v>
      </c>
      <c r="Q61" s="9">
        <v>21264.92</v>
      </c>
      <c r="S61" s="8">
        <v>0</v>
      </c>
      <c r="T61" s="8">
        <v>0</v>
      </c>
      <c r="V61" s="9">
        <f t="shared" si="2"/>
        <v>44777.562674163819</v>
      </c>
      <c r="W61" s="10">
        <v>1</v>
      </c>
      <c r="X61" s="9">
        <f t="shared" si="0"/>
        <v>44777.562674163819</v>
      </c>
      <c r="Y61" s="4">
        <v>34</v>
      </c>
      <c r="Z61" s="9">
        <f t="shared" si="1"/>
        <v>1522437.1309215699</v>
      </c>
      <c r="AA61" s="9">
        <v>1198297.3413698815</v>
      </c>
    </row>
    <row r="62" spans="1:27">
      <c r="A62" s="2" t="s">
        <v>105</v>
      </c>
      <c r="B62" s="2" t="s">
        <v>106</v>
      </c>
      <c r="D62" s="8">
        <v>0</v>
      </c>
      <c r="E62" s="8">
        <v>0</v>
      </c>
      <c r="G62" s="8">
        <v>0</v>
      </c>
      <c r="H62" s="8">
        <v>0</v>
      </c>
      <c r="J62" s="8">
        <v>6.94</v>
      </c>
      <c r="K62" s="8">
        <v>0</v>
      </c>
      <c r="M62" s="8">
        <v>7.78</v>
      </c>
      <c r="N62" s="9">
        <v>94.339999999999989</v>
      </c>
      <c r="P62" s="8">
        <v>8.01</v>
      </c>
      <c r="Q62" s="9">
        <v>0</v>
      </c>
      <c r="S62" s="8">
        <v>0</v>
      </c>
      <c r="T62" s="8">
        <v>0</v>
      </c>
      <c r="V62" s="9">
        <f t="shared" si="2"/>
        <v>12.125964010282775</v>
      </c>
      <c r="W62" s="10">
        <v>1</v>
      </c>
      <c r="X62" s="9">
        <f t="shared" si="0"/>
        <v>12.125964010282775</v>
      </c>
      <c r="Y62" s="4">
        <v>34</v>
      </c>
      <c r="Z62" s="9">
        <f t="shared" si="1"/>
        <v>412.28277634961438</v>
      </c>
      <c r="AA62" s="9">
        <v>324.50427328534943</v>
      </c>
    </row>
    <row r="63" spans="1:27">
      <c r="A63" s="2" t="s">
        <v>109</v>
      </c>
      <c r="B63" s="2" t="s">
        <v>108</v>
      </c>
      <c r="D63" s="8">
        <v>0</v>
      </c>
      <c r="E63" s="8">
        <v>0</v>
      </c>
      <c r="G63" s="8">
        <v>0</v>
      </c>
      <c r="H63" s="8">
        <v>0</v>
      </c>
      <c r="J63" s="8">
        <v>5.68</v>
      </c>
      <c r="K63" s="8">
        <v>22.72</v>
      </c>
      <c r="M63" s="8">
        <v>6.8</v>
      </c>
      <c r="N63" s="9">
        <v>2502.6999999999998</v>
      </c>
      <c r="P63" s="8">
        <v>7.88</v>
      </c>
      <c r="Q63" s="9">
        <v>7.88</v>
      </c>
      <c r="S63" s="8">
        <v>0</v>
      </c>
      <c r="T63" s="8">
        <v>0</v>
      </c>
      <c r="V63" s="9">
        <f t="shared" si="2"/>
        <v>373.04411764705878</v>
      </c>
      <c r="W63" s="10">
        <v>1</v>
      </c>
      <c r="X63" s="9">
        <f t="shared" si="0"/>
        <v>373.04411764705878</v>
      </c>
      <c r="Y63" s="4">
        <v>34</v>
      </c>
      <c r="Z63" s="9">
        <f t="shared" si="1"/>
        <v>12683.499999999998</v>
      </c>
      <c r="AA63" s="9">
        <v>9983.0751763554199</v>
      </c>
    </row>
    <row r="64" spans="1:27">
      <c r="A64" s="2" t="s">
        <v>107</v>
      </c>
      <c r="B64" s="2" t="s">
        <v>108</v>
      </c>
      <c r="D64" s="8">
        <v>0</v>
      </c>
      <c r="E64" s="8">
        <v>0</v>
      </c>
      <c r="G64" s="8">
        <v>0</v>
      </c>
      <c r="H64" s="8">
        <v>0</v>
      </c>
      <c r="J64" s="8">
        <v>5.68</v>
      </c>
      <c r="K64" s="8">
        <v>1282.08</v>
      </c>
      <c r="M64" s="8">
        <v>6.8</v>
      </c>
      <c r="N64" s="9">
        <v>58412.08</v>
      </c>
      <c r="P64" s="8">
        <v>7.88</v>
      </c>
      <c r="Q64" s="9">
        <v>4475.84</v>
      </c>
      <c r="S64" s="8">
        <v>0</v>
      </c>
      <c r="T64" s="8">
        <v>0</v>
      </c>
      <c r="V64" s="9">
        <f t="shared" si="2"/>
        <v>9383.7300745650373</v>
      </c>
      <c r="W64" s="10">
        <v>1</v>
      </c>
      <c r="X64" s="9">
        <f t="shared" si="0"/>
        <v>9383.7300745650373</v>
      </c>
      <c r="Y64" s="4">
        <v>34</v>
      </c>
      <c r="Z64" s="9">
        <f t="shared" si="1"/>
        <v>319046.82253521128</v>
      </c>
      <c r="AA64" s="9">
        <v>251119.04554313407</v>
      </c>
    </row>
    <row r="65" spans="1:27" ht="6.75" customHeight="1">
      <c r="A65" s="2"/>
      <c r="B65" s="2"/>
      <c r="N65" s="129"/>
      <c r="Q65" s="129"/>
      <c r="Z65" s="129"/>
      <c r="AA65" s="129"/>
    </row>
    <row r="66" spans="1:27">
      <c r="A66" s="11"/>
      <c r="B66" s="12" t="s">
        <v>429</v>
      </c>
      <c r="C66" s="7"/>
      <c r="D66" s="140">
        <f>+SUM(D12:D65)</f>
        <v>0</v>
      </c>
      <c r="E66" s="140">
        <f>+SUM(E12:E65)</f>
        <v>0</v>
      </c>
      <c r="F66" s="7"/>
      <c r="G66" s="140">
        <f>+SUM(G12:G65)</f>
        <v>0</v>
      </c>
      <c r="H66" s="140">
        <f>+SUM(H12:H65)</f>
        <v>0</v>
      </c>
      <c r="I66" s="7"/>
      <c r="J66" s="140">
        <f>+SUM(J12:J65)</f>
        <v>212.76</v>
      </c>
      <c r="K66" s="140">
        <f>+SUM(K12:K65)</f>
        <v>444491.26000000013</v>
      </c>
      <c r="L66" s="7"/>
      <c r="M66" s="140">
        <f>+SUM(M12:M65)</f>
        <v>617.83499999999992</v>
      </c>
      <c r="N66" s="15">
        <f>+SUM(N12:N65)</f>
        <v>10092427.884999998</v>
      </c>
      <c r="O66" s="7"/>
      <c r="P66" s="140">
        <f>+SUM(P12:P65)</f>
        <v>248.04</v>
      </c>
      <c r="Q66" s="15">
        <f>+SUM(Q12:Q65)</f>
        <v>1087271.1399999999</v>
      </c>
      <c r="R66" s="7"/>
      <c r="S66" s="140">
        <f>+SUM(S12:S65)</f>
        <v>0</v>
      </c>
      <c r="T66" s="140">
        <f>+SUM(T12:T65)</f>
        <v>0</v>
      </c>
      <c r="U66" s="7"/>
      <c r="V66" s="15">
        <f t="shared" ref="V66:AA66" si="3">+SUM(V12:V65)</f>
        <v>656317.12430708122</v>
      </c>
      <c r="W66" s="15">
        <f t="shared" si="3"/>
        <v>154.79000000000002</v>
      </c>
      <c r="X66" s="13">
        <f t="shared" si="3"/>
        <v>2380177.0711210156</v>
      </c>
      <c r="Y66" s="15">
        <f t="shared" si="3"/>
        <v>2354</v>
      </c>
      <c r="Z66" s="15">
        <f t="shared" si="3"/>
        <v>89212939.900357455</v>
      </c>
      <c r="AA66" s="15">
        <f t="shared" si="3"/>
        <v>70218747.642917678</v>
      </c>
    </row>
    <row r="67" spans="1:27">
      <c r="A67" s="11"/>
      <c r="B67" s="11"/>
    </row>
    <row r="68" spans="1:27">
      <c r="A68" s="141"/>
      <c r="B68" s="4"/>
    </row>
    <row r="69" spans="1:27">
      <c r="A69" s="137" t="s">
        <v>111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</row>
    <row r="70" spans="1:27">
      <c r="A70" s="5"/>
      <c r="B70" s="5"/>
    </row>
    <row r="71" spans="1:27">
      <c r="A71" s="139" t="s">
        <v>430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</row>
    <row r="72" spans="1:27">
      <c r="A72" s="147" t="s">
        <v>431</v>
      </c>
      <c r="B72" s="147" t="s">
        <v>432</v>
      </c>
      <c r="D72" s="8">
        <v>0</v>
      </c>
      <c r="E72" s="8">
        <v>0</v>
      </c>
      <c r="G72" s="8">
        <v>0</v>
      </c>
      <c r="H72" s="8">
        <v>0</v>
      </c>
      <c r="J72" s="8">
        <v>0</v>
      </c>
      <c r="K72" s="8">
        <v>0</v>
      </c>
      <c r="M72" s="8">
        <v>331.08</v>
      </c>
      <c r="N72" s="9">
        <v>3886.92</v>
      </c>
      <c r="P72" s="8">
        <v>0</v>
      </c>
      <c r="Q72" s="9">
        <v>0</v>
      </c>
      <c r="S72" s="8">
        <v>0</v>
      </c>
      <c r="T72" s="8">
        <v>0</v>
      </c>
      <c r="V72" s="9">
        <f t="shared" ref="V72:V135" si="4">+IFERROR((E72/D72),0)+IFERROR((H72/G72),0)+IFERROR((K72/J72),0)+IFERROR((N72/M72),0)+IFERROR((Q72/P72),0)+IFERROR((T72/S72),0)</f>
        <v>11.740123233055456</v>
      </c>
      <c r="W72" s="10">
        <v>4.33</v>
      </c>
      <c r="X72" s="9">
        <f t="shared" ref="X72:X135" si="5">+V72*W72</f>
        <v>50.834733599130125</v>
      </c>
      <c r="Y72" s="146">
        <f>References!$C$55</f>
        <v>1000</v>
      </c>
      <c r="Z72" s="9">
        <f t="shared" ref="Z72:Z135" si="6">+X72*Y72</f>
        <v>50834.733599130122</v>
      </c>
      <c r="AA72" s="9">
        <v>40011.587266142371</v>
      </c>
    </row>
    <row r="73" spans="1:27">
      <c r="A73" s="147" t="s">
        <v>433</v>
      </c>
      <c r="B73" s="147" t="s">
        <v>120</v>
      </c>
      <c r="D73" s="8">
        <v>0</v>
      </c>
      <c r="E73" s="8">
        <v>0</v>
      </c>
      <c r="G73" s="8">
        <v>0</v>
      </c>
      <c r="H73" s="8">
        <v>0</v>
      </c>
      <c r="J73" s="8">
        <v>113.66</v>
      </c>
      <c r="K73" s="8">
        <v>7936.22</v>
      </c>
      <c r="M73" s="8">
        <v>0</v>
      </c>
      <c r="N73" s="9">
        <v>0</v>
      </c>
      <c r="P73" s="8">
        <v>0</v>
      </c>
      <c r="Q73" s="9">
        <v>0</v>
      </c>
      <c r="S73" s="8">
        <v>0</v>
      </c>
      <c r="T73" s="8">
        <v>0</v>
      </c>
      <c r="V73" s="9">
        <f t="shared" si="4"/>
        <v>69.82421256378673</v>
      </c>
      <c r="W73" s="10">
        <v>4.33</v>
      </c>
      <c r="X73" s="9">
        <f t="shared" si="5"/>
        <v>302.33884040119653</v>
      </c>
      <c r="Y73" s="4">
        <v>250</v>
      </c>
      <c r="Z73" s="9">
        <f t="shared" si="6"/>
        <v>75584.71010029914</v>
      </c>
      <c r="AA73" s="9">
        <v>59492.083661001867</v>
      </c>
    </row>
    <row r="74" spans="1:27">
      <c r="A74" s="147" t="s">
        <v>434</v>
      </c>
      <c r="B74" s="147" t="s">
        <v>120</v>
      </c>
      <c r="D74" s="8">
        <v>0</v>
      </c>
      <c r="E74" s="8">
        <v>0</v>
      </c>
      <c r="G74" s="8">
        <v>0</v>
      </c>
      <c r="H74" s="8">
        <v>0</v>
      </c>
      <c r="J74" s="8">
        <v>0</v>
      </c>
      <c r="K74" s="8">
        <v>0</v>
      </c>
      <c r="M74" s="8">
        <v>147.5</v>
      </c>
      <c r="N74" s="9">
        <v>254966.86000000002</v>
      </c>
      <c r="P74" s="8">
        <v>0</v>
      </c>
      <c r="Q74" s="9">
        <v>0</v>
      </c>
      <c r="S74" s="8">
        <v>0</v>
      </c>
      <c r="T74" s="8">
        <v>0</v>
      </c>
      <c r="V74" s="9">
        <f t="shared" si="4"/>
        <v>1728.5888813559322</v>
      </c>
      <c r="W74" s="10">
        <v>4.33</v>
      </c>
      <c r="X74" s="9">
        <f t="shared" si="5"/>
        <v>7484.7898562711871</v>
      </c>
      <c r="Y74" s="4">
        <v>250</v>
      </c>
      <c r="Z74" s="9">
        <f t="shared" si="6"/>
        <v>1871197.4640677967</v>
      </c>
      <c r="AA74" s="9">
        <v>1472803.6388689585</v>
      </c>
    </row>
    <row r="75" spans="1:27">
      <c r="A75" s="147" t="s">
        <v>119</v>
      </c>
      <c r="B75" s="147" t="s">
        <v>120</v>
      </c>
      <c r="D75" s="8">
        <v>0</v>
      </c>
      <c r="E75" s="8">
        <v>0</v>
      </c>
      <c r="G75" s="8">
        <v>0</v>
      </c>
      <c r="H75" s="8">
        <v>0</v>
      </c>
      <c r="J75" s="8">
        <v>0</v>
      </c>
      <c r="K75" s="8">
        <v>0</v>
      </c>
      <c r="M75" s="8">
        <v>147.5</v>
      </c>
      <c r="N75" s="9">
        <v>24.65</v>
      </c>
      <c r="P75" s="8">
        <v>0</v>
      </c>
      <c r="Q75" s="9">
        <v>0</v>
      </c>
      <c r="S75" s="8">
        <v>0</v>
      </c>
      <c r="T75" s="8">
        <v>0</v>
      </c>
      <c r="V75" s="9">
        <f t="shared" si="4"/>
        <v>0.16711864406779661</v>
      </c>
      <c r="W75" s="10">
        <v>4.33</v>
      </c>
      <c r="X75" s="9">
        <f t="shared" si="5"/>
        <v>0.7236237288135593</v>
      </c>
      <c r="Y75" s="4">
        <v>250</v>
      </c>
      <c r="Z75" s="9">
        <f t="shared" si="6"/>
        <v>180.90593220338982</v>
      </c>
      <c r="AA75" s="9">
        <v>142.38952347814859</v>
      </c>
    </row>
    <row r="76" spans="1:27">
      <c r="A76" s="147" t="s">
        <v>435</v>
      </c>
      <c r="B76" s="147" t="s">
        <v>120</v>
      </c>
      <c r="D76" s="8">
        <v>0</v>
      </c>
      <c r="E76" s="8">
        <v>0</v>
      </c>
      <c r="G76" s="8">
        <v>0</v>
      </c>
      <c r="H76" s="8">
        <v>0</v>
      </c>
      <c r="J76" s="8">
        <v>0</v>
      </c>
      <c r="K76" s="8">
        <v>0</v>
      </c>
      <c r="M76" s="8">
        <v>0</v>
      </c>
      <c r="N76" s="9">
        <v>0</v>
      </c>
      <c r="P76" s="8">
        <v>155.71</v>
      </c>
      <c r="Q76" s="9">
        <v>25709.5</v>
      </c>
      <c r="S76" s="8">
        <v>0</v>
      </c>
      <c r="T76" s="8">
        <v>0</v>
      </c>
      <c r="V76" s="9">
        <f t="shared" si="4"/>
        <v>165.11142508509408</v>
      </c>
      <c r="W76" s="10">
        <v>4.33</v>
      </c>
      <c r="X76" s="9">
        <f t="shared" si="5"/>
        <v>714.93247061845739</v>
      </c>
      <c r="Y76" s="4">
        <v>250</v>
      </c>
      <c r="Z76" s="9">
        <f t="shared" si="6"/>
        <v>178733.11765461435</v>
      </c>
      <c r="AA76" s="9">
        <v>140679.31959241483</v>
      </c>
    </row>
    <row r="77" spans="1:27">
      <c r="A77" s="147" t="s">
        <v>436</v>
      </c>
      <c r="B77" s="147" t="s">
        <v>122</v>
      </c>
      <c r="D77" s="8">
        <v>0</v>
      </c>
      <c r="E77" s="8">
        <v>0</v>
      </c>
      <c r="G77" s="8">
        <v>0</v>
      </c>
      <c r="H77" s="8">
        <v>0</v>
      </c>
      <c r="J77" s="8">
        <v>0</v>
      </c>
      <c r="K77" s="8">
        <v>0</v>
      </c>
      <c r="M77" s="8">
        <v>294.99</v>
      </c>
      <c r="N77" s="9">
        <v>20210.18</v>
      </c>
      <c r="P77" s="8">
        <v>0</v>
      </c>
      <c r="Q77" s="9">
        <v>0</v>
      </c>
      <c r="S77" s="8">
        <v>0</v>
      </c>
      <c r="T77" s="8">
        <v>0</v>
      </c>
      <c r="V77" s="9">
        <f t="shared" si="4"/>
        <v>68.511407166344625</v>
      </c>
      <c r="W77" s="10">
        <v>8.66</v>
      </c>
      <c r="X77" s="9">
        <f t="shared" si="5"/>
        <v>593.30878606054443</v>
      </c>
      <c r="Y77" s="4">
        <v>250</v>
      </c>
      <c r="Z77" s="9">
        <f t="shared" si="6"/>
        <v>148327.19651513611</v>
      </c>
      <c r="AA77" s="9">
        <v>116747.07718757816</v>
      </c>
    </row>
    <row r="78" spans="1:27">
      <c r="A78" s="147" t="s">
        <v>437</v>
      </c>
      <c r="B78" s="147" t="s">
        <v>438</v>
      </c>
      <c r="D78" s="8">
        <v>0</v>
      </c>
      <c r="E78" s="8">
        <v>0</v>
      </c>
      <c r="G78" s="8">
        <v>0</v>
      </c>
      <c r="H78" s="8">
        <v>0</v>
      </c>
      <c r="J78" s="8">
        <v>0</v>
      </c>
      <c r="K78" s="8">
        <v>0</v>
      </c>
      <c r="M78" s="8">
        <v>442.49</v>
      </c>
      <c r="N78" s="9">
        <v>0</v>
      </c>
      <c r="P78" s="8">
        <v>0</v>
      </c>
      <c r="Q78" s="9">
        <v>0</v>
      </c>
      <c r="S78" s="8">
        <v>0</v>
      </c>
      <c r="T78" s="8">
        <v>0</v>
      </c>
      <c r="V78" s="9">
        <f t="shared" si="4"/>
        <v>0</v>
      </c>
      <c r="W78" s="10">
        <v>12.99</v>
      </c>
      <c r="X78" s="9">
        <f t="shared" si="5"/>
        <v>0</v>
      </c>
      <c r="Y78" s="4">
        <v>250</v>
      </c>
      <c r="Z78" s="9">
        <f t="shared" si="6"/>
        <v>0</v>
      </c>
      <c r="AA78" s="9">
        <v>0</v>
      </c>
    </row>
    <row r="79" spans="1:27">
      <c r="A79" s="147" t="s">
        <v>439</v>
      </c>
      <c r="B79" s="147" t="s">
        <v>440</v>
      </c>
      <c r="D79" s="8">
        <v>0</v>
      </c>
      <c r="E79" s="8">
        <v>0</v>
      </c>
      <c r="G79" s="8">
        <v>0</v>
      </c>
      <c r="H79" s="8">
        <v>0</v>
      </c>
      <c r="J79" s="8">
        <v>0</v>
      </c>
      <c r="K79" s="8">
        <v>0</v>
      </c>
      <c r="M79" s="8">
        <v>589.99</v>
      </c>
      <c r="N79" s="9">
        <v>6926.5199999999986</v>
      </c>
      <c r="P79" s="8">
        <v>0</v>
      </c>
      <c r="Q79" s="9">
        <v>0</v>
      </c>
      <c r="S79" s="8">
        <v>0</v>
      </c>
      <c r="T79" s="8">
        <v>0</v>
      </c>
      <c r="V79" s="9">
        <f t="shared" si="4"/>
        <v>11.740063390904927</v>
      </c>
      <c r="W79" s="10">
        <v>17.32</v>
      </c>
      <c r="X79" s="9">
        <f t="shared" si="5"/>
        <v>203.33789793047333</v>
      </c>
      <c r="Y79" s="4">
        <v>250</v>
      </c>
      <c r="Z79" s="9">
        <f t="shared" si="6"/>
        <v>50834.474482618331</v>
      </c>
      <c r="AA79" s="9">
        <v>40011.38331773565</v>
      </c>
    </row>
    <row r="80" spans="1:27">
      <c r="A80" s="148" t="s">
        <v>441</v>
      </c>
      <c r="B80" s="147" t="s">
        <v>442</v>
      </c>
      <c r="D80" s="8">
        <v>0</v>
      </c>
      <c r="E80" s="8">
        <v>0</v>
      </c>
      <c r="G80" s="8">
        <v>0</v>
      </c>
      <c r="H80" s="8">
        <v>0</v>
      </c>
      <c r="J80" s="8">
        <v>0</v>
      </c>
      <c r="K80" s="8">
        <v>0</v>
      </c>
      <c r="M80" s="8">
        <v>884.98</v>
      </c>
      <c r="N80" s="9">
        <v>0</v>
      </c>
      <c r="P80" s="8">
        <v>0</v>
      </c>
      <c r="Q80" s="9">
        <v>0</v>
      </c>
      <c r="S80" s="8">
        <v>0</v>
      </c>
      <c r="T80" s="8">
        <v>0</v>
      </c>
      <c r="V80" s="9">
        <f t="shared" si="4"/>
        <v>0</v>
      </c>
      <c r="W80" s="8">
        <v>25.98</v>
      </c>
      <c r="X80" s="9">
        <f t="shared" si="5"/>
        <v>0</v>
      </c>
      <c r="Y80" s="4">
        <v>250</v>
      </c>
      <c r="Z80" s="9">
        <f t="shared" si="6"/>
        <v>0</v>
      </c>
      <c r="AA80" s="9">
        <v>0</v>
      </c>
    </row>
    <row r="81" spans="1:27">
      <c r="A81" s="147" t="s">
        <v>123</v>
      </c>
      <c r="B81" s="147" t="s">
        <v>124</v>
      </c>
      <c r="D81" s="8">
        <v>0</v>
      </c>
      <c r="E81" s="8">
        <v>0</v>
      </c>
      <c r="G81" s="8">
        <v>0</v>
      </c>
      <c r="H81" s="8">
        <v>0</v>
      </c>
      <c r="J81" s="8">
        <v>0</v>
      </c>
      <c r="K81" s="8">
        <v>0</v>
      </c>
      <c r="M81" s="8">
        <v>0</v>
      </c>
      <c r="N81" s="9">
        <v>0</v>
      </c>
      <c r="P81" s="8">
        <v>0</v>
      </c>
      <c r="Q81" s="9">
        <v>0</v>
      </c>
      <c r="S81" s="8">
        <v>0</v>
      </c>
      <c r="T81" s="8">
        <v>0</v>
      </c>
      <c r="V81" s="9">
        <f t="shared" si="4"/>
        <v>0</v>
      </c>
      <c r="W81" s="10">
        <v>2.17</v>
      </c>
      <c r="X81" s="9">
        <f t="shared" si="5"/>
        <v>0</v>
      </c>
      <c r="Y81" s="4">
        <v>250</v>
      </c>
      <c r="Z81" s="9">
        <f t="shared" si="6"/>
        <v>0</v>
      </c>
      <c r="AA81" s="9">
        <v>0</v>
      </c>
    </row>
    <row r="82" spans="1:27">
      <c r="A82" s="147" t="s">
        <v>443</v>
      </c>
      <c r="B82" s="147" t="s">
        <v>114</v>
      </c>
      <c r="D82" s="8">
        <v>0</v>
      </c>
      <c r="E82" s="8">
        <v>0</v>
      </c>
      <c r="G82" s="8">
        <v>0</v>
      </c>
      <c r="H82" s="8">
        <v>0</v>
      </c>
      <c r="J82" s="8">
        <v>92.13</v>
      </c>
      <c r="K82" s="8">
        <v>14754.48</v>
      </c>
      <c r="M82" s="8">
        <v>0</v>
      </c>
      <c r="N82" s="9">
        <v>0</v>
      </c>
      <c r="P82" s="8">
        <v>0</v>
      </c>
      <c r="Q82" s="9">
        <v>0</v>
      </c>
      <c r="S82" s="8">
        <v>0</v>
      </c>
      <c r="T82" s="8">
        <v>0</v>
      </c>
      <c r="V82" s="9">
        <f t="shared" si="4"/>
        <v>160.14848583523283</v>
      </c>
      <c r="W82" s="10">
        <v>4.33</v>
      </c>
      <c r="X82" s="9">
        <f t="shared" si="5"/>
        <v>693.44294366655822</v>
      </c>
      <c r="Y82" s="4">
        <v>175</v>
      </c>
      <c r="Z82" s="9">
        <f t="shared" si="6"/>
        <v>121352.51514164769</v>
      </c>
      <c r="AA82" s="9">
        <v>95515.534473834385</v>
      </c>
    </row>
    <row r="83" spans="1:27">
      <c r="A83" s="147" t="s">
        <v>113</v>
      </c>
      <c r="B83" s="147" t="s">
        <v>114</v>
      </c>
      <c r="D83" s="8">
        <v>0</v>
      </c>
      <c r="E83" s="8">
        <v>0</v>
      </c>
      <c r="G83" s="8">
        <v>0</v>
      </c>
      <c r="H83" s="8">
        <v>0</v>
      </c>
      <c r="J83" s="8">
        <v>0</v>
      </c>
      <c r="K83" s="8">
        <v>0</v>
      </c>
      <c r="M83" s="8">
        <v>118</v>
      </c>
      <c r="N83" s="9">
        <v>0</v>
      </c>
      <c r="P83" s="8">
        <v>0</v>
      </c>
      <c r="Q83" s="9">
        <v>0</v>
      </c>
      <c r="S83" s="8">
        <v>0</v>
      </c>
      <c r="T83" s="8">
        <v>0</v>
      </c>
      <c r="V83" s="9">
        <f t="shared" si="4"/>
        <v>0</v>
      </c>
      <c r="W83" s="10">
        <v>4.33</v>
      </c>
      <c r="X83" s="9">
        <f t="shared" si="5"/>
        <v>0</v>
      </c>
      <c r="Y83" s="4">
        <v>175</v>
      </c>
      <c r="Z83" s="9">
        <f t="shared" si="6"/>
        <v>0</v>
      </c>
      <c r="AA83" s="9">
        <v>0</v>
      </c>
    </row>
    <row r="84" spans="1:27">
      <c r="A84" s="147" t="s">
        <v>444</v>
      </c>
      <c r="B84" s="147" t="s">
        <v>114</v>
      </c>
      <c r="D84" s="8">
        <v>0</v>
      </c>
      <c r="E84" s="8">
        <v>0</v>
      </c>
      <c r="G84" s="8">
        <v>0</v>
      </c>
      <c r="H84" s="8">
        <v>0</v>
      </c>
      <c r="J84" s="8">
        <v>0</v>
      </c>
      <c r="K84" s="8">
        <v>0</v>
      </c>
      <c r="M84" s="8">
        <v>118</v>
      </c>
      <c r="N84" s="9">
        <v>468915.57</v>
      </c>
      <c r="P84" s="8">
        <v>0</v>
      </c>
      <c r="Q84" s="9">
        <v>0</v>
      </c>
      <c r="S84" s="8">
        <v>0</v>
      </c>
      <c r="T84" s="8">
        <v>0</v>
      </c>
      <c r="V84" s="9">
        <f t="shared" si="4"/>
        <v>3973.8607627118645</v>
      </c>
      <c r="W84" s="10">
        <v>4.33</v>
      </c>
      <c r="X84" s="9">
        <f t="shared" si="5"/>
        <v>17206.817102542373</v>
      </c>
      <c r="Y84" s="4">
        <v>175</v>
      </c>
      <c r="Z84" s="9">
        <f t="shared" si="6"/>
        <v>3011192.9929449153</v>
      </c>
      <c r="AA84" s="9">
        <v>2370084.4419193259</v>
      </c>
    </row>
    <row r="85" spans="1:27">
      <c r="A85" s="147" t="s">
        <v>445</v>
      </c>
      <c r="B85" s="147" t="s">
        <v>114</v>
      </c>
      <c r="D85" s="8">
        <v>0</v>
      </c>
      <c r="E85" s="8">
        <v>0</v>
      </c>
      <c r="G85" s="8">
        <v>0</v>
      </c>
      <c r="H85" s="8">
        <v>0</v>
      </c>
      <c r="J85" s="8">
        <v>0</v>
      </c>
      <c r="K85" s="8">
        <v>0</v>
      </c>
      <c r="M85" s="8">
        <v>0</v>
      </c>
      <c r="N85" s="9">
        <v>0</v>
      </c>
      <c r="P85" s="8">
        <v>105.52</v>
      </c>
      <c r="Q85" s="9">
        <v>37373.68</v>
      </c>
      <c r="S85" s="8">
        <v>0</v>
      </c>
      <c r="T85" s="8">
        <v>0</v>
      </c>
      <c r="V85" s="9">
        <f t="shared" si="4"/>
        <v>354.18574677786205</v>
      </c>
      <c r="W85" s="10">
        <v>4.33</v>
      </c>
      <c r="X85" s="9">
        <f t="shared" si="5"/>
        <v>1533.6242835481428</v>
      </c>
      <c r="Y85" s="4">
        <v>175</v>
      </c>
      <c r="Z85" s="9">
        <f t="shared" si="6"/>
        <v>268384.24962092499</v>
      </c>
      <c r="AA85" s="9">
        <v>211242.9644905139</v>
      </c>
    </row>
    <row r="86" spans="1:27">
      <c r="A86" s="147" t="s">
        <v>446</v>
      </c>
      <c r="B86" s="147" t="s">
        <v>116</v>
      </c>
      <c r="D86" s="8">
        <v>0</v>
      </c>
      <c r="E86" s="8">
        <v>0</v>
      </c>
      <c r="G86" s="8">
        <v>0</v>
      </c>
      <c r="H86" s="8">
        <v>0</v>
      </c>
      <c r="J86" s="8">
        <v>0</v>
      </c>
      <c r="K86" s="8">
        <v>0</v>
      </c>
      <c r="M86" s="8">
        <v>235.99</v>
      </c>
      <c r="N86" s="9">
        <v>13852.8</v>
      </c>
      <c r="P86" s="8">
        <v>0</v>
      </c>
      <c r="Q86" s="9">
        <v>0</v>
      </c>
      <c r="S86" s="8">
        <v>0</v>
      </c>
      <c r="T86" s="8">
        <v>0</v>
      </c>
      <c r="V86" s="9">
        <f t="shared" si="4"/>
        <v>58.700792406457893</v>
      </c>
      <c r="W86" s="10">
        <v>8.66</v>
      </c>
      <c r="X86" s="9">
        <f t="shared" si="5"/>
        <v>508.34886223992538</v>
      </c>
      <c r="Y86" s="4">
        <v>175</v>
      </c>
      <c r="Z86" s="9">
        <f t="shared" si="6"/>
        <v>88961.050891986946</v>
      </c>
      <c r="AA86" s="9">
        <v>70020.487942782842</v>
      </c>
    </row>
    <row r="87" spans="1:27">
      <c r="A87" s="147" t="s">
        <v>447</v>
      </c>
      <c r="B87" s="147" t="s">
        <v>116</v>
      </c>
      <c r="D87" s="8">
        <v>0</v>
      </c>
      <c r="E87" s="8">
        <v>0</v>
      </c>
      <c r="G87" s="8">
        <v>0</v>
      </c>
      <c r="H87" s="8">
        <v>0</v>
      </c>
      <c r="J87" s="8">
        <v>0</v>
      </c>
      <c r="K87" s="8">
        <v>0</v>
      </c>
      <c r="M87" s="8">
        <v>0</v>
      </c>
      <c r="N87" s="9">
        <v>0</v>
      </c>
      <c r="P87" s="8">
        <v>210.72</v>
      </c>
      <c r="Q87" s="9">
        <v>2538.7799999999997</v>
      </c>
      <c r="S87" s="8">
        <v>0</v>
      </c>
      <c r="T87" s="8">
        <v>0</v>
      </c>
      <c r="V87" s="9">
        <f t="shared" si="4"/>
        <v>12.048120728929383</v>
      </c>
      <c r="W87" s="10">
        <v>8.66</v>
      </c>
      <c r="X87" s="9">
        <f t="shared" si="5"/>
        <v>104.33672551252846</v>
      </c>
      <c r="Y87" s="4">
        <v>175</v>
      </c>
      <c r="Z87" s="9">
        <f t="shared" si="6"/>
        <v>18258.92696469248</v>
      </c>
      <c r="AA87" s="9">
        <v>14371.446408965045</v>
      </c>
    </row>
    <row r="88" spans="1:27">
      <c r="A88" s="147" t="s">
        <v>448</v>
      </c>
      <c r="B88" s="147" t="s">
        <v>449</v>
      </c>
      <c r="D88" s="8">
        <v>0</v>
      </c>
      <c r="E88" s="8">
        <v>0</v>
      </c>
      <c r="G88" s="8">
        <v>0</v>
      </c>
      <c r="H88" s="8">
        <v>0</v>
      </c>
      <c r="J88" s="8">
        <v>0</v>
      </c>
      <c r="K88" s="8">
        <v>0</v>
      </c>
      <c r="M88" s="8">
        <v>353.99</v>
      </c>
      <c r="N88" s="9">
        <v>3093.93</v>
      </c>
      <c r="P88" s="8">
        <v>0</v>
      </c>
      <c r="Q88" s="9">
        <v>0</v>
      </c>
      <c r="S88" s="8">
        <v>0</v>
      </c>
      <c r="T88" s="8">
        <v>0</v>
      </c>
      <c r="V88" s="9">
        <f t="shared" si="4"/>
        <v>8.7401621514732053</v>
      </c>
      <c r="W88" s="10">
        <v>12.99</v>
      </c>
      <c r="X88" s="9">
        <f t="shared" si="5"/>
        <v>113.53470634763694</v>
      </c>
      <c r="Y88" s="4">
        <v>175</v>
      </c>
      <c r="Z88" s="9">
        <f t="shared" si="6"/>
        <v>19868.573610836465</v>
      </c>
      <c r="AA88" s="9">
        <v>15638.385619421446</v>
      </c>
    </row>
    <row r="89" spans="1:27">
      <c r="A89" s="147" t="s">
        <v>450</v>
      </c>
      <c r="B89" s="147" t="s">
        <v>451</v>
      </c>
      <c r="D89" s="8">
        <v>0</v>
      </c>
      <c r="E89" s="8">
        <v>0</v>
      </c>
      <c r="G89" s="8">
        <v>0</v>
      </c>
      <c r="H89" s="8">
        <v>0</v>
      </c>
      <c r="J89" s="8">
        <v>0</v>
      </c>
      <c r="K89" s="8">
        <v>0</v>
      </c>
      <c r="M89" s="8">
        <v>471.99</v>
      </c>
      <c r="N89" s="9">
        <v>0</v>
      </c>
      <c r="P89" s="8">
        <v>0</v>
      </c>
      <c r="Q89" s="9">
        <v>0</v>
      </c>
      <c r="S89" s="8">
        <v>0</v>
      </c>
      <c r="T89" s="8">
        <v>0</v>
      </c>
      <c r="V89" s="9">
        <f t="shared" si="4"/>
        <v>0</v>
      </c>
      <c r="W89" s="10">
        <v>17.32</v>
      </c>
      <c r="X89" s="9">
        <f t="shared" si="5"/>
        <v>0</v>
      </c>
      <c r="Y89" s="4">
        <v>175</v>
      </c>
      <c r="Z89" s="9">
        <f t="shared" si="6"/>
        <v>0</v>
      </c>
      <c r="AA89" s="9">
        <v>0</v>
      </c>
    </row>
    <row r="90" spans="1:27">
      <c r="A90" s="147" t="s">
        <v>452</v>
      </c>
      <c r="B90" s="147" t="s">
        <v>453</v>
      </c>
      <c r="D90" s="8">
        <v>0</v>
      </c>
      <c r="E90" s="8">
        <v>0</v>
      </c>
      <c r="G90" s="8">
        <v>0</v>
      </c>
      <c r="H90" s="8">
        <v>0</v>
      </c>
      <c r="J90" s="8">
        <v>0</v>
      </c>
      <c r="K90" s="8">
        <v>0</v>
      </c>
      <c r="M90" s="8">
        <v>589.99</v>
      </c>
      <c r="N90" s="9">
        <v>0</v>
      </c>
      <c r="P90" s="8">
        <v>0</v>
      </c>
      <c r="Q90" s="9">
        <v>0</v>
      </c>
      <c r="S90" s="8">
        <v>0</v>
      </c>
      <c r="T90" s="8">
        <v>0</v>
      </c>
      <c r="V90" s="9">
        <f t="shared" si="4"/>
        <v>0</v>
      </c>
      <c r="W90" s="10">
        <v>21.65</v>
      </c>
      <c r="X90" s="9">
        <f t="shared" si="5"/>
        <v>0</v>
      </c>
      <c r="Y90" s="4">
        <v>175</v>
      </c>
      <c r="Z90" s="9">
        <f t="shared" si="6"/>
        <v>0</v>
      </c>
      <c r="AA90" s="9">
        <v>0</v>
      </c>
    </row>
    <row r="91" spans="1:27">
      <c r="A91" s="147" t="s">
        <v>117</v>
      </c>
      <c r="B91" s="147" t="s">
        <v>118</v>
      </c>
      <c r="D91" s="8">
        <v>0</v>
      </c>
      <c r="E91" s="8">
        <v>0</v>
      </c>
      <c r="G91" s="8">
        <v>0</v>
      </c>
      <c r="H91" s="8">
        <v>0</v>
      </c>
      <c r="J91" s="8">
        <v>45.95</v>
      </c>
      <c r="K91" s="8">
        <v>0</v>
      </c>
      <c r="M91" s="8">
        <v>0</v>
      </c>
      <c r="N91" s="9">
        <v>0</v>
      </c>
      <c r="P91" s="8">
        <v>0</v>
      </c>
      <c r="Q91" s="9">
        <v>0</v>
      </c>
      <c r="S91" s="8">
        <v>0</v>
      </c>
      <c r="T91" s="8">
        <v>0</v>
      </c>
      <c r="V91" s="9">
        <f t="shared" si="4"/>
        <v>0</v>
      </c>
      <c r="W91" s="10">
        <v>2.17</v>
      </c>
      <c r="X91" s="9">
        <f t="shared" si="5"/>
        <v>0</v>
      </c>
      <c r="Y91" s="4">
        <v>175</v>
      </c>
      <c r="Z91" s="9">
        <f t="shared" si="6"/>
        <v>0</v>
      </c>
      <c r="AA91" s="9">
        <v>0</v>
      </c>
    </row>
    <row r="92" spans="1:27">
      <c r="A92" s="147" t="s">
        <v>454</v>
      </c>
      <c r="B92" s="147" t="s">
        <v>89</v>
      </c>
      <c r="D92" s="8">
        <v>0</v>
      </c>
      <c r="E92" s="8">
        <v>0</v>
      </c>
      <c r="G92" s="8">
        <v>0</v>
      </c>
      <c r="H92" s="8">
        <v>0</v>
      </c>
      <c r="J92" s="8">
        <v>22.44</v>
      </c>
      <c r="K92" s="8">
        <v>1056.9899999999998</v>
      </c>
      <c r="M92" s="8">
        <v>0</v>
      </c>
      <c r="N92" s="9">
        <v>0</v>
      </c>
      <c r="P92" s="8">
        <v>0</v>
      </c>
      <c r="Q92" s="9">
        <v>0</v>
      </c>
      <c r="S92" s="8">
        <v>0</v>
      </c>
      <c r="T92" s="8">
        <v>0</v>
      </c>
      <c r="V92" s="9">
        <f t="shared" si="4"/>
        <v>47.102941176470573</v>
      </c>
      <c r="W92" s="10">
        <v>8.66</v>
      </c>
      <c r="X92" s="9">
        <f t="shared" si="5"/>
        <v>407.91147058823515</v>
      </c>
      <c r="Y92" s="4">
        <v>29</v>
      </c>
      <c r="Z92" s="9">
        <f t="shared" si="6"/>
        <v>11829.432647058818</v>
      </c>
      <c r="AA92" s="9">
        <v>9310.8460132630025</v>
      </c>
    </row>
    <row r="93" spans="1:27">
      <c r="A93" s="147" t="s">
        <v>455</v>
      </c>
      <c r="B93" s="147" t="s">
        <v>188</v>
      </c>
      <c r="D93" s="8">
        <v>0</v>
      </c>
      <c r="E93" s="8">
        <v>0</v>
      </c>
      <c r="G93" s="8">
        <v>0</v>
      </c>
      <c r="H93" s="8">
        <v>0</v>
      </c>
      <c r="J93" s="8">
        <v>0</v>
      </c>
      <c r="K93" s="8">
        <v>0</v>
      </c>
      <c r="M93" s="8">
        <v>397.29</v>
      </c>
      <c r="N93" s="9">
        <v>120360.14999999998</v>
      </c>
      <c r="P93" s="8">
        <v>0</v>
      </c>
      <c r="Q93" s="9">
        <v>0</v>
      </c>
      <c r="S93" s="8">
        <v>0</v>
      </c>
      <c r="T93" s="8">
        <v>0</v>
      </c>
      <c r="V93" s="9">
        <f t="shared" si="4"/>
        <v>302.95288076719771</v>
      </c>
      <c r="W93" s="10">
        <v>4.33</v>
      </c>
      <c r="X93" s="9">
        <f t="shared" si="5"/>
        <v>1311.785973721966</v>
      </c>
      <c r="Y93" s="9">
        <f>References!$C$56</f>
        <v>1296</v>
      </c>
      <c r="Z93" s="9">
        <f t="shared" si="6"/>
        <v>1700074.621943668</v>
      </c>
      <c r="AA93" s="9">
        <v>1338114.3025409121</v>
      </c>
    </row>
    <row r="94" spans="1:27">
      <c r="A94" s="147" t="s">
        <v>456</v>
      </c>
      <c r="B94" s="147" t="s">
        <v>126</v>
      </c>
      <c r="D94" s="8">
        <v>0</v>
      </c>
      <c r="E94" s="8">
        <v>0</v>
      </c>
      <c r="G94" s="8">
        <v>0</v>
      </c>
      <c r="H94" s="8">
        <v>0</v>
      </c>
      <c r="J94" s="8">
        <v>145.31</v>
      </c>
      <c r="K94" s="8">
        <v>16944.96</v>
      </c>
      <c r="M94" s="8">
        <v>0</v>
      </c>
      <c r="N94" s="9">
        <v>0</v>
      </c>
      <c r="P94" s="8">
        <v>0</v>
      </c>
      <c r="Q94" s="9">
        <v>0</v>
      </c>
      <c r="S94" s="8">
        <v>0</v>
      </c>
      <c r="T94" s="8">
        <v>0</v>
      </c>
      <c r="V94" s="9">
        <f t="shared" si="4"/>
        <v>116.61248365563277</v>
      </c>
      <c r="W94" s="10">
        <v>4.33</v>
      </c>
      <c r="X94" s="9">
        <f t="shared" si="5"/>
        <v>504.93205422888991</v>
      </c>
      <c r="Y94" s="4">
        <v>324</v>
      </c>
      <c r="Z94" s="9">
        <f t="shared" si="6"/>
        <v>163597.98557016032</v>
      </c>
      <c r="AA94" s="9">
        <v>128766.58561495012</v>
      </c>
    </row>
    <row r="95" spans="1:27">
      <c r="A95" s="147" t="s">
        <v>457</v>
      </c>
      <c r="B95" s="147" t="s">
        <v>126</v>
      </c>
      <c r="D95" s="8">
        <v>0</v>
      </c>
      <c r="E95" s="8">
        <v>0</v>
      </c>
      <c r="G95" s="8">
        <v>0</v>
      </c>
      <c r="H95" s="8">
        <v>0</v>
      </c>
      <c r="J95" s="8">
        <v>0</v>
      </c>
      <c r="K95" s="8">
        <v>0</v>
      </c>
      <c r="M95" s="8">
        <v>177</v>
      </c>
      <c r="N95" s="9">
        <v>818844.78999999992</v>
      </c>
      <c r="P95" s="8">
        <v>0</v>
      </c>
      <c r="Q95" s="9">
        <v>0</v>
      </c>
      <c r="S95" s="8">
        <v>0</v>
      </c>
      <c r="T95" s="8">
        <v>0</v>
      </c>
      <c r="V95" s="9">
        <f t="shared" si="4"/>
        <v>4626.241751412429</v>
      </c>
      <c r="W95" s="10">
        <v>4.33</v>
      </c>
      <c r="X95" s="9">
        <f t="shared" si="5"/>
        <v>20031.626783615819</v>
      </c>
      <c r="Y95" s="4">
        <v>324</v>
      </c>
      <c r="Z95" s="9">
        <f t="shared" si="6"/>
        <v>6490247.0778915249</v>
      </c>
      <c r="AA95" s="9">
        <v>5108418.3775544753</v>
      </c>
    </row>
    <row r="96" spans="1:27">
      <c r="A96" s="147" t="s">
        <v>458</v>
      </c>
      <c r="B96" s="147" t="s">
        <v>126</v>
      </c>
      <c r="D96" s="8">
        <v>0</v>
      </c>
      <c r="E96" s="8">
        <v>0</v>
      </c>
      <c r="G96" s="8">
        <v>0</v>
      </c>
      <c r="H96" s="8">
        <v>0</v>
      </c>
      <c r="J96" s="8">
        <v>0</v>
      </c>
      <c r="K96" s="8">
        <v>0</v>
      </c>
      <c r="M96" s="8">
        <v>0</v>
      </c>
      <c r="N96" s="9">
        <v>0</v>
      </c>
      <c r="P96" s="8">
        <v>208.16</v>
      </c>
      <c r="Q96" s="9">
        <v>56614.89</v>
      </c>
      <c r="S96" s="8">
        <v>0</v>
      </c>
      <c r="T96" s="8">
        <v>0</v>
      </c>
      <c r="V96" s="9">
        <f t="shared" si="4"/>
        <v>271.97775749423522</v>
      </c>
      <c r="W96" s="10">
        <v>4.33</v>
      </c>
      <c r="X96" s="9">
        <f t="shared" si="5"/>
        <v>1177.6636899500386</v>
      </c>
      <c r="Y96" s="4">
        <v>324</v>
      </c>
      <c r="Z96" s="9">
        <f t="shared" si="6"/>
        <v>381563.0355438125</v>
      </c>
      <c r="AA96" s="9">
        <v>300325.02608524897</v>
      </c>
    </row>
    <row r="97" spans="1:27">
      <c r="A97" s="147" t="s">
        <v>459</v>
      </c>
      <c r="B97" s="147" t="s">
        <v>128</v>
      </c>
      <c r="D97" s="8">
        <v>0</v>
      </c>
      <c r="E97" s="8">
        <v>0</v>
      </c>
      <c r="G97" s="8">
        <v>0</v>
      </c>
      <c r="H97" s="8">
        <v>0</v>
      </c>
      <c r="J97" s="8">
        <v>0</v>
      </c>
      <c r="K97" s="8">
        <v>0</v>
      </c>
      <c r="M97" s="8">
        <v>353.99</v>
      </c>
      <c r="N97" s="9">
        <v>286454.83</v>
      </c>
      <c r="P97" s="8">
        <v>0</v>
      </c>
      <c r="Q97" s="9">
        <v>0</v>
      </c>
      <c r="S97" s="8">
        <v>0</v>
      </c>
      <c r="T97" s="8">
        <v>0</v>
      </c>
      <c r="V97" s="9">
        <f t="shared" si="4"/>
        <v>809.21729427384957</v>
      </c>
      <c r="W97" s="10">
        <v>8.66</v>
      </c>
      <c r="X97" s="9">
        <f t="shared" si="5"/>
        <v>7007.8217684115371</v>
      </c>
      <c r="Y97" s="4">
        <v>324</v>
      </c>
      <c r="Z97" s="9">
        <f t="shared" si="6"/>
        <v>2270534.2529653381</v>
      </c>
      <c r="AA97" s="9">
        <v>1787118.2353327526</v>
      </c>
    </row>
    <row r="98" spans="1:27">
      <c r="A98" s="147" t="s">
        <v>460</v>
      </c>
      <c r="B98" s="147" t="s">
        <v>128</v>
      </c>
      <c r="D98" s="8">
        <v>0</v>
      </c>
      <c r="E98" s="8">
        <v>0</v>
      </c>
      <c r="G98" s="8">
        <v>0</v>
      </c>
      <c r="H98" s="8">
        <v>0</v>
      </c>
      <c r="J98" s="8">
        <v>0</v>
      </c>
      <c r="K98" s="8">
        <v>0</v>
      </c>
      <c r="M98" s="8">
        <v>0</v>
      </c>
      <c r="N98" s="9">
        <v>0</v>
      </c>
      <c r="P98" s="8">
        <v>415.76</v>
      </c>
      <c r="Q98" s="9">
        <v>1267.2900000000004</v>
      </c>
      <c r="S98" s="8">
        <v>0</v>
      </c>
      <c r="T98" s="8">
        <v>0</v>
      </c>
      <c r="V98" s="9">
        <f t="shared" si="4"/>
        <v>3.0481287281123737</v>
      </c>
      <c r="W98" s="10">
        <v>8.66</v>
      </c>
      <c r="X98" s="9">
        <f t="shared" si="5"/>
        <v>26.396794785453157</v>
      </c>
      <c r="Y98" s="4">
        <v>324</v>
      </c>
      <c r="Z98" s="9">
        <f t="shared" si="6"/>
        <v>8552.561510486823</v>
      </c>
      <c r="AA98" s="9">
        <v>6731.6485599080561</v>
      </c>
    </row>
    <row r="99" spans="1:27">
      <c r="A99" s="147" t="s">
        <v>461</v>
      </c>
      <c r="B99" s="147" t="s">
        <v>130</v>
      </c>
      <c r="D99" s="8">
        <v>0</v>
      </c>
      <c r="E99" s="8">
        <v>0</v>
      </c>
      <c r="G99" s="8">
        <v>0</v>
      </c>
      <c r="H99" s="8">
        <v>0</v>
      </c>
      <c r="J99" s="8">
        <v>0</v>
      </c>
      <c r="K99" s="8">
        <v>0</v>
      </c>
      <c r="M99" s="8">
        <v>530.99</v>
      </c>
      <c r="N99" s="9">
        <v>52084</v>
      </c>
      <c r="P99" s="8">
        <v>0</v>
      </c>
      <c r="Q99" s="9">
        <v>0</v>
      </c>
      <c r="S99" s="8">
        <v>0</v>
      </c>
      <c r="T99" s="8">
        <v>0</v>
      </c>
      <c r="V99" s="9">
        <f t="shared" si="4"/>
        <v>98.088476242490444</v>
      </c>
      <c r="W99" s="10">
        <v>12.99</v>
      </c>
      <c r="X99" s="9">
        <f t="shared" si="5"/>
        <v>1274.1693063899509</v>
      </c>
      <c r="Y99" s="4">
        <v>324</v>
      </c>
      <c r="Z99" s="9">
        <f t="shared" si="6"/>
        <v>412830.85527034407</v>
      </c>
      <c r="AA99" s="9">
        <v>324935.66155106627</v>
      </c>
    </row>
    <row r="100" spans="1:27">
      <c r="A100" s="147" t="s">
        <v>462</v>
      </c>
      <c r="B100" s="147" t="s">
        <v>130</v>
      </c>
      <c r="D100" s="8">
        <v>0</v>
      </c>
      <c r="E100" s="8">
        <v>0</v>
      </c>
      <c r="G100" s="8">
        <v>0</v>
      </c>
      <c r="H100" s="8">
        <v>0</v>
      </c>
      <c r="J100" s="8">
        <v>0</v>
      </c>
      <c r="K100" s="8">
        <v>0</v>
      </c>
      <c r="M100" s="8">
        <v>0</v>
      </c>
      <c r="N100" s="9">
        <v>0</v>
      </c>
      <c r="P100" s="8">
        <v>623.35</v>
      </c>
      <c r="Q100" s="9">
        <v>0</v>
      </c>
      <c r="S100" s="8">
        <v>0</v>
      </c>
      <c r="T100" s="8">
        <v>0</v>
      </c>
      <c r="V100" s="9">
        <f t="shared" si="4"/>
        <v>0</v>
      </c>
      <c r="W100" s="10">
        <v>12.99</v>
      </c>
      <c r="X100" s="9">
        <f t="shared" si="5"/>
        <v>0</v>
      </c>
      <c r="Y100" s="4">
        <v>324</v>
      </c>
      <c r="Z100" s="9">
        <f t="shared" si="6"/>
        <v>0</v>
      </c>
      <c r="AA100" s="9">
        <v>0</v>
      </c>
    </row>
    <row r="101" spans="1:27">
      <c r="A101" s="147" t="s">
        <v>463</v>
      </c>
      <c r="B101" s="147" t="s">
        <v>132</v>
      </c>
      <c r="D101" s="8">
        <v>0</v>
      </c>
      <c r="E101" s="8">
        <v>0</v>
      </c>
      <c r="G101" s="8">
        <v>0</v>
      </c>
      <c r="H101" s="8">
        <v>0</v>
      </c>
      <c r="J101" s="8">
        <v>0</v>
      </c>
      <c r="K101" s="8">
        <v>0</v>
      </c>
      <c r="M101" s="8">
        <v>707.98</v>
      </c>
      <c r="N101" s="9">
        <v>16623.599999999999</v>
      </c>
      <c r="P101" s="8">
        <v>0</v>
      </c>
      <c r="Q101" s="9">
        <v>0</v>
      </c>
      <c r="S101" s="8">
        <v>0</v>
      </c>
      <c r="T101" s="8">
        <v>0</v>
      </c>
      <c r="V101" s="9">
        <f t="shared" si="4"/>
        <v>23.480324302946407</v>
      </c>
      <c r="W101" s="10">
        <v>17.32</v>
      </c>
      <c r="X101" s="9">
        <f t="shared" si="5"/>
        <v>406.6792169270318</v>
      </c>
      <c r="Y101" s="4">
        <v>324</v>
      </c>
      <c r="Z101" s="9">
        <f t="shared" si="6"/>
        <v>131764.0662843583</v>
      </c>
      <c r="AA101" s="9">
        <v>103710.37799180254</v>
      </c>
    </row>
    <row r="102" spans="1:27">
      <c r="A102" s="147" t="s">
        <v>464</v>
      </c>
      <c r="B102" s="147" t="s">
        <v>134</v>
      </c>
      <c r="D102" s="8">
        <v>0</v>
      </c>
      <c r="E102" s="8">
        <v>0</v>
      </c>
      <c r="G102" s="8">
        <v>0</v>
      </c>
      <c r="H102" s="8">
        <v>0</v>
      </c>
      <c r="J102" s="8">
        <v>0</v>
      </c>
      <c r="K102" s="8">
        <v>0</v>
      </c>
      <c r="M102" s="8">
        <v>884.98</v>
      </c>
      <c r="N102" s="9">
        <v>2385.7799999999997</v>
      </c>
      <c r="P102" s="8">
        <v>0</v>
      </c>
      <c r="Q102" s="9">
        <v>0</v>
      </c>
      <c r="S102" s="8">
        <v>0</v>
      </c>
      <c r="T102" s="8">
        <v>0</v>
      </c>
      <c r="V102" s="9">
        <f t="shared" si="4"/>
        <v>2.6958575335035815</v>
      </c>
      <c r="W102" s="10">
        <v>21.65</v>
      </c>
      <c r="X102" s="9">
        <f t="shared" si="5"/>
        <v>58.365315600352538</v>
      </c>
      <c r="Y102" s="4">
        <v>324</v>
      </c>
      <c r="Z102" s="9">
        <f t="shared" si="6"/>
        <v>18910.362254514221</v>
      </c>
      <c r="AA102" s="9">
        <v>14884.185595374262</v>
      </c>
    </row>
    <row r="103" spans="1:27">
      <c r="A103" s="147" t="s">
        <v>465</v>
      </c>
      <c r="B103" s="147" t="s">
        <v>466</v>
      </c>
      <c r="D103" s="8">
        <v>0</v>
      </c>
      <c r="E103" s="8">
        <v>0</v>
      </c>
      <c r="G103" s="8">
        <v>0</v>
      </c>
      <c r="H103" s="8">
        <v>0</v>
      </c>
      <c r="J103" s="8">
        <v>0</v>
      </c>
      <c r="K103" s="8">
        <v>0</v>
      </c>
      <c r="M103" s="8">
        <v>1061.98</v>
      </c>
      <c r="N103" s="9">
        <v>36133.31</v>
      </c>
      <c r="P103" s="8">
        <v>0</v>
      </c>
      <c r="Q103" s="9">
        <v>0</v>
      </c>
      <c r="S103" s="8">
        <v>0</v>
      </c>
      <c r="T103" s="8">
        <v>0</v>
      </c>
      <c r="V103" s="9">
        <f t="shared" si="4"/>
        <v>34.024473153920034</v>
      </c>
      <c r="W103" s="8">
        <v>25.98</v>
      </c>
      <c r="X103" s="9">
        <f t="shared" si="5"/>
        <v>883.95581253884257</v>
      </c>
      <c r="Y103" s="4">
        <v>324</v>
      </c>
      <c r="Z103" s="9">
        <f t="shared" si="6"/>
        <v>286401.68326258496</v>
      </c>
      <c r="AA103" s="9">
        <v>225424.33355502185</v>
      </c>
    </row>
    <row r="104" spans="1:27">
      <c r="A104" s="147" t="s">
        <v>135</v>
      </c>
      <c r="B104" s="147" t="s">
        <v>136</v>
      </c>
      <c r="D104" s="8">
        <v>0</v>
      </c>
      <c r="E104" s="8">
        <v>0</v>
      </c>
      <c r="G104" s="8">
        <v>0</v>
      </c>
      <c r="H104" s="8">
        <v>0</v>
      </c>
      <c r="J104" s="8">
        <v>0</v>
      </c>
      <c r="K104" s="8">
        <v>0</v>
      </c>
      <c r="M104" s="8">
        <v>0</v>
      </c>
      <c r="N104" s="9">
        <v>0</v>
      </c>
      <c r="P104" s="8">
        <v>0</v>
      </c>
      <c r="Q104" s="9">
        <v>0</v>
      </c>
      <c r="S104" s="8">
        <v>0</v>
      </c>
      <c r="T104" s="8">
        <v>0</v>
      </c>
      <c r="V104" s="9">
        <f t="shared" si="4"/>
        <v>0</v>
      </c>
      <c r="W104" s="10">
        <v>2.17</v>
      </c>
      <c r="X104" s="9">
        <f t="shared" si="5"/>
        <v>0</v>
      </c>
      <c r="Y104" s="4">
        <v>324</v>
      </c>
      <c r="Z104" s="9">
        <f t="shared" si="6"/>
        <v>0</v>
      </c>
      <c r="AA104" s="9">
        <v>0</v>
      </c>
    </row>
    <row r="105" spans="1:27">
      <c r="A105" s="147" t="s">
        <v>467</v>
      </c>
      <c r="B105" s="147" t="s">
        <v>468</v>
      </c>
      <c r="D105" s="8">
        <v>0</v>
      </c>
      <c r="E105" s="8">
        <v>0</v>
      </c>
      <c r="G105" s="8">
        <v>0</v>
      </c>
      <c r="H105" s="8">
        <v>0</v>
      </c>
      <c r="J105" s="8">
        <v>13.87</v>
      </c>
      <c r="K105" s="8">
        <v>373.79000000000008</v>
      </c>
      <c r="M105" s="8">
        <v>0</v>
      </c>
      <c r="N105" s="9">
        <v>0</v>
      </c>
      <c r="P105" s="8">
        <v>0</v>
      </c>
      <c r="Q105" s="9">
        <v>0</v>
      </c>
      <c r="S105" s="8">
        <v>0</v>
      </c>
      <c r="T105" s="8">
        <v>0</v>
      </c>
      <c r="V105" s="9">
        <f t="shared" si="4"/>
        <v>26.949531362653214</v>
      </c>
      <c r="W105" s="10">
        <v>2.17</v>
      </c>
      <c r="X105" s="9">
        <f t="shared" si="5"/>
        <v>58.480483056957475</v>
      </c>
      <c r="Y105" s="4">
        <v>29</v>
      </c>
      <c r="Z105" s="9">
        <f t="shared" si="6"/>
        <v>1695.9340086517668</v>
      </c>
      <c r="AA105" s="9">
        <v>1334.8552609696371</v>
      </c>
    </row>
    <row r="106" spans="1:27">
      <c r="A106" s="147" t="s">
        <v>469</v>
      </c>
      <c r="B106" s="147" t="s">
        <v>470</v>
      </c>
      <c r="D106" s="8">
        <v>0</v>
      </c>
      <c r="E106" s="8">
        <v>0</v>
      </c>
      <c r="G106" s="8">
        <v>0</v>
      </c>
      <c r="H106" s="8">
        <v>0</v>
      </c>
      <c r="J106" s="8">
        <v>9.43</v>
      </c>
      <c r="K106" s="8">
        <v>112.89</v>
      </c>
      <c r="M106" s="8">
        <v>0</v>
      </c>
      <c r="N106" s="9">
        <v>0</v>
      </c>
      <c r="P106" s="8">
        <v>0</v>
      </c>
      <c r="Q106" s="9">
        <v>0</v>
      </c>
      <c r="S106" s="8">
        <v>0</v>
      </c>
      <c r="T106" s="8">
        <v>0</v>
      </c>
      <c r="V106" s="9">
        <f t="shared" si="4"/>
        <v>11.971367974549311</v>
      </c>
      <c r="W106" s="10">
        <v>1</v>
      </c>
      <c r="X106" s="9">
        <f t="shared" si="5"/>
        <v>11.971367974549311</v>
      </c>
      <c r="Y106" s="4">
        <v>29</v>
      </c>
      <c r="Z106" s="9">
        <f t="shared" si="6"/>
        <v>347.16967126193003</v>
      </c>
      <c r="AA106" s="9">
        <v>273.25430103350379</v>
      </c>
    </row>
    <row r="107" spans="1:27">
      <c r="A107" s="147" t="s">
        <v>471</v>
      </c>
      <c r="B107" s="147" t="s">
        <v>226</v>
      </c>
      <c r="D107" s="8">
        <v>0</v>
      </c>
      <c r="E107" s="8">
        <v>0</v>
      </c>
      <c r="G107" s="8">
        <v>0</v>
      </c>
      <c r="H107" s="8">
        <v>0</v>
      </c>
      <c r="J107" s="8">
        <v>15.14</v>
      </c>
      <c r="K107" s="8">
        <v>2382.4899999999998</v>
      </c>
      <c r="M107" s="8">
        <v>0</v>
      </c>
      <c r="N107" s="9">
        <v>0</v>
      </c>
      <c r="P107" s="8">
        <v>0</v>
      </c>
      <c r="Q107" s="9">
        <v>0</v>
      </c>
      <c r="S107" s="8">
        <v>0</v>
      </c>
      <c r="T107" s="8">
        <v>0</v>
      </c>
      <c r="V107" s="9">
        <f t="shared" si="4"/>
        <v>157.36393659180976</v>
      </c>
      <c r="W107" s="10">
        <v>4.33</v>
      </c>
      <c r="X107" s="9">
        <f t="shared" si="5"/>
        <v>681.38584544253627</v>
      </c>
      <c r="Y107" s="4">
        <v>29</v>
      </c>
      <c r="Z107" s="9">
        <f t="shared" si="6"/>
        <v>19760.189517833551</v>
      </c>
      <c r="AA107" s="9">
        <v>15553.077419920583</v>
      </c>
    </row>
    <row r="108" spans="1:27">
      <c r="A108" s="147" t="s">
        <v>225</v>
      </c>
      <c r="B108" s="147" t="s">
        <v>226</v>
      </c>
      <c r="D108" s="8">
        <v>0</v>
      </c>
      <c r="E108" s="8">
        <v>0</v>
      </c>
      <c r="G108" s="8">
        <v>0</v>
      </c>
      <c r="H108" s="8">
        <v>0</v>
      </c>
      <c r="J108" s="8">
        <v>0</v>
      </c>
      <c r="K108" s="8">
        <v>0</v>
      </c>
      <c r="M108" s="8">
        <v>19.21</v>
      </c>
      <c r="N108" s="9">
        <v>0</v>
      </c>
      <c r="P108" s="8">
        <v>0</v>
      </c>
      <c r="Q108" s="9">
        <v>0</v>
      </c>
      <c r="S108" s="8">
        <v>0</v>
      </c>
      <c r="T108" s="8">
        <v>0</v>
      </c>
      <c r="V108" s="9">
        <f t="shared" si="4"/>
        <v>0</v>
      </c>
      <c r="W108" s="10">
        <v>4.33</v>
      </c>
      <c r="X108" s="9">
        <f t="shared" si="5"/>
        <v>0</v>
      </c>
      <c r="Y108" s="4">
        <v>29</v>
      </c>
      <c r="Z108" s="9">
        <f t="shared" si="6"/>
        <v>0</v>
      </c>
      <c r="AA108" s="9">
        <v>0</v>
      </c>
    </row>
    <row r="109" spans="1:27">
      <c r="A109" s="147" t="s">
        <v>472</v>
      </c>
      <c r="B109" s="147" t="s">
        <v>91</v>
      </c>
      <c r="D109" s="8">
        <v>0</v>
      </c>
      <c r="E109" s="8">
        <v>0</v>
      </c>
      <c r="G109" s="8">
        <v>0</v>
      </c>
      <c r="H109" s="8">
        <v>0</v>
      </c>
      <c r="J109" s="8">
        <v>30.94</v>
      </c>
      <c r="K109" s="8">
        <v>1034.69</v>
      </c>
      <c r="M109" s="8">
        <v>0</v>
      </c>
      <c r="N109" s="9">
        <v>0</v>
      </c>
      <c r="P109" s="8">
        <v>0</v>
      </c>
      <c r="Q109" s="9">
        <v>0</v>
      </c>
      <c r="S109" s="8">
        <v>0</v>
      </c>
      <c r="T109" s="8">
        <v>0</v>
      </c>
      <c r="V109" s="9">
        <f t="shared" si="4"/>
        <v>33.441822882999354</v>
      </c>
      <c r="W109" s="10">
        <v>12.99</v>
      </c>
      <c r="X109" s="9">
        <f t="shared" si="5"/>
        <v>434.4092792501616</v>
      </c>
      <c r="Y109" s="4">
        <v>29</v>
      </c>
      <c r="Z109" s="9">
        <f t="shared" si="6"/>
        <v>12597.869098254687</v>
      </c>
      <c r="AA109" s="9">
        <v>9915.6758205354527</v>
      </c>
    </row>
    <row r="110" spans="1:27">
      <c r="A110" s="147" t="s">
        <v>473</v>
      </c>
      <c r="B110" s="147" t="s">
        <v>190</v>
      </c>
      <c r="D110" s="8">
        <v>0</v>
      </c>
      <c r="E110" s="8">
        <v>0</v>
      </c>
      <c r="G110" s="8">
        <v>0</v>
      </c>
      <c r="H110" s="8">
        <v>0</v>
      </c>
      <c r="J110" s="8">
        <v>0</v>
      </c>
      <c r="K110" s="8">
        <v>0</v>
      </c>
      <c r="M110" s="8">
        <v>529.73</v>
      </c>
      <c r="N110" s="9">
        <v>74628.72</v>
      </c>
      <c r="P110" s="8">
        <v>0</v>
      </c>
      <c r="Q110" s="9">
        <v>0</v>
      </c>
      <c r="S110" s="8">
        <v>0</v>
      </c>
      <c r="T110" s="8">
        <v>0</v>
      </c>
      <c r="V110" s="9">
        <f t="shared" si="4"/>
        <v>140.88067506088007</v>
      </c>
      <c r="W110" s="10">
        <v>4.33</v>
      </c>
      <c r="X110" s="9">
        <f t="shared" si="5"/>
        <v>610.01332301361072</v>
      </c>
      <c r="Y110" s="14">
        <v>1000</v>
      </c>
      <c r="Z110" s="9">
        <f t="shared" si="6"/>
        <v>610013.32301361067</v>
      </c>
      <c r="AA110" s="9">
        <v>480136.30797676177</v>
      </c>
    </row>
    <row r="111" spans="1:27">
      <c r="A111" s="147" t="s">
        <v>474</v>
      </c>
      <c r="B111" s="147" t="s">
        <v>138</v>
      </c>
      <c r="D111" s="8">
        <v>0</v>
      </c>
      <c r="E111" s="8">
        <v>0</v>
      </c>
      <c r="G111" s="8">
        <v>0</v>
      </c>
      <c r="H111" s="8">
        <v>0</v>
      </c>
      <c r="J111" s="8">
        <v>189.68</v>
      </c>
      <c r="K111" s="8">
        <v>9888.4600000000009</v>
      </c>
      <c r="M111" s="8">
        <v>0</v>
      </c>
      <c r="N111" s="9">
        <v>0</v>
      </c>
      <c r="P111" s="8">
        <v>0</v>
      </c>
      <c r="Q111" s="9">
        <v>0</v>
      </c>
      <c r="S111" s="8">
        <v>0</v>
      </c>
      <c r="T111" s="8">
        <v>0</v>
      </c>
      <c r="V111" s="9">
        <f t="shared" si="4"/>
        <v>52.13232813159005</v>
      </c>
      <c r="W111" s="10">
        <v>4.33</v>
      </c>
      <c r="X111" s="9">
        <f t="shared" si="5"/>
        <v>225.73298080978492</v>
      </c>
      <c r="Y111" s="4">
        <v>473</v>
      </c>
      <c r="Z111" s="9">
        <f t="shared" si="6"/>
        <v>106771.69992302827</v>
      </c>
      <c r="AA111" s="9">
        <v>84039.098595723059</v>
      </c>
    </row>
    <row r="112" spans="1:27">
      <c r="A112" s="147" t="s">
        <v>475</v>
      </c>
      <c r="B112" s="147" t="s">
        <v>138</v>
      </c>
      <c r="D112" s="8">
        <v>0</v>
      </c>
      <c r="E112" s="8">
        <v>0</v>
      </c>
      <c r="G112" s="8">
        <v>0</v>
      </c>
      <c r="H112" s="8">
        <v>0</v>
      </c>
      <c r="J112" s="8">
        <v>0</v>
      </c>
      <c r="K112" s="8">
        <v>0</v>
      </c>
      <c r="M112" s="8">
        <v>235.99</v>
      </c>
      <c r="N112" s="9">
        <v>818924.63000000012</v>
      </c>
      <c r="P112" s="8">
        <v>0</v>
      </c>
      <c r="Q112" s="9">
        <v>0</v>
      </c>
      <c r="S112" s="8">
        <v>0</v>
      </c>
      <c r="T112" s="8">
        <v>0</v>
      </c>
      <c r="V112" s="9">
        <f t="shared" si="4"/>
        <v>3470.166659604221</v>
      </c>
      <c r="W112" s="10">
        <v>4.33</v>
      </c>
      <c r="X112" s="9">
        <f t="shared" si="5"/>
        <v>15025.821636086277</v>
      </c>
      <c r="Y112" s="4">
        <v>473</v>
      </c>
      <c r="Z112" s="9">
        <f t="shared" si="6"/>
        <v>7107213.6338688089</v>
      </c>
      <c r="AA112" s="9">
        <v>5594027.5161690786</v>
      </c>
    </row>
    <row r="113" spans="1:27">
      <c r="A113" s="147" t="s">
        <v>476</v>
      </c>
      <c r="B113" s="147" t="s">
        <v>138</v>
      </c>
      <c r="D113" s="8">
        <v>0</v>
      </c>
      <c r="E113" s="8">
        <v>0</v>
      </c>
      <c r="G113" s="8">
        <v>0</v>
      </c>
      <c r="H113" s="8">
        <v>0</v>
      </c>
      <c r="J113" s="8">
        <v>0</v>
      </c>
      <c r="K113" s="8">
        <v>0</v>
      </c>
      <c r="M113" s="8">
        <v>0</v>
      </c>
      <c r="N113" s="9">
        <v>0</v>
      </c>
      <c r="P113" s="8">
        <v>263.51</v>
      </c>
      <c r="Q113" s="9">
        <v>63281.159999999996</v>
      </c>
      <c r="S113" s="8">
        <v>0</v>
      </c>
      <c r="T113" s="8">
        <v>0</v>
      </c>
      <c r="V113" s="9">
        <f t="shared" si="4"/>
        <v>240.14709119198511</v>
      </c>
      <c r="W113" s="10">
        <v>4.33</v>
      </c>
      <c r="X113" s="9">
        <f t="shared" si="5"/>
        <v>1039.8369048612956</v>
      </c>
      <c r="Y113" s="4">
        <v>473</v>
      </c>
      <c r="Z113" s="9">
        <f t="shared" si="6"/>
        <v>491842.85599939281</v>
      </c>
      <c r="AA113" s="9">
        <v>387125.33657076454</v>
      </c>
    </row>
    <row r="114" spans="1:27">
      <c r="A114" s="147" t="s">
        <v>477</v>
      </c>
      <c r="B114" s="147" t="s">
        <v>140</v>
      </c>
      <c r="D114" s="8">
        <v>0</v>
      </c>
      <c r="E114" s="8">
        <v>0</v>
      </c>
      <c r="G114" s="8">
        <v>0</v>
      </c>
      <c r="H114" s="8">
        <v>0</v>
      </c>
      <c r="J114" s="8">
        <v>379.36</v>
      </c>
      <c r="K114" s="8">
        <v>9082.3200000000015</v>
      </c>
      <c r="M114" s="8">
        <v>0</v>
      </c>
      <c r="N114" s="9">
        <v>0</v>
      </c>
      <c r="P114" s="8">
        <v>0</v>
      </c>
      <c r="Q114" s="9">
        <v>0</v>
      </c>
      <c r="S114" s="8">
        <v>0</v>
      </c>
      <c r="T114" s="8">
        <v>0</v>
      </c>
      <c r="V114" s="9">
        <f t="shared" si="4"/>
        <v>23.941164065795025</v>
      </c>
      <c r="W114" s="10">
        <v>8.66</v>
      </c>
      <c r="X114" s="9">
        <f t="shared" si="5"/>
        <v>207.33048080978492</v>
      </c>
      <c r="Y114" s="4">
        <v>473</v>
      </c>
      <c r="Z114" s="9">
        <f t="shared" si="6"/>
        <v>98067.31742302826</v>
      </c>
      <c r="AA114" s="9">
        <v>77187.953023818423</v>
      </c>
    </row>
    <row r="115" spans="1:27">
      <c r="A115" s="147" t="s">
        <v>478</v>
      </c>
      <c r="B115" s="147" t="s">
        <v>140</v>
      </c>
      <c r="D115" s="8">
        <v>0</v>
      </c>
      <c r="E115" s="8">
        <v>0</v>
      </c>
      <c r="G115" s="8">
        <v>0</v>
      </c>
      <c r="H115" s="8">
        <v>0</v>
      </c>
      <c r="J115" s="8">
        <v>0</v>
      </c>
      <c r="K115" s="8">
        <v>0</v>
      </c>
      <c r="M115" s="8">
        <v>471.99</v>
      </c>
      <c r="N115" s="9">
        <v>378707.43</v>
      </c>
      <c r="P115" s="8">
        <v>0</v>
      </c>
      <c r="Q115" s="9">
        <v>0</v>
      </c>
      <c r="S115" s="8">
        <v>0</v>
      </c>
      <c r="T115" s="8">
        <v>0</v>
      </c>
      <c r="V115" s="9">
        <f t="shared" si="4"/>
        <v>802.36324922138181</v>
      </c>
      <c r="W115" s="10">
        <v>8.66</v>
      </c>
      <c r="X115" s="9">
        <f t="shared" si="5"/>
        <v>6948.4657382571668</v>
      </c>
      <c r="Y115" s="4">
        <v>473</v>
      </c>
      <c r="Z115" s="9">
        <f t="shared" si="6"/>
        <v>3286624.2941956399</v>
      </c>
      <c r="AA115" s="9">
        <v>2586874.0809233375</v>
      </c>
    </row>
    <row r="116" spans="1:27">
      <c r="A116" s="148" t="s">
        <v>139</v>
      </c>
      <c r="B116" s="147" t="s">
        <v>140</v>
      </c>
      <c r="D116" s="8">
        <v>0</v>
      </c>
      <c r="E116" s="8">
        <v>0</v>
      </c>
      <c r="G116" s="8">
        <v>0</v>
      </c>
      <c r="H116" s="8">
        <v>0</v>
      </c>
      <c r="J116" s="8">
        <v>0</v>
      </c>
      <c r="K116" s="8">
        <v>0</v>
      </c>
      <c r="M116" s="8">
        <v>0</v>
      </c>
      <c r="N116" s="9">
        <v>0</v>
      </c>
      <c r="P116" s="8">
        <v>0</v>
      </c>
      <c r="Q116" s="9">
        <v>0</v>
      </c>
      <c r="S116" s="8">
        <v>0</v>
      </c>
      <c r="T116" s="8">
        <v>0</v>
      </c>
      <c r="V116" s="9">
        <f t="shared" si="4"/>
        <v>0</v>
      </c>
      <c r="W116" s="10">
        <v>8.66</v>
      </c>
      <c r="X116" s="9">
        <f t="shared" si="5"/>
        <v>0</v>
      </c>
      <c r="Y116" s="4">
        <v>473</v>
      </c>
      <c r="Z116" s="9">
        <f t="shared" si="6"/>
        <v>0</v>
      </c>
      <c r="AA116" s="9">
        <v>0</v>
      </c>
    </row>
    <row r="117" spans="1:27">
      <c r="A117" s="147" t="s">
        <v>479</v>
      </c>
      <c r="B117" s="147" t="s">
        <v>140</v>
      </c>
      <c r="D117" s="8">
        <v>0</v>
      </c>
      <c r="E117" s="8">
        <v>0</v>
      </c>
      <c r="G117" s="8">
        <v>0</v>
      </c>
      <c r="H117" s="8">
        <v>0</v>
      </c>
      <c r="J117" s="8">
        <v>0</v>
      </c>
      <c r="K117" s="8">
        <v>0</v>
      </c>
      <c r="M117" s="8">
        <v>0</v>
      </c>
      <c r="N117" s="9">
        <v>0</v>
      </c>
      <c r="P117" s="8">
        <v>526.16</v>
      </c>
      <c r="Q117" s="9">
        <v>38033.459999999992</v>
      </c>
      <c r="S117" s="8">
        <v>0</v>
      </c>
      <c r="T117" s="8">
        <v>0</v>
      </c>
      <c r="V117" s="9">
        <f t="shared" si="4"/>
        <v>72.284970351223947</v>
      </c>
      <c r="W117" s="10">
        <v>8.66</v>
      </c>
      <c r="X117" s="9">
        <f t="shared" si="5"/>
        <v>625.98784324159942</v>
      </c>
      <c r="Y117" s="4">
        <v>473</v>
      </c>
      <c r="Z117" s="9">
        <f t="shared" si="6"/>
        <v>296092.24985327653</v>
      </c>
      <c r="AA117" s="9">
        <v>233051.69625272771</v>
      </c>
    </row>
    <row r="118" spans="1:27">
      <c r="A118" s="147" t="s">
        <v>480</v>
      </c>
      <c r="B118" s="147" t="s">
        <v>142</v>
      </c>
      <c r="D118" s="8">
        <v>0</v>
      </c>
      <c r="E118" s="8">
        <v>0</v>
      </c>
      <c r="G118" s="8">
        <v>0</v>
      </c>
      <c r="H118" s="8">
        <v>0</v>
      </c>
      <c r="J118" s="8">
        <v>0</v>
      </c>
      <c r="K118" s="8">
        <v>0</v>
      </c>
      <c r="M118" s="8">
        <v>707.98</v>
      </c>
      <c r="N118" s="9">
        <v>266302.55</v>
      </c>
      <c r="P118" s="8">
        <v>0</v>
      </c>
      <c r="Q118" s="9">
        <v>0</v>
      </c>
      <c r="S118" s="8">
        <v>0</v>
      </c>
      <c r="T118" s="8">
        <v>0</v>
      </c>
      <c r="V118" s="9">
        <f t="shared" si="4"/>
        <v>376.14417073928638</v>
      </c>
      <c r="W118" s="10">
        <v>12.99</v>
      </c>
      <c r="X118" s="9">
        <f t="shared" si="5"/>
        <v>4886.1127779033304</v>
      </c>
      <c r="Y118" s="4">
        <v>473</v>
      </c>
      <c r="Z118" s="9">
        <f t="shared" si="6"/>
        <v>2311131.3439482753</v>
      </c>
      <c r="AA118" s="9">
        <v>1819071.8610057926</v>
      </c>
    </row>
    <row r="119" spans="1:27">
      <c r="A119" s="147" t="s">
        <v>481</v>
      </c>
      <c r="B119" s="147" t="s">
        <v>142</v>
      </c>
      <c r="D119" s="8">
        <v>0</v>
      </c>
      <c r="E119" s="8">
        <v>0</v>
      </c>
      <c r="G119" s="8">
        <v>0</v>
      </c>
      <c r="H119" s="8">
        <v>0</v>
      </c>
      <c r="J119" s="8">
        <v>0</v>
      </c>
      <c r="K119" s="8">
        <v>0</v>
      </c>
      <c r="M119" s="8">
        <v>0</v>
      </c>
      <c r="N119" s="9">
        <v>0</v>
      </c>
      <c r="P119" s="8">
        <v>788.88</v>
      </c>
      <c r="Q119" s="9">
        <v>9504.69</v>
      </c>
      <c r="S119" s="8">
        <v>0</v>
      </c>
      <c r="T119" s="8">
        <v>0</v>
      </c>
      <c r="V119" s="9">
        <f t="shared" si="4"/>
        <v>12.048334347429268</v>
      </c>
      <c r="W119" s="10">
        <v>12.99</v>
      </c>
      <c r="X119" s="9">
        <f t="shared" si="5"/>
        <v>156.50786317310619</v>
      </c>
      <c r="Y119" s="4">
        <v>473</v>
      </c>
      <c r="Z119" s="9">
        <f t="shared" si="6"/>
        <v>74028.219280879232</v>
      </c>
      <c r="AA119" s="9">
        <v>58266.982950505873</v>
      </c>
    </row>
    <row r="120" spans="1:27">
      <c r="A120" s="147" t="s">
        <v>482</v>
      </c>
      <c r="B120" s="147" t="s">
        <v>144</v>
      </c>
      <c r="D120" s="8">
        <v>0</v>
      </c>
      <c r="E120" s="8">
        <v>0</v>
      </c>
      <c r="G120" s="8">
        <v>0</v>
      </c>
      <c r="H120" s="8">
        <v>0</v>
      </c>
      <c r="J120" s="8">
        <v>0</v>
      </c>
      <c r="K120" s="8">
        <v>0</v>
      </c>
      <c r="M120" s="8">
        <v>943.98</v>
      </c>
      <c r="N120" s="9">
        <v>60830.64</v>
      </c>
      <c r="P120" s="8">
        <v>0</v>
      </c>
      <c r="Q120" s="9">
        <v>0</v>
      </c>
      <c r="S120" s="8">
        <v>0</v>
      </c>
      <c r="T120" s="8">
        <v>0</v>
      </c>
      <c r="V120" s="9">
        <f t="shared" si="4"/>
        <v>64.440602555138881</v>
      </c>
      <c r="W120" s="10">
        <v>17.32</v>
      </c>
      <c r="X120" s="9">
        <f t="shared" si="5"/>
        <v>1116.1112362550055</v>
      </c>
      <c r="Y120" s="4">
        <v>473</v>
      </c>
      <c r="Z120" s="9">
        <f t="shared" si="6"/>
        <v>527920.61474861763</v>
      </c>
      <c r="AA120" s="9">
        <v>415521.834208477</v>
      </c>
    </row>
    <row r="121" spans="1:27">
      <c r="A121" s="147" t="s">
        <v>483</v>
      </c>
      <c r="B121" s="147" t="s">
        <v>146</v>
      </c>
      <c r="D121" s="8">
        <v>0</v>
      </c>
      <c r="E121" s="8">
        <v>0</v>
      </c>
      <c r="G121" s="8">
        <v>0</v>
      </c>
      <c r="H121" s="8">
        <v>0</v>
      </c>
      <c r="J121" s="8">
        <v>0</v>
      </c>
      <c r="K121" s="8">
        <v>0</v>
      </c>
      <c r="M121" s="8">
        <v>1179.97</v>
      </c>
      <c r="N121" s="9">
        <v>19701.79</v>
      </c>
      <c r="P121" s="8">
        <v>0</v>
      </c>
      <c r="Q121" s="9">
        <v>0</v>
      </c>
      <c r="S121" s="8">
        <v>0</v>
      </c>
      <c r="T121" s="8">
        <v>0</v>
      </c>
      <c r="V121" s="9">
        <f t="shared" si="4"/>
        <v>16.696856699746604</v>
      </c>
      <c r="W121" s="10">
        <v>21.65</v>
      </c>
      <c r="X121" s="9">
        <f t="shared" si="5"/>
        <v>361.48694754951396</v>
      </c>
      <c r="Y121" s="4">
        <v>473</v>
      </c>
      <c r="Z121" s="9">
        <f t="shared" si="6"/>
        <v>170983.32619092011</v>
      </c>
      <c r="AA121" s="9">
        <v>134579.52452140625</v>
      </c>
    </row>
    <row r="122" spans="1:27">
      <c r="A122" s="147" t="s">
        <v>484</v>
      </c>
      <c r="B122" s="147" t="s">
        <v>485</v>
      </c>
      <c r="D122" s="8">
        <v>0</v>
      </c>
      <c r="E122" s="8">
        <v>0</v>
      </c>
      <c r="G122" s="8">
        <v>0</v>
      </c>
      <c r="H122" s="8">
        <v>0</v>
      </c>
      <c r="J122" s="8">
        <v>0</v>
      </c>
      <c r="K122" s="8">
        <v>0</v>
      </c>
      <c r="M122" s="8">
        <v>1415.97</v>
      </c>
      <c r="N122" s="9">
        <v>33247.319999999992</v>
      </c>
      <c r="P122" s="8">
        <v>0</v>
      </c>
      <c r="Q122" s="9">
        <v>0</v>
      </c>
      <c r="S122" s="8">
        <v>0</v>
      </c>
      <c r="T122" s="8">
        <v>0</v>
      </c>
      <c r="V122" s="9">
        <f t="shared" si="4"/>
        <v>23.48024322549206</v>
      </c>
      <c r="W122" s="8">
        <v>25.98</v>
      </c>
      <c r="X122" s="9">
        <f t="shared" si="5"/>
        <v>610.01671899828375</v>
      </c>
      <c r="Y122" s="4">
        <v>473</v>
      </c>
      <c r="Z122" s="9">
        <f t="shared" si="6"/>
        <v>288537.9080861882</v>
      </c>
      <c r="AA122" s="9">
        <v>227105.73797869257</v>
      </c>
    </row>
    <row r="123" spans="1:27">
      <c r="A123" s="147" t="s">
        <v>486</v>
      </c>
      <c r="B123" s="147" t="s">
        <v>487</v>
      </c>
      <c r="D123" s="8">
        <v>0</v>
      </c>
      <c r="E123" s="8">
        <v>0</v>
      </c>
      <c r="G123" s="8">
        <v>0</v>
      </c>
      <c r="H123" s="8">
        <v>0</v>
      </c>
      <c r="J123" s="8">
        <v>0</v>
      </c>
      <c r="K123" s="8">
        <v>0</v>
      </c>
      <c r="M123" s="8">
        <v>150.32</v>
      </c>
      <c r="N123" s="9">
        <v>13019.84</v>
      </c>
      <c r="P123" s="8">
        <v>0</v>
      </c>
      <c r="Q123" s="9">
        <v>0</v>
      </c>
      <c r="S123" s="8">
        <v>0</v>
      </c>
      <c r="T123" s="8">
        <v>0</v>
      </c>
      <c r="V123" s="9">
        <f t="shared" si="4"/>
        <v>86.614156466205429</v>
      </c>
      <c r="W123" s="8">
        <v>1</v>
      </c>
      <c r="X123" s="9">
        <f t="shared" si="5"/>
        <v>86.614156466205429</v>
      </c>
      <c r="Y123" s="4">
        <v>473</v>
      </c>
      <c r="Z123" s="9">
        <f t="shared" si="6"/>
        <v>40968.496008515169</v>
      </c>
      <c r="AA123" s="9">
        <v>32245.955415715216</v>
      </c>
    </row>
    <row r="124" spans="1:27">
      <c r="A124" s="147" t="s">
        <v>488</v>
      </c>
      <c r="B124" s="147" t="s">
        <v>489</v>
      </c>
      <c r="D124" s="8">
        <v>0</v>
      </c>
      <c r="E124" s="8">
        <v>0</v>
      </c>
      <c r="G124" s="8">
        <v>0</v>
      </c>
      <c r="H124" s="8">
        <v>0</v>
      </c>
      <c r="J124" s="8">
        <v>0</v>
      </c>
      <c r="K124" s="8">
        <v>0</v>
      </c>
      <c r="M124" s="8">
        <v>0</v>
      </c>
      <c r="N124" s="9">
        <v>0</v>
      </c>
      <c r="P124" s="8">
        <v>28.39</v>
      </c>
      <c r="Q124" s="9">
        <v>341.7299999999999</v>
      </c>
      <c r="S124" s="8">
        <v>0</v>
      </c>
      <c r="T124" s="8">
        <v>0</v>
      </c>
      <c r="V124" s="9">
        <f t="shared" si="4"/>
        <v>12.036984853821764</v>
      </c>
      <c r="W124" s="10">
        <v>4.33</v>
      </c>
      <c r="X124" s="9">
        <f t="shared" si="5"/>
        <v>52.120144417048238</v>
      </c>
      <c r="Y124" s="4">
        <v>40</v>
      </c>
      <c r="Z124" s="9">
        <f t="shared" si="6"/>
        <v>2084.8057766819293</v>
      </c>
      <c r="AA124" s="9">
        <v>1640.9329283490954</v>
      </c>
    </row>
    <row r="125" spans="1:27">
      <c r="A125" s="147" t="s">
        <v>490</v>
      </c>
      <c r="B125" s="147" t="s">
        <v>491</v>
      </c>
      <c r="D125" s="8">
        <v>0</v>
      </c>
      <c r="E125" s="8">
        <v>0</v>
      </c>
      <c r="G125" s="8">
        <v>0</v>
      </c>
      <c r="H125" s="8">
        <v>0</v>
      </c>
      <c r="J125" s="8">
        <v>0</v>
      </c>
      <c r="K125" s="8">
        <v>0</v>
      </c>
      <c r="M125" s="8">
        <v>0</v>
      </c>
      <c r="N125" s="9">
        <v>0</v>
      </c>
      <c r="P125" s="8">
        <v>20.47</v>
      </c>
      <c r="Q125" s="9">
        <v>7647.63</v>
      </c>
      <c r="S125" s="8">
        <v>0</v>
      </c>
      <c r="T125" s="8">
        <v>0</v>
      </c>
      <c r="V125" s="9">
        <f t="shared" si="4"/>
        <v>373.60185637518322</v>
      </c>
      <c r="W125" s="10">
        <v>4.33</v>
      </c>
      <c r="X125" s="9">
        <f t="shared" si="5"/>
        <v>1617.6960381045433</v>
      </c>
      <c r="Y125" s="4">
        <v>40</v>
      </c>
      <c r="Z125" s="9">
        <f t="shared" si="6"/>
        <v>64707.841524181727</v>
      </c>
      <c r="AA125" s="9">
        <v>50930.992741404116</v>
      </c>
    </row>
    <row r="126" spans="1:27">
      <c r="A126" s="147" t="s">
        <v>191</v>
      </c>
      <c r="B126" s="147" t="s">
        <v>192</v>
      </c>
      <c r="D126" s="8">
        <v>0</v>
      </c>
      <c r="E126" s="8">
        <v>0</v>
      </c>
      <c r="G126" s="8">
        <v>435.16999999999996</v>
      </c>
      <c r="H126" s="8">
        <v>5657.21</v>
      </c>
      <c r="J126" s="8">
        <v>0</v>
      </c>
      <c r="K126" s="8">
        <v>0</v>
      </c>
      <c r="M126" s="8">
        <v>0</v>
      </c>
      <c r="N126" s="9">
        <v>0</v>
      </c>
      <c r="P126" s="8">
        <v>0</v>
      </c>
      <c r="Q126" s="9">
        <v>0</v>
      </c>
      <c r="S126" s="8">
        <v>0</v>
      </c>
      <c r="T126" s="8">
        <v>0</v>
      </c>
      <c r="V126" s="9">
        <f t="shared" si="4"/>
        <v>13.000000000000002</v>
      </c>
      <c r="W126" s="10">
        <v>4.33</v>
      </c>
      <c r="X126" s="9">
        <f t="shared" si="5"/>
        <v>56.290000000000006</v>
      </c>
      <c r="Y126" s="4">
        <v>613</v>
      </c>
      <c r="Z126" s="9">
        <f t="shared" si="6"/>
        <v>34505.770000000004</v>
      </c>
      <c r="AA126" s="9">
        <v>27159.198638233109</v>
      </c>
    </row>
    <row r="127" spans="1:27">
      <c r="A127" s="147" t="s">
        <v>492</v>
      </c>
      <c r="B127" s="147" t="s">
        <v>192</v>
      </c>
      <c r="D127" s="8">
        <v>0</v>
      </c>
      <c r="E127" s="8">
        <v>0</v>
      </c>
      <c r="G127" s="8">
        <v>0</v>
      </c>
      <c r="H127" s="8">
        <v>0</v>
      </c>
      <c r="J127" s="8">
        <v>0</v>
      </c>
      <c r="K127" s="8">
        <v>0</v>
      </c>
      <c r="M127" s="8">
        <v>662.16</v>
      </c>
      <c r="N127" s="9">
        <v>141094.44000000003</v>
      </c>
      <c r="P127" s="8">
        <v>0</v>
      </c>
      <c r="Q127" s="9">
        <v>0</v>
      </c>
      <c r="S127" s="8">
        <v>0</v>
      </c>
      <c r="T127" s="8">
        <v>0</v>
      </c>
      <c r="V127" s="9">
        <f t="shared" si="4"/>
        <v>213.0820949619428</v>
      </c>
      <c r="W127" s="10">
        <v>4.33</v>
      </c>
      <c r="X127" s="9">
        <f t="shared" si="5"/>
        <v>922.64547118521239</v>
      </c>
      <c r="Y127" s="14">
        <v>1296</v>
      </c>
      <c r="Z127" s="9">
        <f t="shared" si="6"/>
        <v>1195748.5306560353</v>
      </c>
      <c r="AA127" s="9">
        <v>941163.51744831749</v>
      </c>
    </row>
    <row r="128" spans="1:27">
      <c r="A128" s="147" t="s">
        <v>493</v>
      </c>
      <c r="B128" s="147" t="s">
        <v>150</v>
      </c>
      <c r="D128" s="8">
        <v>0</v>
      </c>
      <c r="E128" s="8">
        <v>0</v>
      </c>
      <c r="G128" s="8">
        <v>0</v>
      </c>
      <c r="H128" s="8">
        <v>0</v>
      </c>
      <c r="J128" s="8">
        <v>252.88</v>
      </c>
      <c r="K128" s="8">
        <v>11409.960000000001</v>
      </c>
      <c r="M128" s="8">
        <v>0</v>
      </c>
      <c r="N128" s="9">
        <v>0</v>
      </c>
      <c r="P128" s="8">
        <v>0</v>
      </c>
      <c r="Q128" s="9">
        <v>0</v>
      </c>
      <c r="S128" s="8">
        <v>0</v>
      </c>
      <c r="T128" s="8">
        <v>0</v>
      </c>
      <c r="V128" s="9">
        <f t="shared" si="4"/>
        <v>45.120056944005064</v>
      </c>
      <c r="W128" s="10">
        <v>4.33</v>
      </c>
      <c r="X128" s="9">
        <f t="shared" si="5"/>
        <v>195.36984656754194</v>
      </c>
      <c r="Y128" s="4">
        <v>613</v>
      </c>
      <c r="Z128" s="9">
        <f t="shared" si="6"/>
        <v>119761.71594590321</v>
      </c>
      <c r="AA128" s="9">
        <v>94263.429931586361</v>
      </c>
    </row>
    <row r="129" spans="1:27">
      <c r="A129" s="147" t="s">
        <v>494</v>
      </c>
      <c r="B129" s="147" t="s">
        <v>150</v>
      </c>
      <c r="D129" s="8">
        <v>0</v>
      </c>
      <c r="E129" s="8">
        <v>0</v>
      </c>
      <c r="G129" s="8">
        <v>0</v>
      </c>
      <c r="H129" s="8">
        <v>0</v>
      </c>
      <c r="J129" s="8">
        <v>0</v>
      </c>
      <c r="K129" s="8">
        <v>0</v>
      </c>
      <c r="M129" s="8">
        <v>294.99</v>
      </c>
      <c r="N129" s="9">
        <v>926990.94</v>
      </c>
      <c r="P129" s="8">
        <v>0</v>
      </c>
      <c r="Q129" s="9">
        <v>0</v>
      </c>
      <c r="S129" s="8">
        <v>0</v>
      </c>
      <c r="T129" s="8">
        <v>0</v>
      </c>
      <c r="V129" s="9">
        <f t="shared" si="4"/>
        <v>3142.4486931760398</v>
      </c>
      <c r="W129" s="10">
        <v>4.33</v>
      </c>
      <c r="X129" s="9">
        <f t="shared" si="5"/>
        <v>13606.802841452252</v>
      </c>
      <c r="Y129" s="4">
        <v>613</v>
      </c>
      <c r="Z129" s="9">
        <f t="shared" si="6"/>
        <v>8340970.1418102309</v>
      </c>
      <c r="AA129" s="9">
        <v>6565106.7898787772</v>
      </c>
    </row>
    <row r="130" spans="1:27">
      <c r="A130" s="147" t="s">
        <v>495</v>
      </c>
      <c r="B130" s="147" t="s">
        <v>150</v>
      </c>
      <c r="D130" s="8">
        <v>0</v>
      </c>
      <c r="E130" s="8">
        <v>0</v>
      </c>
      <c r="G130" s="8">
        <v>0</v>
      </c>
      <c r="H130" s="8">
        <v>0</v>
      </c>
      <c r="J130" s="8">
        <v>0</v>
      </c>
      <c r="K130" s="8">
        <v>0</v>
      </c>
      <c r="M130" s="8">
        <v>0</v>
      </c>
      <c r="N130" s="9">
        <v>0</v>
      </c>
      <c r="P130" s="8">
        <v>334.34</v>
      </c>
      <c r="Q130" s="9">
        <v>71835.899999999994</v>
      </c>
      <c r="S130" s="8">
        <v>0</v>
      </c>
      <c r="T130" s="8">
        <v>0</v>
      </c>
      <c r="V130" s="9">
        <f t="shared" si="4"/>
        <v>214.85882634443979</v>
      </c>
      <c r="W130" s="10">
        <v>4.33</v>
      </c>
      <c r="X130" s="9">
        <f t="shared" si="5"/>
        <v>930.3387180714243</v>
      </c>
      <c r="Y130" s="4">
        <v>613</v>
      </c>
      <c r="Z130" s="9">
        <f t="shared" si="6"/>
        <v>570297.63417778304</v>
      </c>
      <c r="AA130" s="9">
        <v>448876.42645125167</v>
      </c>
    </row>
    <row r="131" spans="1:27">
      <c r="A131" s="147" t="s">
        <v>496</v>
      </c>
      <c r="B131" s="147" t="s">
        <v>152</v>
      </c>
      <c r="D131" s="8">
        <v>0</v>
      </c>
      <c r="E131" s="8">
        <v>0</v>
      </c>
      <c r="G131" s="8">
        <v>0</v>
      </c>
      <c r="H131" s="8">
        <v>0</v>
      </c>
      <c r="J131" s="8">
        <v>505.76</v>
      </c>
      <c r="K131" s="8">
        <v>12358.880000000001</v>
      </c>
      <c r="M131" s="8">
        <v>0</v>
      </c>
      <c r="N131" s="9">
        <v>0</v>
      </c>
      <c r="P131" s="8">
        <v>0</v>
      </c>
      <c r="Q131" s="9">
        <v>0</v>
      </c>
      <c r="S131" s="8">
        <v>0</v>
      </c>
      <c r="T131" s="8">
        <v>0</v>
      </c>
      <c r="V131" s="9">
        <f t="shared" si="4"/>
        <v>24.436254349889278</v>
      </c>
      <c r="W131" s="10">
        <v>8.66</v>
      </c>
      <c r="X131" s="9">
        <f t="shared" si="5"/>
        <v>211.61796267004115</v>
      </c>
      <c r="Y131" s="4">
        <v>613</v>
      </c>
      <c r="Z131" s="9">
        <f t="shared" si="6"/>
        <v>129721.81111673523</v>
      </c>
      <c r="AA131" s="9">
        <v>102102.93628662011</v>
      </c>
    </row>
    <row r="132" spans="1:27">
      <c r="A132" s="147" t="s">
        <v>497</v>
      </c>
      <c r="B132" s="147" t="s">
        <v>152</v>
      </c>
      <c r="D132" s="8">
        <v>0</v>
      </c>
      <c r="E132" s="8">
        <v>0</v>
      </c>
      <c r="G132" s="8">
        <v>0</v>
      </c>
      <c r="H132" s="8">
        <v>0</v>
      </c>
      <c r="J132" s="8">
        <v>0</v>
      </c>
      <c r="K132" s="8">
        <v>0</v>
      </c>
      <c r="M132" s="8">
        <v>589.99</v>
      </c>
      <c r="N132" s="9">
        <v>1006348.85</v>
      </c>
      <c r="P132" s="8">
        <v>0</v>
      </c>
      <c r="Q132" s="9">
        <v>0</v>
      </c>
      <c r="S132" s="8">
        <v>0</v>
      </c>
      <c r="T132" s="8">
        <v>0</v>
      </c>
      <c r="V132" s="9">
        <f t="shared" si="4"/>
        <v>1705.7049272021559</v>
      </c>
      <c r="W132" s="10">
        <v>8.66</v>
      </c>
      <c r="X132" s="9">
        <f t="shared" si="5"/>
        <v>14771.404669570671</v>
      </c>
      <c r="Y132" s="4">
        <v>613</v>
      </c>
      <c r="Z132" s="9">
        <f t="shared" si="6"/>
        <v>9054871.0624468215</v>
      </c>
      <c r="AA132" s="9">
        <v>7127012.1440148149</v>
      </c>
    </row>
    <row r="133" spans="1:27">
      <c r="A133" s="147" t="s">
        <v>498</v>
      </c>
      <c r="B133" s="147" t="s">
        <v>152</v>
      </c>
      <c r="D133" s="8">
        <v>0</v>
      </c>
      <c r="E133" s="8">
        <v>0</v>
      </c>
      <c r="G133" s="8">
        <v>0</v>
      </c>
      <c r="H133" s="8">
        <v>0</v>
      </c>
      <c r="J133" s="8">
        <v>0</v>
      </c>
      <c r="K133" s="8">
        <v>0</v>
      </c>
      <c r="M133" s="8">
        <v>0</v>
      </c>
      <c r="N133" s="9">
        <v>0</v>
      </c>
      <c r="P133" s="8">
        <v>667.61</v>
      </c>
      <c r="Q133" s="9">
        <v>32171.519999999997</v>
      </c>
      <c r="S133" s="8">
        <v>0</v>
      </c>
      <c r="T133" s="8">
        <v>0</v>
      </c>
      <c r="V133" s="9">
        <f t="shared" si="4"/>
        <v>48.189092434205591</v>
      </c>
      <c r="W133" s="10">
        <v>8.66</v>
      </c>
      <c r="X133" s="9">
        <f t="shared" si="5"/>
        <v>417.31754048022043</v>
      </c>
      <c r="Y133" s="4">
        <v>613</v>
      </c>
      <c r="Z133" s="9">
        <f t="shared" si="6"/>
        <v>255815.65231437513</v>
      </c>
      <c r="AA133" s="9">
        <v>201350.32824873319</v>
      </c>
    </row>
    <row r="134" spans="1:27">
      <c r="A134" s="147" t="s">
        <v>499</v>
      </c>
      <c r="B134" s="147" t="s">
        <v>154</v>
      </c>
      <c r="D134" s="8">
        <v>0</v>
      </c>
      <c r="E134" s="8">
        <v>0</v>
      </c>
      <c r="G134" s="8">
        <v>0</v>
      </c>
      <c r="H134" s="8">
        <v>0</v>
      </c>
      <c r="J134" s="8">
        <v>0</v>
      </c>
      <c r="K134" s="8">
        <v>0</v>
      </c>
      <c r="M134" s="8">
        <v>884.98</v>
      </c>
      <c r="N134" s="9">
        <v>605926.43999999994</v>
      </c>
      <c r="P134" s="8">
        <v>0</v>
      </c>
      <c r="Q134" s="9">
        <v>0</v>
      </c>
      <c r="S134" s="8">
        <v>0</v>
      </c>
      <c r="T134" s="8">
        <v>0</v>
      </c>
      <c r="V134" s="9">
        <f t="shared" si="4"/>
        <v>684.67811701959363</v>
      </c>
      <c r="W134" s="10">
        <v>12.99</v>
      </c>
      <c r="X134" s="9">
        <f t="shared" si="5"/>
        <v>8893.9687400845214</v>
      </c>
      <c r="Y134" s="4">
        <v>613</v>
      </c>
      <c r="Z134" s="9">
        <f t="shared" si="6"/>
        <v>5452002.8376718117</v>
      </c>
      <c r="AA134" s="9">
        <v>4291225.1500122817</v>
      </c>
    </row>
    <row r="135" spans="1:27">
      <c r="A135" s="147" t="s">
        <v>500</v>
      </c>
      <c r="B135" s="147" t="s">
        <v>154</v>
      </c>
      <c r="D135" s="8">
        <v>0</v>
      </c>
      <c r="E135" s="8">
        <v>0</v>
      </c>
      <c r="G135" s="8">
        <v>0</v>
      </c>
      <c r="H135" s="8">
        <v>0</v>
      </c>
      <c r="J135" s="8">
        <v>0</v>
      </c>
      <c r="K135" s="8">
        <v>0</v>
      </c>
      <c r="M135" s="8">
        <v>0</v>
      </c>
      <c r="N135" s="9">
        <v>0</v>
      </c>
      <c r="P135" s="8">
        <v>1000.86</v>
      </c>
      <c r="Q135" s="9">
        <v>23116.199999999997</v>
      </c>
      <c r="S135" s="8">
        <v>0</v>
      </c>
      <c r="T135" s="8">
        <v>0</v>
      </c>
      <c r="V135" s="9">
        <f t="shared" si="4"/>
        <v>23.096337150050953</v>
      </c>
      <c r="W135" s="10">
        <v>12.99</v>
      </c>
      <c r="X135" s="9">
        <f t="shared" si="5"/>
        <v>300.02141957916189</v>
      </c>
      <c r="Y135" s="4">
        <v>613</v>
      </c>
      <c r="Z135" s="9">
        <f t="shared" si="6"/>
        <v>183913.13020202622</v>
      </c>
      <c r="AA135" s="9">
        <v>144756.46349396228</v>
      </c>
    </row>
    <row r="136" spans="1:27">
      <c r="A136" s="147" t="s">
        <v>501</v>
      </c>
      <c r="B136" s="147" t="s">
        <v>156</v>
      </c>
      <c r="D136" s="8">
        <v>0</v>
      </c>
      <c r="E136" s="8">
        <v>0</v>
      </c>
      <c r="G136" s="8">
        <v>0</v>
      </c>
      <c r="H136" s="8">
        <v>0</v>
      </c>
      <c r="J136" s="8">
        <v>0</v>
      </c>
      <c r="K136" s="8">
        <v>0</v>
      </c>
      <c r="M136" s="8">
        <v>1179.97</v>
      </c>
      <c r="N136" s="9">
        <v>187469.27000000002</v>
      </c>
      <c r="P136" s="8">
        <v>0</v>
      </c>
      <c r="Q136" s="9">
        <v>0</v>
      </c>
      <c r="S136" s="8">
        <v>0</v>
      </c>
      <c r="T136" s="8">
        <v>0</v>
      </c>
      <c r="V136" s="9">
        <f t="shared" ref="V136:V199" si="7">+IFERROR((E136/D136),0)+IFERROR((H136/G136),0)+IFERROR((K136/J136),0)+IFERROR((N136/M136),0)+IFERROR((Q136/P136),0)+IFERROR((T136/S136),0)</f>
        <v>158.87630193987985</v>
      </c>
      <c r="W136" s="10">
        <v>17.32</v>
      </c>
      <c r="X136" s="9">
        <f t="shared" ref="X136:X199" si="8">+V136*W136</f>
        <v>2751.7375495987189</v>
      </c>
      <c r="Y136" s="4">
        <v>613</v>
      </c>
      <c r="Z136" s="9">
        <f t="shared" ref="Z136:Z199" si="9">+X136*Y136</f>
        <v>1686815.1179040147</v>
      </c>
      <c r="AA136" s="9">
        <v>1327677.8594747989</v>
      </c>
    </row>
    <row r="137" spans="1:27">
      <c r="A137" s="147" t="s">
        <v>502</v>
      </c>
      <c r="B137" s="147" t="s">
        <v>158</v>
      </c>
      <c r="D137" s="8">
        <v>0</v>
      </c>
      <c r="E137" s="8">
        <v>0</v>
      </c>
      <c r="G137" s="8">
        <v>0</v>
      </c>
      <c r="H137" s="8">
        <v>0</v>
      </c>
      <c r="J137" s="8">
        <v>0</v>
      </c>
      <c r="K137" s="8">
        <v>0</v>
      </c>
      <c r="M137" s="8">
        <v>1474.97</v>
      </c>
      <c r="N137" s="9">
        <v>55301.4</v>
      </c>
      <c r="P137" s="8">
        <v>0</v>
      </c>
      <c r="Q137" s="9">
        <v>0</v>
      </c>
      <c r="S137" s="8">
        <v>0</v>
      </c>
      <c r="T137" s="8">
        <v>0</v>
      </c>
      <c r="V137" s="9">
        <f t="shared" si="7"/>
        <v>37.493237150586111</v>
      </c>
      <c r="W137" s="10">
        <v>21.65</v>
      </c>
      <c r="X137" s="9">
        <f t="shared" si="8"/>
        <v>811.72858431018926</v>
      </c>
      <c r="Y137" s="4">
        <v>613</v>
      </c>
      <c r="Z137" s="9">
        <f t="shared" si="9"/>
        <v>497589.62218214601</v>
      </c>
      <c r="AA137" s="9">
        <v>391648.56744736503</v>
      </c>
    </row>
    <row r="138" spans="1:27">
      <c r="A138" s="147" t="s">
        <v>503</v>
      </c>
      <c r="B138" s="147" t="s">
        <v>160</v>
      </c>
      <c r="D138" s="8">
        <v>0</v>
      </c>
      <c r="E138" s="8">
        <v>0</v>
      </c>
      <c r="G138" s="8">
        <v>0</v>
      </c>
      <c r="H138" s="8">
        <v>0</v>
      </c>
      <c r="J138" s="8">
        <v>0</v>
      </c>
      <c r="K138" s="8">
        <v>0</v>
      </c>
      <c r="M138" s="8">
        <v>1769.96</v>
      </c>
      <c r="N138" s="9">
        <v>98798.75</v>
      </c>
      <c r="P138" s="8">
        <v>0</v>
      </c>
      <c r="Q138" s="9">
        <v>0</v>
      </c>
      <c r="S138" s="8">
        <v>0</v>
      </c>
      <c r="T138" s="8">
        <v>0</v>
      </c>
      <c r="V138" s="9">
        <f t="shared" si="7"/>
        <v>55.819764288458494</v>
      </c>
      <c r="W138" s="4">
        <v>25.98</v>
      </c>
      <c r="X138" s="9">
        <f t="shared" si="8"/>
        <v>1450.1974762141517</v>
      </c>
      <c r="Y138" s="4">
        <v>613</v>
      </c>
      <c r="Z138" s="9">
        <f t="shared" si="9"/>
        <v>888971.05291927501</v>
      </c>
      <c r="AA138" s="9">
        <v>699701.56903827458</v>
      </c>
    </row>
    <row r="139" spans="1:27">
      <c r="A139" s="147" t="s">
        <v>504</v>
      </c>
      <c r="B139" s="147" t="s">
        <v>164</v>
      </c>
      <c r="D139" s="8">
        <v>0</v>
      </c>
      <c r="E139" s="8">
        <v>0</v>
      </c>
      <c r="G139" s="8">
        <v>0</v>
      </c>
      <c r="H139" s="8">
        <v>0</v>
      </c>
      <c r="J139" s="8">
        <v>284.79000000000002</v>
      </c>
      <c r="K139" s="8">
        <v>0</v>
      </c>
      <c r="M139" s="8">
        <v>0</v>
      </c>
      <c r="N139" s="9">
        <v>0</v>
      </c>
      <c r="P139" s="8">
        <v>0</v>
      </c>
      <c r="Q139" s="9">
        <v>0</v>
      </c>
      <c r="S139" s="8">
        <v>0</v>
      </c>
      <c r="T139" s="8">
        <v>0</v>
      </c>
      <c r="V139" s="9">
        <f t="shared" si="7"/>
        <v>0</v>
      </c>
      <c r="W139" s="10">
        <v>4.33</v>
      </c>
      <c r="X139" s="9">
        <f t="shared" si="8"/>
        <v>0</v>
      </c>
      <c r="Y139" s="4">
        <v>728</v>
      </c>
      <c r="Z139" s="9">
        <f t="shared" si="9"/>
        <v>0</v>
      </c>
      <c r="AA139" s="9">
        <v>0</v>
      </c>
    </row>
    <row r="140" spans="1:27">
      <c r="A140" s="147" t="s">
        <v>505</v>
      </c>
      <c r="B140" s="147" t="s">
        <v>164</v>
      </c>
      <c r="D140" s="8">
        <v>0</v>
      </c>
      <c r="E140" s="8">
        <v>0</v>
      </c>
      <c r="G140" s="8">
        <v>0</v>
      </c>
      <c r="H140" s="8">
        <v>0</v>
      </c>
      <c r="J140" s="8">
        <v>0</v>
      </c>
      <c r="K140" s="8">
        <v>0</v>
      </c>
      <c r="M140" s="8">
        <v>353.99</v>
      </c>
      <c r="N140" s="9">
        <v>8311.7999999999993</v>
      </c>
      <c r="P140" s="8">
        <v>0</v>
      </c>
      <c r="Q140" s="9">
        <v>0</v>
      </c>
      <c r="S140" s="8">
        <v>0</v>
      </c>
      <c r="T140" s="8">
        <v>0</v>
      </c>
      <c r="V140" s="9">
        <f t="shared" si="7"/>
        <v>23.480324302946407</v>
      </c>
      <c r="W140" s="10">
        <v>4.33</v>
      </c>
      <c r="X140" s="9">
        <f t="shared" si="8"/>
        <v>101.66980423175795</v>
      </c>
      <c r="Y140" s="4">
        <v>728</v>
      </c>
      <c r="Z140" s="9">
        <f t="shared" si="9"/>
        <v>74015.617480719782</v>
      </c>
      <c r="AA140" s="9">
        <v>58257.064180580441</v>
      </c>
    </row>
    <row r="141" spans="1:27">
      <c r="A141" s="147" t="s">
        <v>506</v>
      </c>
      <c r="B141" s="147" t="s">
        <v>507</v>
      </c>
      <c r="D141" s="8">
        <v>0</v>
      </c>
      <c r="E141" s="8">
        <v>0</v>
      </c>
      <c r="G141" s="8">
        <v>0</v>
      </c>
      <c r="H141" s="8">
        <v>0</v>
      </c>
      <c r="J141" s="8">
        <v>0</v>
      </c>
      <c r="K141" s="8">
        <v>0</v>
      </c>
      <c r="M141" s="8">
        <v>927.02</v>
      </c>
      <c r="N141" s="9">
        <v>25938.270000000004</v>
      </c>
      <c r="P141" s="8">
        <v>0</v>
      </c>
      <c r="Q141" s="9">
        <v>0</v>
      </c>
      <c r="S141" s="8">
        <v>0</v>
      </c>
      <c r="T141" s="8">
        <v>0</v>
      </c>
      <c r="V141" s="9">
        <f t="shared" si="7"/>
        <v>27.980270112834681</v>
      </c>
      <c r="W141" s="10">
        <v>4.33</v>
      </c>
      <c r="X141" s="9">
        <f t="shared" si="8"/>
        <v>121.15456958857418</v>
      </c>
      <c r="Y141" s="14">
        <v>1892</v>
      </c>
      <c r="Z141" s="9">
        <f t="shared" si="9"/>
        <v>229224.44566158234</v>
      </c>
      <c r="AA141" s="9">
        <v>180420.61523222885</v>
      </c>
    </row>
    <row r="142" spans="1:27">
      <c r="A142" s="147" t="s">
        <v>508</v>
      </c>
      <c r="B142" s="147" t="s">
        <v>168</v>
      </c>
      <c r="D142" s="8">
        <v>0</v>
      </c>
      <c r="E142" s="8">
        <v>0</v>
      </c>
      <c r="G142" s="8">
        <v>0</v>
      </c>
      <c r="H142" s="8">
        <v>0</v>
      </c>
      <c r="J142" s="8">
        <v>316.41000000000003</v>
      </c>
      <c r="K142" s="8">
        <v>37960.740000000005</v>
      </c>
      <c r="M142" s="8">
        <v>0</v>
      </c>
      <c r="N142" s="9">
        <v>0</v>
      </c>
      <c r="P142" s="8">
        <v>0</v>
      </c>
      <c r="Q142" s="9">
        <v>0</v>
      </c>
      <c r="S142" s="8">
        <v>0</v>
      </c>
      <c r="T142" s="8">
        <v>0</v>
      </c>
      <c r="V142" s="9">
        <f t="shared" si="7"/>
        <v>119.97326253911065</v>
      </c>
      <c r="W142" s="10">
        <v>4.33</v>
      </c>
      <c r="X142" s="9">
        <f t="shared" si="8"/>
        <v>519.48422679434907</v>
      </c>
      <c r="Y142" s="4">
        <v>840</v>
      </c>
      <c r="Z142" s="9">
        <f t="shared" si="9"/>
        <v>436366.75050725322</v>
      </c>
      <c r="AA142" s="9">
        <v>343460.56488948938</v>
      </c>
    </row>
    <row r="143" spans="1:27">
      <c r="A143" s="147" t="s">
        <v>167</v>
      </c>
      <c r="B143" s="147" t="s">
        <v>168</v>
      </c>
      <c r="D143" s="8">
        <v>0</v>
      </c>
      <c r="E143" s="8">
        <v>0</v>
      </c>
      <c r="G143" s="8">
        <v>0</v>
      </c>
      <c r="H143" s="8">
        <v>0</v>
      </c>
      <c r="J143" s="8">
        <v>0</v>
      </c>
      <c r="K143" s="8">
        <v>0</v>
      </c>
      <c r="M143" s="8">
        <v>0</v>
      </c>
      <c r="N143" s="9">
        <v>0</v>
      </c>
      <c r="P143" s="8">
        <v>0</v>
      </c>
      <c r="Q143" s="9">
        <v>0</v>
      </c>
      <c r="S143" s="8">
        <v>0</v>
      </c>
      <c r="T143" s="8">
        <v>0</v>
      </c>
      <c r="V143" s="9">
        <f t="shared" si="7"/>
        <v>0</v>
      </c>
      <c r="W143" s="10">
        <v>4.33</v>
      </c>
      <c r="X143" s="9">
        <f t="shared" si="8"/>
        <v>0</v>
      </c>
      <c r="Y143" s="4">
        <v>840</v>
      </c>
      <c r="Z143" s="9">
        <f t="shared" si="9"/>
        <v>0</v>
      </c>
      <c r="AA143" s="9">
        <v>0</v>
      </c>
    </row>
    <row r="144" spans="1:27">
      <c r="A144" s="147" t="s">
        <v>509</v>
      </c>
      <c r="B144" s="147" t="s">
        <v>168</v>
      </c>
      <c r="D144" s="8">
        <v>0</v>
      </c>
      <c r="E144" s="8">
        <v>0</v>
      </c>
      <c r="G144" s="8">
        <v>0</v>
      </c>
      <c r="H144" s="8">
        <v>0</v>
      </c>
      <c r="J144" s="8">
        <v>0</v>
      </c>
      <c r="K144" s="8">
        <v>0</v>
      </c>
      <c r="M144" s="8">
        <v>412.99</v>
      </c>
      <c r="N144" s="9">
        <v>643842.76</v>
      </c>
      <c r="P144" s="8">
        <v>0</v>
      </c>
      <c r="Q144" s="9">
        <v>0</v>
      </c>
      <c r="S144" s="8">
        <v>0</v>
      </c>
      <c r="T144" s="8">
        <v>0</v>
      </c>
      <c r="V144" s="9">
        <f t="shared" si="7"/>
        <v>1558.9790551829342</v>
      </c>
      <c r="W144" s="10">
        <v>4.33</v>
      </c>
      <c r="X144" s="9">
        <f t="shared" si="8"/>
        <v>6750.3793089421051</v>
      </c>
      <c r="Y144" s="4">
        <v>840</v>
      </c>
      <c r="Z144" s="9">
        <f t="shared" si="9"/>
        <v>5670318.6195113687</v>
      </c>
      <c r="AA144" s="9">
        <v>4463059.6485567773</v>
      </c>
    </row>
    <row r="145" spans="1:27">
      <c r="A145" s="147" t="s">
        <v>510</v>
      </c>
      <c r="B145" s="147" t="s">
        <v>168</v>
      </c>
      <c r="D145" s="8">
        <v>0</v>
      </c>
      <c r="E145" s="8">
        <v>0</v>
      </c>
      <c r="G145" s="8">
        <v>0</v>
      </c>
      <c r="H145" s="8">
        <v>0</v>
      </c>
      <c r="J145" s="8">
        <v>0</v>
      </c>
      <c r="K145" s="8">
        <v>0</v>
      </c>
      <c r="M145" s="8">
        <v>0</v>
      </c>
      <c r="N145" s="9">
        <v>0</v>
      </c>
      <c r="P145" s="8">
        <v>445.48</v>
      </c>
      <c r="Q145" s="9">
        <v>29629.870000000003</v>
      </c>
      <c r="S145" s="8">
        <v>0</v>
      </c>
      <c r="T145" s="8">
        <v>0</v>
      </c>
      <c r="V145" s="9">
        <f t="shared" si="7"/>
        <v>66.51223399479214</v>
      </c>
      <c r="W145" s="10">
        <v>4.33</v>
      </c>
      <c r="X145" s="9">
        <f t="shared" si="8"/>
        <v>287.99797319744999</v>
      </c>
      <c r="Y145" s="4">
        <v>840</v>
      </c>
      <c r="Z145" s="9">
        <f t="shared" si="9"/>
        <v>241918.297485858</v>
      </c>
      <c r="AA145" s="9">
        <v>190411.83824159222</v>
      </c>
    </row>
    <row r="146" spans="1:27">
      <c r="A146" s="147" t="s">
        <v>511</v>
      </c>
      <c r="B146" s="147" t="s">
        <v>170</v>
      </c>
      <c r="D146" s="8">
        <v>0</v>
      </c>
      <c r="E146" s="8">
        <v>0</v>
      </c>
      <c r="G146" s="8">
        <v>0</v>
      </c>
      <c r="H146" s="8">
        <v>0</v>
      </c>
      <c r="J146" s="8">
        <v>632.82000000000005</v>
      </c>
      <c r="K146" s="8">
        <v>7575.24</v>
      </c>
      <c r="M146" s="8">
        <v>0</v>
      </c>
      <c r="N146" s="9">
        <v>0</v>
      </c>
      <c r="P146" s="8">
        <v>0</v>
      </c>
      <c r="Q146" s="9">
        <v>0</v>
      </c>
      <c r="S146" s="8">
        <v>0</v>
      </c>
      <c r="T146" s="8">
        <v>0</v>
      </c>
      <c r="V146" s="9">
        <f t="shared" si="7"/>
        <v>11.97060775575993</v>
      </c>
      <c r="W146" s="10">
        <v>8.66</v>
      </c>
      <c r="X146" s="9">
        <f t="shared" si="8"/>
        <v>103.665463164881</v>
      </c>
      <c r="Y146" s="4">
        <v>840</v>
      </c>
      <c r="Z146" s="9">
        <f t="shared" si="9"/>
        <v>87078.989058500039</v>
      </c>
      <c r="AA146" s="9">
        <v>68539.133050974662</v>
      </c>
    </row>
    <row r="147" spans="1:27">
      <c r="A147" s="147" t="s">
        <v>512</v>
      </c>
      <c r="B147" s="147" t="s">
        <v>170</v>
      </c>
      <c r="D147" s="8">
        <v>0</v>
      </c>
      <c r="E147" s="8">
        <v>0</v>
      </c>
      <c r="G147" s="8">
        <v>0</v>
      </c>
      <c r="H147" s="8">
        <v>0</v>
      </c>
      <c r="J147" s="8">
        <v>0</v>
      </c>
      <c r="K147" s="8">
        <v>0</v>
      </c>
      <c r="M147" s="8">
        <v>825.98</v>
      </c>
      <c r="N147" s="9">
        <v>511448.14</v>
      </c>
      <c r="P147" s="8">
        <v>0</v>
      </c>
      <c r="Q147" s="9">
        <v>0</v>
      </c>
      <c r="S147" s="8">
        <v>0</v>
      </c>
      <c r="T147" s="8">
        <v>0</v>
      </c>
      <c r="V147" s="9">
        <f t="shared" si="7"/>
        <v>619.20160294438119</v>
      </c>
      <c r="W147" s="10">
        <v>8.66</v>
      </c>
      <c r="X147" s="9">
        <f t="shared" si="8"/>
        <v>5362.285881498341</v>
      </c>
      <c r="Y147" s="4">
        <v>840</v>
      </c>
      <c r="Z147" s="9">
        <f t="shared" si="9"/>
        <v>4504320.1404586062</v>
      </c>
      <c r="AA147" s="9">
        <v>3545312.1441692021</v>
      </c>
    </row>
    <row r="148" spans="1:27">
      <c r="A148" s="147" t="s">
        <v>513</v>
      </c>
      <c r="B148" s="147" t="s">
        <v>170</v>
      </c>
      <c r="D148" s="8">
        <v>0</v>
      </c>
      <c r="E148" s="8">
        <v>0</v>
      </c>
      <c r="G148" s="8">
        <v>0</v>
      </c>
      <c r="H148" s="8">
        <v>0</v>
      </c>
      <c r="J148" s="8">
        <v>0</v>
      </c>
      <c r="K148" s="8">
        <v>0</v>
      </c>
      <c r="M148" s="8">
        <v>0</v>
      </c>
      <c r="N148" s="9">
        <v>0</v>
      </c>
      <c r="P148" s="8">
        <v>889.33</v>
      </c>
      <c r="Q148" s="9">
        <v>10046.540000000001</v>
      </c>
      <c r="S148" s="8">
        <v>0</v>
      </c>
      <c r="T148" s="8">
        <v>0</v>
      </c>
      <c r="V148" s="9">
        <f t="shared" si="7"/>
        <v>11.296751487074539</v>
      </c>
      <c r="W148" s="10">
        <v>8.66</v>
      </c>
      <c r="X148" s="9">
        <f t="shared" si="8"/>
        <v>97.829867878065514</v>
      </c>
      <c r="Y148" s="4">
        <v>840</v>
      </c>
      <c r="Z148" s="9">
        <f t="shared" si="9"/>
        <v>82177.089017575025</v>
      </c>
      <c r="AA148" s="9">
        <v>64680.889142311105</v>
      </c>
    </row>
    <row r="149" spans="1:27">
      <c r="A149" s="147" t="s">
        <v>514</v>
      </c>
      <c r="B149" s="147" t="s">
        <v>172</v>
      </c>
      <c r="D149" s="8">
        <v>0</v>
      </c>
      <c r="E149" s="8">
        <v>0</v>
      </c>
      <c r="G149" s="8">
        <v>0</v>
      </c>
      <c r="H149" s="8">
        <v>0</v>
      </c>
      <c r="J149" s="8">
        <v>0</v>
      </c>
      <c r="K149" s="8">
        <v>0</v>
      </c>
      <c r="M149" s="8">
        <v>1238.97</v>
      </c>
      <c r="N149" s="9">
        <v>211269.12</v>
      </c>
      <c r="P149" s="8">
        <v>0</v>
      </c>
      <c r="Q149" s="9">
        <v>0</v>
      </c>
      <c r="S149" s="8">
        <v>0</v>
      </c>
      <c r="T149" s="8">
        <v>0</v>
      </c>
      <c r="V149" s="9">
        <f t="shared" si="7"/>
        <v>170.5199641637812</v>
      </c>
      <c r="W149" s="10">
        <v>12.99</v>
      </c>
      <c r="X149" s="9">
        <f t="shared" si="8"/>
        <v>2215.0543344875177</v>
      </c>
      <c r="Y149" s="4">
        <v>840</v>
      </c>
      <c r="Z149" s="9">
        <f t="shared" si="9"/>
        <v>1860645.6409695148</v>
      </c>
      <c r="AA149" s="9">
        <v>1464498.3884855667</v>
      </c>
    </row>
    <row r="150" spans="1:27">
      <c r="A150" s="147" t="s">
        <v>515</v>
      </c>
      <c r="B150" s="147" t="s">
        <v>172</v>
      </c>
      <c r="D150" s="8">
        <v>0</v>
      </c>
      <c r="E150" s="8">
        <v>0</v>
      </c>
      <c r="G150" s="8">
        <v>0</v>
      </c>
      <c r="H150" s="8">
        <v>0</v>
      </c>
      <c r="J150" s="8">
        <v>0</v>
      </c>
      <c r="K150" s="8">
        <v>0</v>
      </c>
      <c r="M150" s="8">
        <v>0</v>
      </c>
      <c r="N150" s="9">
        <v>0</v>
      </c>
      <c r="P150" s="8">
        <v>1333.16</v>
      </c>
      <c r="Q150" s="9">
        <v>31456.7</v>
      </c>
      <c r="S150" s="8">
        <v>0</v>
      </c>
      <c r="T150" s="8">
        <v>0</v>
      </c>
      <c r="V150" s="9">
        <f t="shared" si="7"/>
        <v>23.595592427015511</v>
      </c>
      <c r="W150" s="10">
        <v>12.99</v>
      </c>
      <c r="X150" s="9">
        <f t="shared" si="8"/>
        <v>306.50674562693149</v>
      </c>
      <c r="Y150" s="4">
        <v>840</v>
      </c>
      <c r="Z150" s="9">
        <f t="shared" si="9"/>
        <v>257465.66632662245</v>
      </c>
      <c r="AA150" s="9">
        <v>202649.0402703601</v>
      </c>
    </row>
    <row r="151" spans="1:27">
      <c r="A151" s="147" t="s">
        <v>516</v>
      </c>
      <c r="B151" s="147" t="s">
        <v>517</v>
      </c>
      <c r="D151" s="8">
        <v>0</v>
      </c>
      <c r="E151" s="8">
        <v>0</v>
      </c>
      <c r="G151" s="8">
        <v>0</v>
      </c>
      <c r="H151" s="8">
        <v>0</v>
      </c>
      <c r="J151" s="8">
        <v>0</v>
      </c>
      <c r="K151" s="8">
        <v>0</v>
      </c>
      <c r="M151" s="8">
        <v>1651.96</v>
      </c>
      <c r="N151" s="9">
        <v>96971.1</v>
      </c>
      <c r="P151" s="8">
        <v>0</v>
      </c>
      <c r="Q151" s="9">
        <v>0</v>
      </c>
      <c r="S151" s="8">
        <v>0</v>
      </c>
      <c r="T151" s="8">
        <v>0</v>
      </c>
      <c r="V151" s="9">
        <f t="shared" si="7"/>
        <v>58.70063439792731</v>
      </c>
      <c r="W151" s="10">
        <v>17.32</v>
      </c>
      <c r="X151" s="9">
        <f t="shared" si="8"/>
        <v>1016.6949877721011</v>
      </c>
      <c r="Y151" s="4">
        <v>840</v>
      </c>
      <c r="Z151" s="9">
        <f t="shared" si="9"/>
        <v>854023.78972856491</v>
      </c>
      <c r="AA151" s="9">
        <v>672194.87485758809</v>
      </c>
    </row>
    <row r="152" spans="1:27">
      <c r="A152" s="147" t="s">
        <v>518</v>
      </c>
      <c r="B152" s="147" t="s">
        <v>174</v>
      </c>
      <c r="D152" s="8">
        <v>0</v>
      </c>
      <c r="E152" s="8">
        <v>0</v>
      </c>
      <c r="G152" s="8">
        <v>0</v>
      </c>
      <c r="H152" s="8">
        <v>0</v>
      </c>
      <c r="J152" s="8">
        <v>0</v>
      </c>
      <c r="K152" s="8">
        <v>0</v>
      </c>
      <c r="M152" s="8">
        <v>2064.9499999999998</v>
      </c>
      <c r="N152" s="9">
        <v>1975.52</v>
      </c>
      <c r="P152" s="8">
        <v>0</v>
      </c>
      <c r="Q152" s="9">
        <v>0</v>
      </c>
      <c r="S152" s="8">
        <v>0</v>
      </c>
      <c r="T152" s="8">
        <v>0</v>
      </c>
      <c r="V152" s="9">
        <f t="shared" si="7"/>
        <v>0.95669144531344597</v>
      </c>
      <c r="W152" s="10">
        <v>21.65</v>
      </c>
      <c r="X152" s="9">
        <f t="shared" si="8"/>
        <v>20.712369791036103</v>
      </c>
      <c r="Y152" s="4">
        <v>840</v>
      </c>
      <c r="Z152" s="9">
        <f t="shared" si="9"/>
        <v>17398.390624470325</v>
      </c>
      <c r="AA152" s="9">
        <v>13694.125560900744</v>
      </c>
    </row>
    <row r="153" spans="1:27">
      <c r="A153" s="147" t="s">
        <v>519</v>
      </c>
      <c r="B153" s="147" t="s">
        <v>520</v>
      </c>
      <c r="D153" s="8">
        <v>0</v>
      </c>
      <c r="E153" s="8">
        <v>0</v>
      </c>
      <c r="G153" s="8">
        <v>0</v>
      </c>
      <c r="H153" s="8">
        <v>0</v>
      </c>
      <c r="J153" s="8">
        <v>0</v>
      </c>
      <c r="K153" s="8">
        <v>0</v>
      </c>
      <c r="M153" s="8">
        <v>2477.94</v>
      </c>
      <c r="N153" s="9">
        <v>26720.739999999998</v>
      </c>
      <c r="P153" s="8">
        <v>0</v>
      </c>
      <c r="Q153" s="9">
        <v>0</v>
      </c>
      <c r="S153" s="8">
        <v>0</v>
      </c>
      <c r="T153" s="8">
        <v>0</v>
      </c>
      <c r="V153" s="9">
        <f t="shared" si="7"/>
        <v>10.783449155346778</v>
      </c>
      <c r="W153" s="4">
        <v>25.98</v>
      </c>
      <c r="X153" s="9">
        <f t="shared" si="8"/>
        <v>280.15400905590928</v>
      </c>
      <c r="Y153" s="4">
        <v>840</v>
      </c>
      <c r="Z153" s="9">
        <f t="shared" si="9"/>
        <v>235329.36760696379</v>
      </c>
      <c r="AA153" s="9">
        <v>185225.74746911338</v>
      </c>
    </row>
    <row r="154" spans="1:27">
      <c r="A154" s="147" t="s">
        <v>521</v>
      </c>
      <c r="B154" s="147" t="s">
        <v>178</v>
      </c>
      <c r="D154" s="8">
        <v>0</v>
      </c>
      <c r="E154" s="8">
        <v>0</v>
      </c>
      <c r="G154" s="8">
        <v>0</v>
      </c>
      <c r="H154" s="8">
        <v>0</v>
      </c>
      <c r="J154" s="8">
        <v>379.69</v>
      </c>
      <c r="K154" s="8">
        <v>26416.43</v>
      </c>
      <c r="M154" s="8">
        <v>0</v>
      </c>
      <c r="N154" s="9">
        <v>0</v>
      </c>
      <c r="P154" s="8">
        <v>0</v>
      </c>
      <c r="Q154" s="9">
        <v>0</v>
      </c>
      <c r="S154" s="8">
        <v>0</v>
      </c>
      <c r="T154" s="8">
        <v>0</v>
      </c>
      <c r="V154" s="9">
        <f t="shared" si="7"/>
        <v>69.57367852721957</v>
      </c>
      <c r="W154" s="10">
        <v>4.33</v>
      </c>
      <c r="X154" s="9">
        <f t="shared" si="8"/>
        <v>301.25402802286072</v>
      </c>
      <c r="Y154" s="4">
        <v>980</v>
      </c>
      <c r="Z154" s="9">
        <f t="shared" si="9"/>
        <v>295228.94746240351</v>
      </c>
      <c r="AA154" s="9">
        <v>232372.19826967787</v>
      </c>
    </row>
    <row r="155" spans="1:27">
      <c r="A155" s="147" t="s">
        <v>522</v>
      </c>
      <c r="B155" s="147" t="s">
        <v>178</v>
      </c>
      <c r="D155" s="8">
        <v>0</v>
      </c>
      <c r="E155" s="8">
        <v>0</v>
      </c>
      <c r="G155" s="8">
        <v>0</v>
      </c>
      <c r="H155" s="8">
        <v>0</v>
      </c>
      <c r="J155" s="8">
        <v>0</v>
      </c>
      <c r="K155" s="8">
        <v>0</v>
      </c>
      <c r="M155" s="8">
        <v>530.99</v>
      </c>
      <c r="N155" s="9">
        <v>405973.48</v>
      </c>
      <c r="P155" s="8">
        <v>0</v>
      </c>
      <c r="Q155" s="9">
        <v>0</v>
      </c>
      <c r="S155" s="8">
        <v>0</v>
      </c>
      <c r="T155" s="8">
        <v>0</v>
      </c>
      <c r="V155" s="9">
        <f t="shared" si="7"/>
        <v>764.55955856042488</v>
      </c>
      <c r="W155" s="10">
        <v>4.33</v>
      </c>
      <c r="X155" s="9">
        <f t="shared" si="8"/>
        <v>3310.5428885666397</v>
      </c>
      <c r="Y155" s="4">
        <v>980</v>
      </c>
      <c r="Z155" s="9">
        <f t="shared" si="9"/>
        <v>3244332.0307953069</v>
      </c>
      <c r="AA155" s="9">
        <v>2553586.1994313397</v>
      </c>
    </row>
    <row r="156" spans="1:27">
      <c r="A156" s="147" t="s">
        <v>523</v>
      </c>
      <c r="B156" s="147" t="s">
        <v>178</v>
      </c>
      <c r="D156" s="8">
        <v>0</v>
      </c>
      <c r="E156" s="8">
        <v>0</v>
      </c>
      <c r="G156" s="8">
        <v>0</v>
      </c>
      <c r="H156" s="8">
        <v>0</v>
      </c>
      <c r="J156" s="8">
        <v>0</v>
      </c>
      <c r="K156" s="8">
        <v>0</v>
      </c>
      <c r="M156" s="8">
        <v>0</v>
      </c>
      <c r="N156" s="9">
        <v>0</v>
      </c>
      <c r="P156" s="8">
        <v>583.35</v>
      </c>
      <c r="Q156" s="9">
        <v>24431.09</v>
      </c>
      <c r="S156" s="8">
        <v>0</v>
      </c>
      <c r="T156" s="8">
        <v>0</v>
      </c>
      <c r="V156" s="9">
        <f t="shared" si="7"/>
        <v>41.88067198080055</v>
      </c>
      <c r="W156" s="10">
        <v>4.33</v>
      </c>
      <c r="X156" s="9">
        <f t="shared" si="8"/>
        <v>181.34330967686637</v>
      </c>
      <c r="Y156" s="4">
        <v>980</v>
      </c>
      <c r="Z156" s="9">
        <f t="shared" si="9"/>
        <v>177716.44348332903</v>
      </c>
      <c r="AA156" s="9">
        <v>139879.10398301677</v>
      </c>
    </row>
    <row r="157" spans="1:27">
      <c r="A157" s="147" t="s">
        <v>524</v>
      </c>
      <c r="B157" s="147" t="s">
        <v>180</v>
      </c>
      <c r="D157" s="8">
        <v>0</v>
      </c>
      <c r="E157" s="8">
        <v>0</v>
      </c>
      <c r="G157" s="8">
        <v>0</v>
      </c>
      <c r="H157" s="8">
        <v>0</v>
      </c>
      <c r="J157" s="8">
        <v>0</v>
      </c>
      <c r="K157" s="8">
        <v>0</v>
      </c>
      <c r="M157" s="8">
        <v>1061.98</v>
      </c>
      <c r="N157" s="9">
        <v>357137.91</v>
      </c>
      <c r="P157" s="8">
        <v>0</v>
      </c>
      <c r="Q157" s="9">
        <v>0</v>
      </c>
      <c r="S157" s="8">
        <v>0</v>
      </c>
      <c r="T157" s="8">
        <v>0</v>
      </c>
      <c r="V157" s="9">
        <f t="shared" si="7"/>
        <v>336.29438407502965</v>
      </c>
      <c r="W157" s="10">
        <v>8.66</v>
      </c>
      <c r="X157" s="9">
        <f t="shared" si="8"/>
        <v>2912.3093660897571</v>
      </c>
      <c r="Y157" s="4">
        <v>980</v>
      </c>
      <c r="Z157" s="9">
        <f t="shared" si="9"/>
        <v>2854063.1787679619</v>
      </c>
      <c r="AA157" s="9">
        <v>2246408.8990979213</v>
      </c>
    </row>
    <row r="158" spans="1:27">
      <c r="A158" s="147" t="s">
        <v>525</v>
      </c>
      <c r="B158" s="147" t="s">
        <v>180</v>
      </c>
      <c r="D158" s="8">
        <v>0</v>
      </c>
      <c r="E158" s="8">
        <v>0</v>
      </c>
      <c r="G158" s="8">
        <v>0</v>
      </c>
      <c r="H158" s="8">
        <v>0</v>
      </c>
      <c r="J158" s="8">
        <v>0</v>
      </c>
      <c r="K158" s="8">
        <v>0</v>
      </c>
      <c r="M158" s="8">
        <v>0</v>
      </c>
      <c r="N158" s="9">
        <v>0</v>
      </c>
      <c r="P158" s="8">
        <v>1137.77</v>
      </c>
      <c r="Q158" s="9">
        <v>0</v>
      </c>
      <c r="S158" s="8">
        <v>0</v>
      </c>
      <c r="T158" s="8">
        <v>0</v>
      </c>
      <c r="V158" s="9">
        <f t="shared" si="7"/>
        <v>0</v>
      </c>
      <c r="W158" s="10">
        <v>8.66</v>
      </c>
      <c r="X158" s="9">
        <f t="shared" si="8"/>
        <v>0</v>
      </c>
      <c r="Y158" s="4">
        <v>980</v>
      </c>
      <c r="Z158" s="9">
        <f t="shared" si="9"/>
        <v>0</v>
      </c>
      <c r="AA158" s="9">
        <v>0</v>
      </c>
    </row>
    <row r="159" spans="1:27">
      <c r="A159" s="147" t="s">
        <v>526</v>
      </c>
      <c r="B159" s="147" t="s">
        <v>182</v>
      </c>
      <c r="D159" s="8">
        <v>0</v>
      </c>
      <c r="E159" s="8">
        <v>0</v>
      </c>
      <c r="G159" s="8">
        <v>0</v>
      </c>
      <c r="H159" s="8">
        <v>0</v>
      </c>
      <c r="J159" s="8">
        <v>0</v>
      </c>
      <c r="K159" s="8">
        <v>0</v>
      </c>
      <c r="M159" s="8">
        <v>1592.96</v>
      </c>
      <c r="N159" s="9">
        <v>152428.1</v>
      </c>
      <c r="P159" s="8">
        <v>0</v>
      </c>
      <c r="Q159" s="9">
        <v>0</v>
      </c>
      <c r="S159" s="8">
        <v>0</v>
      </c>
      <c r="T159" s="8">
        <v>0</v>
      </c>
      <c r="V159" s="9">
        <f t="shared" si="7"/>
        <v>95.688592306147044</v>
      </c>
      <c r="W159" s="10">
        <v>12.99</v>
      </c>
      <c r="X159" s="9">
        <f t="shared" si="8"/>
        <v>1242.9948140568501</v>
      </c>
      <c r="Y159" s="4">
        <v>980</v>
      </c>
      <c r="Z159" s="9">
        <f t="shared" si="9"/>
        <v>1218134.9177757131</v>
      </c>
      <c r="AA159" s="9">
        <v>958783.6527061516</v>
      </c>
    </row>
    <row r="160" spans="1:27">
      <c r="A160" s="147" t="s">
        <v>527</v>
      </c>
      <c r="B160" s="147" t="s">
        <v>182</v>
      </c>
      <c r="D160" s="8">
        <v>0</v>
      </c>
      <c r="E160" s="8">
        <v>0</v>
      </c>
      <c r="G160" s="8">
        <v>0</v>
      </c>
      <c r="H160" s="8">
        <v>0</v>
      </c>
      <c r="J160" s="8">
        <v>0</v>
      </c>
      <c r="K160" s="8">
        <v>0</v>
      </c>
      <c r="M160" s="8">
        <v>0</v>
      </c>
      <c r="N160" s="9">
        <v>0</v>
      </c>
      <c r="P160" s="8">
        <v>1692.19</v>
      </c>
      <c r="Q160" s="9">
        <v>0</v>
      </c>
      <c r="S160" s="8">
        <v>0</v>
      </c>
      <c r="T160" s="8">
        <v>0</v>
      </c>
      <c r="V160" s="9">
        <f t="shared" si="7"/>
        <v>0</v>
      </c>
      <c r="W160" s="10">
        <v>12.99</v>
      </c>
      <c r="X160" s="9">
        <f t="shared" si="8"/>
        <v>0</v>
      </c>
      <c r="Y160" s="4">
        <v>980</v>
      </c>
      <c r="Z160" s="9">
        <f t="shared" si="9"/>
        <v>0</v>
      </c>
      <c r="AA160" s="9">
        <v>0</v>
      </c>
    </row>
    <row r="161" spans="1:27">
      <c r="A161" s="147" t="s">
        <v>528</v>
      </c>
      <c r="B161" s="147" t="s">
        <v>184</v>
      </c>
      <c r="D161" s="8">
        <v>0</v>
      </c>
      <c r="E161" s="8">
        <v>0</v>
      </c>
      <c r="G161" s="8">
        <v>0</v>
      </c>
      <c r="H161" s="8">
        <v>0</v>
      </c>
      <c r="J161" s="8">
        <v>0</v>
      </c>
      <c r="K161" s="8">
        <v>0</v>
      </c>
      <c r="M161" s="8">
        <v>2123.9499999999998</v>
      </c>
      <c r="N161" s="9">
        <v>20795.330000000002</v>
      </c>
      <c r="P161" s="8">
        <v>0</v>
      </c>
      <c r="Q161" s="9">
        <v>0</v>
      </c>
      <c r="S161" s="8">
        <v>0</v>
      </c>
      <c r="T161" s="8">
        <v>0</v>
      </c>
      <c r="V161" s="9">
        <f t="shared" si="7"/>
        <v>9.7908754914192908</v>
      </c>
      <c r="W161" s="10">
        <v>17.32</v>
      </c>
      <c r="X161" s="9">
        <f t="shared" si="8"/>
        <v>169.57796351138211</v>
      </c>
      <c r="Y161" s="4">
        <v>980</v>
      </c>
      <c r="Z161" s="9">
        <f t="shared" si="9"/>
        <v>166186.40424115447</v>
      </c>
      <c r="AA161" s="9">
        <v>130803.90797710698</v>
      </c>
    </row>
    <row r="162" spans="1:27">
      <c r="A162" s="147" t="s">
        <v>529</v>
      </c>
      <c r="B162" s="147" t="s">
        <v>530</v>
      </c>
      <c r="D162" s="8">
        <v>0</v>
      </c>
      <c r="E162" s="8">
        <v>0</v>
      </c>
      <c r="G162" s="8">
        <v>0</v>
      </c>
      <c r="H162" s="8">
        <v>0</v>
      </c>
      <c r="J162" s="8">
        <v>0</v>
      </c>
      <c r="K162" s="8">
        <v>0</v>
      </c>
      <c r="M162" s="8">
        <v>2654.94</v>
      </c>
      <c r="N162" s="9">
        <v>21011.85</v>
      </c>
      <c r="P162" s="8">
        <v>0</v>
      </c>
      <c r="Q162" s="9">
        <v>0</v>
      </c>
      <c r="S162" s="8">
        <v>0</v>
      </c>
      <c r="T162" s="8">
        <v>0</v>
      </c>
      <c r="V162" s="9">
        <f t="shared" si="7"/>
        <v>7.9142466496417994</v>
      </c>
      <c r="W162" s="10">
        <v>21.65</v>
      </c>
      <c r="X162" s="9">
        <f t="shared" si="8"/>
        <v>171.34343996474493</v>
      </c>
      <c r="Y162" s="4">
        <v>980</v>
      </c>
      <c r="Z162" s="9">
        <f t="shared" si="9"/>
        <v>167916.57116545003</v>
      </c>
      <c r="AA162" s="9">
        <v>132165.70767536742</v>
      </c>
    </row>
    <row r="163" spans="1:27">
      <c r="A163" s="147" t="s">
        <v>531</v>
      </c>
      <c r="B163" s="147" t="s">
        <v>532</v>
      </c>
      <c r="D163" s="8">
        <v>0</v>
      </c>
      <c r="E163" s="8">
        <v>0</v>
      </c>
      <c r="G163" s="8">
        <v>0</v>
      </c>
      <c r="H163" s="8">
        <v>0</v>
      </c>
      <c r="J163" s="8">
        <v>0</v>
      </c>
      <c r="K163" s="8">
        <v>0</v>
      </c>
      <c r="M163" s="8">
        <v>3185.93</v>
      </c>
      <c r="N163" s="9">
        <v>14020.52</v>
      </c>
      <c r="P163" s="8">
        <v>0</v>
      </c>
      <c r="Q163" s="9">
        <v>0</v>
      </c>
      <c r="S163" s="8">
        <v>0</v>
      </c>
      <c r="T163" s="8">
        <v>0</v>
      </c>
      <c r="V163" s="9">
        <f t="shared" si="7"/>
        <v>4.4007621008622291</v>
      </c>
      <c r="W163" s="4">
        <v>25.98</v>
      </c>
      <c r="X163" s="9">
        <f t="shared" si="8"/>
        <v>114.33179938040071</v>
      </c>
      <c r="Y163" s="4">
        <v>980</v>
      </c>
      <c r="Z163" s="9">
        <f t="shared" si="9"/>
        <v>112045.1633927927</v>
      </c>
      <c r="AA163" s="9">
        <v>88189.796924924187</v>
      </c>
    </row>
    <row r="164" spans="1:27">
      <c r="A164" s="147" t="s">
        <v>533</v>
      </c>
      <c r="B164" s="147" t="s">
        <v>534</v>
      </c>
      <c r="D164" s="8">
        <v>0</v>
      </c>
      <c r="E164" s="8">
        <v>0</v>
      </c>
      <c r="G164" s="8">
        <v>0</v>
      </c>
      <c r="H164" s="8">
        <v>0</v>
      </c>
      <c r="J164" s="8">
        <v>0</v>
      </c>
      <c r="K164" s="8">
        <v>0</v>
      </c>
      <c r="M164" s="8">
        <v>0</v>
      </c>
      <c r="N164" s="9">
        <v>0</v>
      </c>
      <c r="P164" s="8">
        <v>35.700000000000003</v>
      </c>
      <c r="Q164" s="9">
        <v>20470.07</v>
      </c>
      <c r="S164" s="8">
        <v>0</v>
      </c>
      <c r="T164" s="8">
        <v>0</v>
      </c>
      <c r="V164" s="9">
        <f t="shared" si="7"/>
        <v>573.39131652661058</v>
      </c>
      <c r="W164" s="10">
        <v>4.33</v>
      </c>
      <c r="X164" s="9">
        <f t="shared" si="8"/>
        <v>2482.7844005602237</v>
      </c>
      <c r="Y164" s="4">
        <v>68</v>
      </c>
      <c r="Z164" s="9">
        <f t="shared" si="9"/>
        <v>168829.33923809521</v>
      </c>
      <c r="AA164" s="9">
        <v>132884.13967661266</v>
      </c>
    </row>
    <row r="165" spans="1:27">
      <c r="A165" s="147" t="s">
        <v>535</v>
      </c>
      <c r="B165" s="147" t="s">
        <v>536</v>
      </c>
      <c r="D165" s="8">
        <v>0</v>
      </c>
      <c r="E165" s="8">
        <v>0</v>
      </c>
      <c r="G165" s="8">
        <v>0</v>
      </c>
      <c r="H165" s="8">
        <v>0</v>
      </c>
      <c r="J165" s="8">
        <v>0</v>
      </c>
      <c r="K165" s="8">
        <v>0</v>
      </c>
      <c r="M165" s="8">
        <v>0</v>
      </c>
      <c r="N165" s="9">
        <v>0</v>
      </c>
      <c r="P165" s="8">
        <v>43.44</v>
      </c>
      <c r="Q165" s="9">
        <v>1829.4000000000003</v>
      </c>
      <c r="S165" s="8">
        <v>0</v>
      </c>
      <c r="T165" s="8">
        <v>0</v>
      </c>
      <c r="V165" s="9">
        <f t="shared" si="7"/>
        <v>42.113259668508299</v>
      </c>
      <c r="W165" s="10">
        <v>4.33</v>
      </c>
      <c r="X165" s="9">
        <f t="shared" si="8"/>
        <v>182.35041436464093</v>
      </c>
      <c r="Y165" s="4">
        <v>68</v>
      </c>
      <c r="Z165" s="9">
        <f t="shared" si="9"/>
        <v>12399.828176795583</v>
      </c>
      <c r="AA165" s="9">
        <v>9759.7994924776667</v>
      </c>
    </row>
    <row r="166" spans="1:27">
      <c r="A166" s="147" t="s">
        <v>537</v>
      </c>
      <c r="B166" s="147" t="s">
        <v>538</v>
      </c>
      <c r="D166" s="8">
        <v>0</v>
      </c>
      <c r="E166" s="8">
        <v>0</v>
      </c>
      <c r="G166" s="8">
        <v>0</v>
      </c>
      <c r="H166" s="8">
        <v>0</v>
      </c>
      <c r="J166" s="8">
        <v>0</v>
      </c>
      <c r="K166" s="8">
        <v>0</v>
      </c>
      <c r="M166" s="8">
        <v>14.4</v>
      </c>
      <c r="N166" s="9">
        <v>1183.56</v>
      </c>
      <c r="P166" s="8">
        <v>0</v>
      </c>
      <c r="Q166" s="9">
        <v>0</v>
      </c>
      <c r="S166" s="8">
        <v>0</v>
      </c>
      <c r="T166" s="8">
        <v>0</v>
      </c>
      <c r="V166" s="9">
        <f t="shared" si="7"/>
        <v>82.191666666666663</v>
      </c>
      <c r="W166" s="10">
        <v>4.33</v>
      </c>
      <c r="X166" s="9">
        <f t="shared" si="8"/>
        <v>355.88991666666664</v>
      </c>
      <c r="Y166" s="4">
        <v>20</v>
      </c>
      <c r="Z166" s="9">
        <f t="shared" si="9"/>
        <v>7117.7983333333323</v>
      </c>
      <c r="AA166" s="9">
        <v>5602.3586432612428</v>
      </c>
    </row>
    <row r="167" spans="1:27">
      <c r="A167" s="147" t="s">
        <v>539</v>
      </c>
      <c r="B167" s="147" t="s">
        <v>540</v>
      </c>
      <c r="D167" s="8">
        <v>0</v>
      </c>
      <c r="E167" s="8">
        <v>0</v>
      </c>
      <c r="G167" s="8">
        <v>0</v>
      </c>
      <c r="H167" s="8">
        <v>0</v>
      </c>
      <c r="J167" s="8">
        <v>0</v>
      </c>
      <c r="K167" s="8">
        <v>0</v>
      </c>
      <c r="M167" s="8">
        <v>38.409999999999997</v>
      </c>
      <c r="N167" s="9">
        <v>3732.04</v>
      </c>
      <c r="P167" s="8">
        <v>0</v>
      </c>
      <c r="Q167" s="9">
        <v>0</v>
      </c>
      <c r="S167" s="8">
        <v>0</v>
      </c>
      <c r="T167" s="8">
        <v>0</v>
      </c>
      <c r="V167" s="9">
        <f t="shared" si="7"/>
        <v>97.163238739911492</v>
      </c>
      <c r="W167" s="10">
        <v>8.66</v>
      </c>
      <c r="X167" s="9">
        <f t="shared" si="8"/>
        <v>841.43364748763349</v>
      </c>
      <c r="Y167" s="4">
        <v>29</v>
      </c>
      <c r="Z167" s="9">
        <f t="shared" si="9"/>
        <v>24401.57577714137</v>
      </c>
      <c r="AA167" s="9">
        <v>19206.273142644834</v>
      </c>
    </row>
    <row r="168" spans="1:27">
      <c r="A168" s="147" t="s">
        <v>541</v>
      </c>
      <c r="B168" s="147" t="s">
        <v>542</v>
      </c>
      <c r="D168" s="8">
        <v>0</v>
      </c>
      <c r="E168" s="8">
        <v>0</v>
      </c>
      <c r="G168" s="8">
        <v>0</v>
      </c>
      <c r="H168" s="8">
        <v>0</v>
      </c>
      <c r="J168" s="8">
        <v>0</v>
      </c>
      <c r="K168" s="8">
        <v>0</v>
      </c>
      <c r="M168" s="8">
        <v>76.819999999999993</v>
      </c>
      <c r="N168" s="9">
        <v>11602.18</v>
      </c>
      <c r="P168" s="8">
        <v>0</v>
      </c>
      <c r="Q168" s="9">
        <v>0</v>
      </c>
      <c r="S168" s="8">
        <v>0</v>
      </c>
      <c r="T168" s="8">
        <v>0</v>
      </c>
      <c r="V168" s="9">
        <f t="shared" si="7"/>
        <v>151.03072116636295</v>
      </c>
      <c r="W168" s="10">
        <v>8.66</v>
      </c>
      <c r="X168" s="9">
        <f t="shared" si="8"/>
        <v>1307.9260453007032</v>
      </c>
      <c r="Y168" s="4">
        <v>102</v>
      </c>
      <c r="Z168" s="9">
        <f t="shared" si="9"/>
        <v>133408.45662067173</v>
      </c>
      <c r="AA168" s="9">
        <v>105004.66366584279</v>
      </c>
    </row>
    <row r="169" spans="1:27">
      <c r="A169" s="147" t="s">
        <v>543</v>
      </c>
      <c r="B169" s="147" t="s">
        <v>544</v>
      </c>
      <c r="D169" s="8">
        <v>0</v>
      </c>
      <c r="E169" s="8">
        <v>0</v>
      </c>
      <c r="G169" s="8">
        <v>0</v>
      </c>
      <c r="H169" s="8">
        <v>0</v>
      </c>
      <c r="J169" s="8">
        <v>0</v>
      </c>
      <c r="K169" s="8">
        <v>0</v>
      </c>
      <c r="M169" s="8">
        <v>28.81</v>
      </c>
      <c r="N169" s="9">
        <v>2629.1099999999997</v>
      </c>
      <c r="P169" s="8">
        <v>0</v>
      </c>
      <c r="Q169" s="9">
        <v>0</v>
      </c>
      <c r="S169" s="8">
        <v>0</v>
      </c>
      <c r="T169" s="8">
        <v>0</v>
      </c>
      <c r="V169" s="9">
        <f t="shared" si="7"/>
        <v>91.256855258590761</v>
      </c>
      <c r="W169" s="10">
        <v>4.33</v>
      </c>
      <c r="X169" s="9">
        <f t="shared" si="8"/>
        <v>395.14218326969802</v>
      </c>
      <c r="Y169" s="4">
        <v>29</v>
      </c>
      <c r="Z169" s="9">
        <f t="shared" si="9"/>
        <v>11459.123314821243</v>
      </c>
      <c r="AA169" s="9">
        <v>9019.3786815143776</v>
      </c>
    </row>
    <row r="170" spans="1:27">
      <c r="A170" s="147" t="s">
        <v>545</v>
      </c>
      <c r="B170" s="147" t="s">
        <v>546</v>
      </c>
      <c r="D170" s="8">
        <v>0</v>
      </c>
      <c r="E170" s="8">
        <v>0</v>
      </c>
      <c r="G170" s="8">
        <v>0</v>
      </c>
      <c r="H170" s="8">
        <v>0</v>
      </c>
      <c r="J170" s="8">
        <v>0</v>
      </c>
      <c r="K170" s="8">
        <v>0</v>
      </c>
      <c r="M170" s="8">
        <v>14.4</v>
      </c>
      <c r="N170" s="9">
        <v>3665.5800000000004</v>
      </c>
      <c r="P170" s="8">
        <v>0</v>
      </c>
      <c r="Q170" s="9">
        <v>0</v>
      </c>
      <c r="S170" s="8">
        <v>0</v>
      </c>
      <c r="T170" s="8">
        <v>0</v>
      </c>
      <c r="V170" s="9">
        <f t="shared" si="7"/>
        <v>254.55416666666667</v>
      </c>
      <c r="W170" s="10">
        <v>2.17</v>
      </c>
      <c r="X170" s="9">
        <f t="shared" si="8"/>
        <v>552.38254166666661</v>
      </c>
      <c r="Y170" s="4">
        <v>29</v>
      </c>
      <c r="Z170" s="9">
        <f t="shared" si="9"/>
        <v>16019.093708333332</v>
      </c>
      <c r="AA170" s="9">
        <v>12608.492667432001</v>
      </c>
    </row>
    <row r="171" spans="1:27">
      <c r="A171" s="147" t="s">
        <v>547</v>
      </c>
      <c r="B171" s="147" t="s">
        <v>548</v>
      </c>
      <c r="D171" s="8">
        <v>0</v>
      </c>
      <c r="E171" s="8">
        <v>0</v>
      </c>
      <c r="G171" s="8">
        <v>0</v>
      </c>
      <c r="H171" s="8">
        <v>0</v>
      </c>
      <c r="J171" s="8">
        <v>0</v>
      </c>
      <c r="K171" s="8">
        <v>0</v>
      </c>
      <c r="M171" s="8">
        <v>19.21</v>
      </c>
      <c r="N171" s="9">
        <v>48534</v>
      </c>
      <c r="P171" s="8">
        <v>0</v>
      </c>
      <c r="Q171" s="9">
        <v>0</v>
      </c>
      <c r="S171" s="8">
        <v>0</v>
      </c>
      <c r="T171" s="8">
        <v>0</v>
      </c>
      <c r="V171" s="9">
        <f t="shared" si="7"/>
        <v>2526.4966163456534</v>
      </c>
      <c r="W171" s="10">
        <v>4.33</v>
      </c>
      <c r="X171" s="9">
        <f t="shared" si="8"/>
        <v>10939.730348776679</v>
      </c>
      <c r="Y171" s="4">
        <v>29</v>
      </c>
      <c r="Z171" s="9">
        <f t="shared" si="9"/>
        <v>317252.18011452368</v>
      </c>
      <c r="AA171" s="9">
        <v>249706.4977290133</v>
      </c>
    </row>
    <row r="172" spans="1:27">
      <c r="A172" s="147" t="s">
        <v>549</v>
      </c>
      <c r="B172" s="147" t="s">
        <v>550</v>
      </c>
      <c r="D172" s="8">
        <v>0</v>
      </c>
      <c r="E172" s="8">
        <v>0</v>
      </c>
      <c r="G172" s="8">
        <v>0</v>
      </c>
      <c r="H172" s="8">
        <v>0</v>
      </c>
      <c r="J172" s="8">
        <v>0</v>
      </c>
      <c r="K172" s="8">
        <v>0</v>
      </c>
      <c r="M172" s="8">
        <v>57.62</v>
      </c>
      <c r="N172" s="9">
        <v>1352.76</v>
      </c>
      <c r="P172" s="8">
        <v>0</v>
      </c>
      <c r="Q172" s="9">
        <v>0</v>
      </c>
      <c r="S172" s="8">
        <v>0</v>
      </c>
      <c r="T172" s="8">
        <v>0</v>
      </c>
      <c r="V172" s="9">
        <f t="shared" si="7"/>
        <v>23.477264838597709</v>
      </c>
      <c r="W172" s="10">
        <v>12.99</v>
      </c>
      <c r="X172" s="9">
        <f t="shared" si="8"/>
        <v>304.96967025338427</v>
      </c>
      <c r="Y172" s="4">
        <v>29</v>
      </c>
      <c r="Z172" s="9">
        <f t="shared" si="9"/>
        <v>8844.1204373481432</v>
      </c>
      <c r="AA172" s="9">
        <v>6961.1321161184133</v>
      </c>
    </row>
    <row r="173" spans="1:27">
      <c r="A173" s="147" t="s">
        <v>551</v>
      </c>
      <c r="B173" s="147" t="s">
        <v>552</v>
      </c>
      <c r="D173" s="8">
        <v>0</v>
      </c>
      <c r="E173" s="8">
        <v>0</v>
      </c>
      <c r="G173" s="8">
        <v>0</v>
      </c>
      <c r="H173" s="8">
        <v>0</v>
      </c>
      <c r="J173" s="8">
        <v>0</v>
      </c>
      <c r="K173" s="8">
        <v>0</v>
      </c>
      <c r="M173" s="8">
        <v>76.84</v>
      </c>
      <c r="N173" s="9">
        <v>230.52</v>
      </c>
      <c r="P173" s="8">
        <v>0</v>
      </c>
      <c r="Q173" s="9">
        <v>0</v>
      </c>
      <c r="S173" s="8">
        <v>0</v>
      </c>
      <c r="T173" s="8">
        <v>0</v>
      </c>
      <c r="V173" s="9">
        <f t="shared" si="7"/>
        <v>3</v>
      </c>
      <c r="W173" s="10">
        <v>17.32</v>
      </c>
      <c r="X173" s="9">
        <f t="shared" si="8"/>
        <v>51.96</v>
      </c>
      <c r="Y173" s="4">
        <v>29</v>
      </c>
      <c r="Z173" s="9">
        <f t="shared" si="9"/>
        <v>1506.84</v>
      </c>
      <c r="AA173" s="9">
        <v>1186.0209720297553</v>
      </c>
    </row>
    <row r="174" spans="1:27">
      <c r="A174" s="147" t="s">
        <v>553</v>
      </c>
      <c r="B174" s="147" t="s">
        <v>554</v>
      </c>
      <c r="D174" s="8">
        <v>0</v>
      </c>
      <c r="E174" s="8">
        <v>0</v>
      </c>
      <c r="G174" s="8">
        <v>0</v>
      </c>
      <c r="H174" s="8">
        <v>0</v>
      </c>
      <c r="J174" s="8">
        <v>0</v>
      </c>
      <c r="K174" s="8">
        <v>0</v>
      </c>
      <c r="M174" s="8">
        <v>48.02</v>
      </c>
      <c r="N174" s="9">
        <v>3946.3199999999997</v>
      </c>
      <c r="P174" s="8">
        <v>0</v>
      </c>
      <c r="Q174" s="9">
        <v>0</v>
      </c>
      <c r="S174" s="8">
        <v>0</v>
      </c>
      <c r="T174" s="8">
        <v>0</v>
      </c>
      <c r="V174" s="9">
        <f t="shared" si="7"/>
        <v>82.180758017492707</v>
      </c>
      <c r="W174" s="10">
        <v>4.33</v>
      </c>
      <c r="X174" s="9">
        <f t="shared" si="8"/>
        <v>355.84268221574342</v>
      </c>
      <c r="Y174" s="4">
        <v>51</v>
      </c>
      <c r="Z174" s="9">
        <f t="shared" si="9"/>
        <v>18147.976793002916</v>
      </c>
      <c r="AA174" s="9">
        <v>14284.118470714051</v>
      </c>
    </row>
    <row r="175" spans="1:27">
      <c r="A175" s="147" t="s">
        <v>555</v>
      </c>
      <c r="B175" s="147" t="s">
        <v>556</v>
      </c>
      <c r="D175" s="8">
        <v>0</v>
      </c>
      <c r="E175" s="8">
        <v>0</v>
      </c>
      <c r="G175" s="8">
        <v>0</v>
      </c>
      <c r="H175" s="8">
        <v>0</v>
      </c>
      <c r="J175" s="8">
        <v>0</v>
      </c>
      <c r="K175" s="8">
        <v>0</v>
      </c>
      <c r="M175" s="8">
        <v>19.21</v>
      </c>
      <c r="N175" s="9">
        <v>225.48000000000002</v>
      </c>
      <c r="P175" s="8">
        <v>0</v>
      </c>
      <c r="Q175" s="9">
        <v>0</v>
      </c>
      <c r="S175" s="8">
        <v>0</v>
      </c>
      <c r="T175" s="8">
        <v>0</v>
      </c>
      <c r="V175" s="9">
        <f t="shared" si="7"/>
        <v>11.737636647579386</v>
      </c>
      <c r="W175" s="10">
        <v>2.17</v>
      </c>
      <c r="X175" s="9">
        <f t="shared" si="8"/>
        <v>25.470671525247266</v>
      </c>
      <c r="Y175" s="4">
        <v>51</v>
      </c>
      <c r="Z175" s="9">
        <f t="shared" si="9"/>
        <v>1299.0042477876104</v>
      </c>
      <c r="AA175" s="9">
        <v>1022.4352158370118</v>
      </c>
    </row>
    <row r="176" spans="1:27">
      <c r="A176" s="147" t="s">
        <v>557</v>
      </c>
      <c r="B176" s="147" t="s">
        <v>558</v>
      </c>
      <c r="D176" s="8">
        <v>0</v>
      </c>
      <c r="E176" s="8">
        <v>0</v>
      </c>
      <c r="G176" s="8">
        <v>0</v>
      </c>
      <c r="H176" s="8">
        <v>0</v>
      </c>
      <c r="J176" s="8">
        <v>0</v>
      </c>
      <c r="K176" s="8">
        <v>0</v>
      </c>
      <c r="M176" s="8">
        <v>38.409999999999997</v>
      </c>
      <c r="N176" s="9">
        <v>105883.51999999999</v>
      </c>
      <c r="P176" s="8">
        <v>0</v>
      </c>
      <c r="Q176" s="9">
        <v>0</v>
      </c>
      <c r="S176" s="8">
        <v>0</v>
      </c>
      <c r="T176" s="8">
        <v>0</v>
      </c>
      <c r="V176" s="9">
        <f t="shared" si="7"/>
        <v>2756.6654517052852</v>
      </c>
      <c r="W176" s="10">
        <v>4.33</v>
      </c>
      <c r="X176" s="9">
        <f t="shared" si="8"/>
        <v>11936.361405883885</v>
      </c>
      <c r="Y176" s="4">
        <v>51</v>
      </c>
      <c r="Z176" s="9">
        <f t="shared" si="9"/>
        <v>608754.43170007807</v>
      </c>
      <c r="AA176" s="9">
        <v>479145.44531094737</v>
      </c>
    </row>
    <row r="177" spans="1:27">
      <c r="A177" s="147" t="s">
        <v>559</v>
      </c>
      <c r="B177" s="147" t="s">
        <v>560</v>
      </c>
      <c r="D177" s="8">
        <v>0</v>
      </c>
      <c r="E177" s="8">
        <v>0</v>
      </c>
      <c r="G177" s="8">
        <v>0</v>
      </c>
      <c r="H177" s="8">
        <v>0</v>
      </c>
      <c r="J177" s="8">
        <v>0</v>
      </c>
      <c r="K177" s="8">
        <v>0</v>
      </c>
      <c r="M177" s="8">
        <v>67.23</v>
      </c>
      <c r="N177" s="9">
        <v>22053.54</v>
      </c>
      <c r="P177" s="8">
        <v>0</v>
      </c>
      <c r="Q177" s="9">
        <v>0</v>
      </c>
      <c r="S177" s="8">
        <v>0</v>
      </c>
      <c r="T177" s="8">
        <v>0</v>
      </c>
      <c r="V177" s="9">
        <f t="shared" si="7"/>
        <v>328.03123605533244</v>
      </c>
      <c r="W177" s="10">
        <v>4.33</v>
      </c>
      <c r="X177" s="9">
        <f t="shared" si="8"/>
        <v>1420.3752521195895</v>
      </c>
      <c r="Y177" s="4">
        <v>77</v>
      </c>
      <c r="Z177" s="9">
        <f t="shared" si="9"/>
        <v>109368.89441320839</v>
      </c>
      <c r="AA177" s="9">
        <v>86083.328330660908</v>
      </c>
    </row>
    <row r="178" spans="1:27">
      <c r="A178" s="147" t="s">
        <v>561</v>
      </c>
      <c r="B178" s="147" t="s">
        <v>562</v>
      </c>
      <c r="D178" s="8">
        <v>0</v>
      </c>
      <c r="E178" s="8">
        <v>0</v>
      </c>
      <c r="G178" s="8">
        <v>0</v>
      </c>
      <c r="H178" s="8">
        <v>0</v>
      </c>
      <c r="J178" s="8">
        <v>0</v>
      </c>
      <c r="K178" s="8">
        <v>0</v>
      </c>
      <c r="M178" s="8">
        <v>28.88</v>
      </c>
      <c r="N178" s="9">
        <v>1269.3599999999999</v>
      </c>
      <c r="P178" s="8">
        <v>0</v>
      </c>
      <c r="Q178" s="9">
        <v>0</v>
      </c>
      <c r="S178" s="8">
        <v>0</v>
      </c>
      <c r="T178" s="8">
        <v>0</v>
      </c>
      <c r="V178" s="9">
        <f t="shared" si="7"/>
        <v>43.952908587257618</v>
      </c>
      <c r="W178" s="10">
        <v>2.17</v>
      </c>
      <c r="X178" s="9">
        <f t="shared" si="8"/>
        <v>95.37781163434903</v>
      </c>
      <c r="Y178" s="4">
        <v>77</v>
      </c>
      <c r="Z178" s="9">
        <f t="shared" si="9"/>
        <v>7344.0914958448757</v>
      </c>
      <c r="AA178" s="9">
        <v>5780.4720704105275</v>
      </c>
    </row>
    <row r="179" spans="1:27">
      <c r="A179" s="147" t="s">
        <v>563</v>
      </c>
      <c r="B179" s="147" t="s">
        <v>564</v>
      </c>
      <c r="D179" s="8">
        <v>0</v>
      </c>
      <c r="E179" s="8">
        <v>0</v>
      </c>
      <c r="G179" s="8">
        <v>0</v>
      </c>
      <c r="H179" s="8">
        <v>0</v>
      </c>
      <c r="J179" s="8">
        <v>0</v>
      </c>
      <c r="K179" s="8">
        <v>0</v>
      </c>
      <c r="M179" s="8">
        <v>57.62</v>
      </c>
      <c r="N179" s="9">
        <v>208649.31</v>
      </c>
      <c r="P179" s="8">
        <v>0</v>
      </c>
      <c r="Q179" s="9">
        <v>0</v>
      </c>
      <c r="S179" s="8">
        <v>0</v>
      </c>
      <c r="T179" s="8">
        <v>0</v>
      </c>
      <c r="V179" s="9">
        <f t="shared" si="7"/>
        <v>3621.1265185699413</v>
      </c>
      <c r="W179" s="10">
        <v>4.33</v>
      </c>
      <c r="X179" s="9">
        <f t="shared" si="8"/>
        <v>15679.477825407846</v>
      </c>
      <c r="Y179" s="4">
        <v>77</v>
      </c>
      <c r="Z179" s="9">
        <f t="shared" si="9"/>
        <v>1207319.7925564041</v>
      </c>
      <c r="AA179" s="9">
        <v>950271.15945854178</v>
      </c>
    </row>
    <row r="180" spans="1:27">
      <c r="A180" s="147" t="s">
        <v>234</v>
      </c>
      <c r="B180" s="147" t="s">
        <v>235</v>
      </c>
      <c r="D180" s="8">
        <v>0</v>
      </c>
      <c r="E180" s="8">
        <v>0</v>
      </c>
      <c r="G180" s="8">
        <v>0</v>
      </c>
      <c r="H180" s="8">
        <v>0</v>
      </c>
      <c r="J180" s="8">
        <v>5.68</v>
      </c>
      <c r="K180" s="8">
        <v>668.56</v>
      </c>
      <c r="M180" s="8">
        <v>7.54</v>
      </c>
      <c r="N180" s="9">
        <v>12302.650000000001</v>
      </c>
      <c r="P180" s="8">
        <v>7.88</v>
      </c>
      <c r="Q180" s="9">
        <v>504.32</v>
      </c>
      <c r="S180" s="8">
        <v>0</v>
      </c>
      <c r="T180" s="8">
        <v>0</v>
      </c>
      <c r="V180" s="9">
        <f t="shared" si="7"/>
        <v>1813.3554189860652</v>
      </c>
      <c r="W180" s="10">
        <v>1</v>
      </c>
      <c r="X180" s="9">
        <f t="shared" si="8"/>
        <v>1813.3554189860652</v>
      </c>
      <c r="Y180" s="4">
        <v>29</v>
      </c>
      <c r="Z180" s="9">
        <f t="shared" si="9"/>
        <v>52587.307150595887</v>
      </c>
      <c r="AA180" s="9">
        <v>41391.023030432589</v>
      </c>
    </row>
    <row r="181" spans="1:27">
      <c r="A181" s="147" t="s">
        <v>236</v>
      </c>
      <c r="B181" s="147" t="s">
        <v>237</v>
      </c>
      <c r="D181" s="8">
        <v>0</v>
      </c>
      <c r="E181" s="8">
        <v>0</v>
      </c>
      <c r="G181" s="8">
        <v>17.579999999999998</v>
      </c>
      <c r="H181" s="8">
        <v>35.159999999999997</v>
      </c>
      <c r="J181" s="8">
        <v>25.14</v>
      </c>
      <c r="K181" s="8">
        <v>2482.3900000000003</v>
      </c>
      <c r="M181" s="8">
        <v>15.01</v>
      </c>
      <c r="N181" s="9">
        <v>101892.83</v>
      </c>
      <c r="P181" s="8">
        <v>28.03</v>
      </c>
      <c r="Q181" s="9">
        <v>5282.6999999999989</v>
      </c>
      <c r="S181" s="8">
        <v>0</v>
      </c>
      <c r="T181" s="8">
        <v>0</v>
      </c>
      <c r="V181" s="9">
        <f t="shared" si="7"/>
        <v>7077.5383507171955</v>
      </c>
      <c r="W181" s="10">
        <v>1</v>
      </c>
      <c r="X181" s="9">
        <f t="shared" si="8"/>
        <v>7077.5383507171955</v>
      </c>
      <c r="Y181" s="4">
        <v>125</v>
      </c>
      <c r="Z181" s="9">
        <f t="shared" si="9"/>
        <v>884692.29383964941</v>
      </c>
      <c r="AA181" s="9">
        <v>696333.79409023852</v>
      </c>
    </row>
    <row r="182" spans="1:27">
      <c r="A182" s="147" t="s">
        <v>565</v>
      </c>
      <c r="B182" s="147" t="s">
        <v>566</v>
      </c>
      <c r="D182" s="8">
        <v>0</v>
      </c>
      <c r="E182" s="8">
        <v>0</v>
      </c>
      <c r="G182" s="8">
        <v>0</v>
      </c>
      <c r="H182" s="8">
        <v>0</v>
      </c>
      <c r="J182" s="8">
        <v>0</v>
      </c>
      <c r="K182" s="8">
        <v>0</v>
      </c>
      <c r="M182" s="8">
        <v>93.15</v>
      </c>
      <c r="N182" s="9">
        <v>1652.46</v>
      </c>
      <c r="P182" s="8">
        <v>0</v>
      </c>
      <c r="Q182" s="9">
        <v>0</v>
      </c>
      <c r="S182" s="8">
        <v>0</v>
      </c>
      <c r="T182" s="8">
        <v>0</v>
      </c>
      <c r="V182" s="9">
        <f t="shared" si="7"/>
        <v>17.739774557165862</v>
      </c>
      <c r="W182" s="10">
        <v>1</v>
      </c>
      <c r="X182" s="9">
        <f t="shared" si="8"/>
        <v>17.739774557165862</v>
      </c>
      <c r="Y182" s="4">
        <v>473</v>
      </c>
      <c r="Z182" s="9">
        <f t="shared" si="9"/>
        <v>8390.9133655394526</v>
      </c>
      <c r="AA182" s="9">
        <v>6604.4166772945819</v>
      </c>
    </row>
    <row r="183" spans="1:27">
      <c r="A183" s="147" t="s">
        <v>567</v>
      </c>
      <c r="B183" s="147" t="s">
        <v>568</v>
      </c>
      <c r="D183" s="8">
        <v>0</v>
      </c>
      <c r="E183" s="8">
        <v>0</v>
      </c>
      <c r="G183" s="8">
        <v>0</v>
      </c>
      <c r="H183" s="8">
        <v>0</v>
      </c>
      <c r="J183" s="8">
        <v>0</v>
      </c>
      <c r="K183" s="8">
        <v>0</v>
      </c>
      <c r="M183" s="8">
        <v>17.28</v>
      </c>
      <c r="N183" s="9">
        <v>1119.8600000000001</v>
      </c>
      <c r="P183" s="8">
        <v>0</v>
      </c>
      <c r="Q183" s="9">
        <v>0</v>
      </c>
      <c r="S183" s="8">
        <v>0</v>
      </c>
      <c r="T183" s="8">
        <v>0</v>
      </c>
      <c r="V183" s="9">
        <f t="shared" si="7"/>
        <v>64.806712962962962</v>
      </c>
      <c r="W183" s="10">
        <v>1</v>
      </c>
      <c r="X183" s="9">
        <f t="shared" si="8"/>
        <v>64.806712962962962</v>
      </c>
      <c r="Y183" s="4">
        <v>29</v>
      </c>
      <c r="Z183" s="9">
        <f t="shared" si="9"/>
        <v>1879.3946759259259</v>
      </c>
      <c r="AA183" s="9">
        <v>1479.2555947341548</v>
      </c>
    </row>
    <row r="184" spans="1:27">
      <c r="A184" s="147" t="s">
        <v>238</v>
      </c>
      <c r="B184" s="147" t="s">
        <v>239</v>
      </c>
      <c r="D184" s="8">
        <v>0</v>
      </c>
      <c r="E184" s="8">
        <v>0</v>
      </c>
      <c r="G184" s="8">
        <v>0</v>
      </c>
      <c r="H184" s="8">
        <v>0</v>
      </c>
      <c r="J184" s="8">
        <v>0</v>
      </c>
      <c r="K184" s="8">
        <v>0</v>
      </c>
      <c r="M184" s="8">
        <v>15.01</v>
      </c>
      <c r="N184" s="9">
        <v>0</v>
      </c>
      <c r="P184" s="8">
        <v>28.03</v>
      </c>
      <c r="Q184" s="9">
        <v>0</v>
      </c>
      <c r="S184" s="8">
        <v>0</v>
      </c>
      <c r="T184" s="8">
        <v>0</v>
      </c>
      <c r="V184" s="9">
        <f t="shared" si="7"/>
        <v>0</v>
      </c>
      <c r="W184" s="10">
        <v>1</v>
      </c>
      <c r="X184" s="9">
        <f t="shared" si="8"/>
        <v>0</v>
      </c>
      <c r="Y184" s="4">
        <v>125</v>
      </c>
      <c r="Z184" s="9">
        <f t="shared" si="9"/>
        <v>0</v>
      </c>
      <c r="AA184" s="9">
        <v>0</v>
      </c>
    </row>
    <row r="185" spans="1:27">
      <c r="A185" s="147" t="s">
        <v>195</v>
      </c>
      <c r="B185" s="147" t="s">
        <v>196</v>
      </c>
      <c r="D185" s="8">
        <v>0</v>
      </c>
      <c r="E185" s="8">
        <v>0</v>
      </c>
      <c r="G185" s="8">
        <v>0</v>
      </c>
      <c r="H185" s="8">
        <v>0</v>
      </c>
      <c r="J185" s="8">
        <v>44.35</v>
      </c>
      <c r="K185" s="8">
        <v>44.35</v>
      </c>
      <c r="M185" s="8">
        <v>37.200000000000003</v>
      </c>
      <c r="N185" s="9">
        <v>712.75</v>
      </c>
      <c r="P185" s="8">
        <v>0</v>
      </c>
      <c r="Q185" s="9">
        <v>0</v>
      </c>
      <c r="S185" s="8">
        <v>0</v>
      </c>
      <c r="T185" s="8">
        <v>0</v>
      </c>
      <c r="V185" s="9">
        <f t="shared" si="7"/>
        <v>20.15994623655914</v>
      </c>
      <c r="W185" s="10">
        <v>1</v>
      </c>
      <c r="X185" s="9">
        <f t="shared" si="8"/>
        <v>20.15994623655914</v>
      </c>
      <c r="Y185" s="4">
        <v>250</v>
      </c>
      <c r="Z185" s="9">
        <f t="shared" si="9"/>
        <v>5039.9865591397847</v>
      </c>
      <c r="AA185" s="9">
        <v>3966.9306348967839</v>
      </c>
    </row>
    <row r="186" spans="1:27">
      <c r="A186" s="147" t="s">
        <v>193</v>
      </c>
      <c r="B186" s="147" t="s">
        <v>194</v>
      </c>
      <c r="D186" s="8">
        <v>0</v>
      </c>
      <c r="E186" s="8">
        <v>0</v>
      </c>
      <c r="G186" s="8">
        <v>0</v>
      </c>
      <c r="H186" s="8">
        <v>0</v>
      </c>
      <c r="J186" s="8">
        <v>37.96</v>
      </c>
      <c r="K186" s="8">
        <v>0</v>
      </c>
      <c r="M186" s="8">
        <v>29.69</v>
      </c>
      <c r="N186" s="9">
        <v>512.30999999999995</v>
      </c>
      <c r="P186" s="8">
        <v>28.03</v>
      </c>
      <c r="Q186" s="9">
        <v>0</v>
      </c>
      <c r="S186" s="8">
        <v>0</v>
      </c>
      <c r="T186" s="8">
        <v>0</v>
      </c>
      <c r="V186" s="9">
        <f t="shared" si="7"/>
        <v>17.255304816436507</v>
      </c>
      <c r="W186" s="10">
        <v>1</v>
      </c>
      <c r="X186" s="9">
        <f t="shared" si="8"/>
        <v>17.255304816436507</v>
      </c>
      <c r="Y186" s="4">
        <v>175</v>
      </c>
      <c r="Z186" s="9">
        <f t="shared" si="9"/>
        <v>3019.6783428763888</v>
      </c>
      <c r="AA186" s="9">
        <v>2376.7631888159694</v>
      </c>
    </row>
    <row r="187" spans="1:27">
      <c r="A187" s="147" t="s">
        <v>201</v>
      </c>
      <c r="B187" s="147" t="s">
        <v>202</v>
      </c>
      <c r="D187" s="8">
        <v>0</v>
      </c>
      <c r="E187" s="8">
        <v>0</v>
      </c>
      <c r="G187" s="8">
        <v>0</v>
      </c>
      <c r="H187" s="8">
        <v>0</v>
      </c>
      <c r="J187" s="8">
        <v>0</v>
      </c>
      <c r="K187" s="8">
        <v>0</v>
      </c>
      <c r="M187" s="8">
        <v>104.71</v>
      </c>
      <c r="N187" s="9">
        <v>100.2</v>
      </c>
      <c r="P187" s="8">
        <v>0</v>
      </c>
      <c r="Q187" s="9">
        <v>0</v>
      </c>
      <c r="S187" s="8">
        <v>0</v>
      </c>
      <c r="T187" s="8">
        <v>0</v>
      </c>
      <c r="V187" s="9">
        <f t="shared" si="7"/>
        <v>0.95692866010887223</v>
      </c>
      <c r="W187" s="10">
        <v>1</v>
      </c>
      <c r="X187" s="9">
        <f t="shared" si="8"/>
        <v>0.95692866010887223</v>
      </c>
      <c r="Y187" s="9">
        <f>References!$C$56</f>
        <v>1296</v>
      </c>
      <c r="Z187" s="9">
        <f t="shared" si="9"/>
        <v>1240.1795435010984</v>
      </c>
      <c r="AA187" s="9">
        <v>976.13479047184239</v>
      </c>
    </row>
    <row r="188" spans="1:27">
      <c r="A188" s="147" t="s">
        <v>197</v>
      </c>
      <c r="B188" s="147" t="s">
        <v>198</v>
      </c>
      <c r="D188" s="8">
        <v>0</v>
      </c>
      <c r="E188" s="8">
        <v>0</v>
      </c>
      <c r="G188" s="8">
        <v>0</v>
      </c>
      <c r="H188" s="8">
        <v>0</v>
      </c>
      <c r="J188" s="8">
        <v>50.81</v>
      </c>
      <c r="K188" s="8">
        <v>50.81</v>
      </c>
      <c r="M188" s="8">
        <v>44.7</v>
      </c>
      <c r="N188" s="9">
        <v>2110.08</v>
      </c>
      <c r="P188" s="8">
        <v>56.06</v>
      </c>
      <c r="Q188" s="9">
        <v>281.42</v>
      </c>
      <c r="S188" s="8">
        <v>0</v>
      </c>
      <c r="T188" s="8">
        <v>0</v>
      </c>
      <c r="V188" s="9">
        <f t="shared" si="7"/>
        <v>53.225347721879956</v>
      </c>
      <c r="W188" s="10">
        <v>1</v>
      </c>
      <c r="X188" s="9">
        <f t="shared" si="8"/>
        <v>53.225347721879956</v>
      </c>
      <c r="Y188" s="4">
        <v>324</v>
      </c>
      <c r="Z188" s="9">
        <f t="shared" si="9"/>
        <v>17245.012661889104</v>
      </c>
      <c r="AA188" s="9">
        <v>13573.403068619864</v>
      </c>
    </row>
    <row r="189" spans="1:27">
      <c r="A189" s="147" t="s">
        <v>569</v>
      </c>
      <c r="B189" s="147" t="s">
        <v>570</v>
      </c>
      <c r="D189" s="8">
        <v>0</v>
      </c>
      <c r="E189" s="8">
        <v>0</v>
      </c>
      <c r="G189" s="8">
        <v>0</v>
      </c>
      <c r="H189" s="8">
        <v>0</v>
      </c>
      <c r="J189" s="8">
        <v>0</v>
      </c>
      <c r="K189" s="8">
        <v>0</v>
      </c>
      <c r="M189" s="8">
        <v>149.72999999999999</v>
      </c>
      <c r="N189" s="9">
        <v>0</v>
      </c>
      <c r="P189" s="8">
        <v>0</v>
      </c>
      <c r="Q189" s="9">
        <v>0</v>
      </c>
      <c r="S189" s="8">
        <v>0</v>
      </c>
      <c r="T189" s="8">
        <v>0</v>
      </c>
      <c r="V189" s="9">
        <f t="shared" si="7"/>
        <v>0</v>
      </c>
      <c r="W189" s="10">
        <v>1</v>
      </c>
      <c r="X189" s="9">
        <f t="shared" si="8"/>
        <v>0</v>
      </c>
      <c r="Y189" s="14">
        <v>1000</v>
      </c>
      <c r="Z189" s="9">
        <f t="shared" si="9"/>
        <v>0</v>
      </c>
      <c r="AA189" s="9">
        <v>0</v>
      </c>
    </row>
    <row r="190" spans="1:27">
      <c r="A190" s="147" t="s">
        <v>199</v>
      </c>
      <c r="B190" s="147" t="s">
        <v>200</v>
      </c>
      <c r="D190" s="8">
        <v>0</v>
      </c>
      <c r="E190" s="8">
        <v>0</v>
      </c>
      <c r="G190" s="8">
        <v>0</v>
      </c>
      <c r="H190" s="8">
        <v>0</v>
      </c>
      <c r="J190" s="8">
        <v>63.62</v>
      </c>
      <c r="K190" s="8">
        <v>0</v>
      </c>
      <c r="M190" s="8">
        <v>59.71</v>
      </c>
      <c r="N190" s="9">
        <v>1934.17</v>
      </c>
      <c r="P190" s="8">
        <v>84.09</v>
      </c>
      <c r="Q190" s="9">
        <v>252.27</v>
      </c>
      <c r="S190" s="8">
        <v>0</v>
      </c>
      <c r="T190" s="8">
        <v>0</v>
      </c>
      <c r="V190" s="9">
        <f t="shared" si="7"/>
        <v>35.392731535756155</v>
      </c>
      <c r="W190" s="10">
        <v>1</v>
      </c>
      <c r="X190" s="9">
        <f t="shared" si="8"/>
        <v>35.392731535756155</v>
      </c>
      <c r="Y190" s="4">
        <v>473</v>
      </c>
      <c r="Z190" s="9">
        <f t="shared" si="9"/>
        <v>16740.76201641266</v>
      </c>
      <c r="AA190" s="9">
        <v>13176.511666284776</v>
      </c>
    </row>
    <row r="191" spans="1:27">
      <c r="A191" s="147" t="s">
        <v>203</v>
      </c>
      <c r="B191" s="147" t="s">
        <v>204</v>
      </c>
      <c r="D191" s="8">
        <v>0</v>
      </c>
      <c r="E191" s="8">
        <v>0</v>
      </c>
      <c r="G191" s="8">
        <v>0</v>
      </c>
      <c r="H191" s="8">
        <v>0</v>
      </c>
      <c r="J191" s="8">
        <v>0</v>
      </c>
      <c r="K191" s="8">
        <v>0</v>
      </c>
      <c r="M191" s="8">
        <v>194.75</v>
      </c>
      <c r="N191" s="9">
        <v>8715.19</v>
      </c>
      <c r="P191" s="8">
        <v>0</v>
      </c>
      <c r="Q191" s="9">
        <v>0</v>
      </c>
      <c r="S191" s="8">
        <v>0</v>
      </c>
      <c r="T191" s="8">
        <v>0</v>
      </c>
      <c r="V191" s="9">
        <f t="shared" si="7"/>
        <v>44.750654685494226</v>
      </c>
      <c r="W191" s="10">
        <v>1</v>
      </c>
      <c r="X191" s="9">
        <f t="shared" si="8"/>
        <v>44.750654685494226</v>
      </c>
      <c r="Y191" s="14">
        <v>1296</v>
      </c>
      <c r="Z191" s="9">
        <f t="shared" si="9"/>
        <v>57996.848472400517</v>
      </c>
      <c r="AA191" s="9">
        <v>45648.827081773044</v>
      </c>
    </row>
    <row r="192" spans="1:27">
      <c r="A192" s="147" t="s">
        <v>205</v>
      </c>
      <c r="B192" s="147" t="s">
        <v>206</v>
      </c>
      <c r="D192" s="8">
        <v>0</v>
      </c>
      <c r="E192" s="8">
        <v>0</v>
      </c>
      <c r="G192" s="8">
        <v>0</v>
      </c>
      <c r="H192" s="8">
        <v>0</v>
      </c>
      <c r="J192" s="8">
        <v>73.42</v>
      </c>
      <c r="K192" s="8">
        <v>0</v>
      </c>
      <c r="M192" s="8">
        <v>74.72</v>
      </c>
      <c r="N192" s="9">
        <v>5337.74</v>
      </c>
      <c r="P192" s="8">
        <v>112.12</v>
      </c>
      <c r="Q192" s="9">
        <v>1798.4</v>
      </c>
      <c r="S192" s="8">
        <v>0</v>
      </c>
      <c r="T192" s="8">
        <v>0</v>
      </c>
      <c r="V192" s="9">
        <f t="shared" si="7"/>
        <v>87.476520357891246</v>
      </c>
      <c r="W192" s="10">
        <v>1</v>
      </c>
      <c r="X192" s="9">
        <f t="shared" si="8"/>
        <v>87.476520357891246</v>
      </c>
      <c r="Y192" s="4">
        <v>613</v>
      </c>
      <c r="Z192" s="9">
        <f t="shared" si="9"/>
        <v>53623.106979387332</v>
      </c>
      <c r="AA192" s="9">
        <v>42206.29228249086</v>
      </c>
    </row>
    <row r="193" spans="1:27">
      <c r="A193" s="147" t="s">
        <v>207</v>
      </c>
      <c r="B193" s="147" t="s">
        <v>208</v>
      </c>
      <c r="D193" s="8">
        <v>0</v>
      </c>
      <c r="E193" s="8">
        <v>0</v>
      </c>
      <c r="G193" s="8">
        <v>0</v>
      </c>
      <c r="H193" s="8">
        <v>0</v>
      </c>
      <c r="J193" s="8">
        <v>0</v>
      </c>
      <c r="K193" s="8">
        <v>0</v>
      </c>
      <c r="M193" s="8">
        <v>89.73</v>
      </c>
      <c r="N193" s="9">
        <v>85.84</v>
      </c>
      <c r="P193" s="8">
        <v>0</v>
      </c>
      <c r="Q193" s="9">
        <v>0</v>
      </c>
      <c r="S193" s="8">
        <v>0</v>
      </c>
      <c r="T193" s="8">
        <v>0</v>
      </c>
      <c r="V193" s="9">
        <f t="shared" si="7"/>
        <v>0.95664772094059958</v>
      </c>
      <c r="W193" s="10">
        <v>1</v>
      </c>
      <c r="X193" s="9">
        <f t="shared" si="8"/>
        <v>0.95664772094059958</v>
      </c>
      <c r="Y193" s="4">
        <v>728</v>
      </c>
      <c r="Z193" s="9">
        <f t="shared" si="9"/>
        <v>696.43954084475649</v>
      </c>
      <c r="AA193" s="9">
        <v>548.16165033623656</v>
      </c>
    </row>
    <row r="194" spans="1:27">
      <c r="A194" s="147" t="s">
        <v>209</v>
      </c>
      <c r="B194" s="147" t="s">
        <v>210</v>
      </c>
      <c r="D194" s="8">
        <v>0</v>
      </c>
      <c r="E194" s="8">
        <v>0</v>
      </c>
      <c r="G194" s="8">
        <v>0</v>
      </c>
      <c r="H194" s="8">
        <v>0</v>
      </c>
      <c r="J194" s="8">
        <v>98.08</v>
      </c>
      <c r="K194" s="8">
        <v>0</v>
      </c>
      <c r="M194" s="8">
        <v>104.74</v>
      </c>
      <c r="N194" s="9">
        <v>4070.55</v>
      </c>
      <c r="P194" s="8">
        <v>168.18</v>
      </c>
      <c r="Q194" s="9">
        <v>168.18</v>
      </c>
      <c r="S194" s="8">
        <v>0</v>
      </c>
      <c r="T194" s="8">
        <v>0</v>
      </c>
      <c r="V194" s="9">
        <f t="shared" si="7"/>
        <v>39.863375978613711</v>
      </c>
      <c r="W194" s="10">
        <v>1</v>
      </c>
      <c r="X194" s="9">
        <f t="shared" si="8"/>
        <v>39.863375978613711</v>
      </c>
      <c r="Y194" s="4">
        <v>840</v>
      </c>
      <c r="Z194" s="9">
        <f t="shared" si="9"/>
        <v>33485.235822035516</v>
      </c>
      <c r="AA194" s="9">
        <v>26355.944850346517</v>
      </c>
    </row>
    <row r="195" spans="1:27">
      <c r="A195" s="147" t="s">
        <v>211</v>
      </c>
      <c r="B195" s="147" t="s">
        <v>212</v>
      </c>
      <c r="D195" s="8">
        <v>0</v>
      </c>
      <c r="E195" s="8">
        <v>0</v>
      </c>
      <c r="G195" s="8">
        <v>0</v>
      </c>
      <c r="H195" s="8">
        <v>0</v>
      </c>
      <c r="J195" s="8">
        <v>122.73</v>
      </c>
      <c r="K195" s="8">
        <v>0</v>
      </c>
      <c r="M195" s="8">
        <v>134.76</v>
      </c>
      <c r="N195" s="9">
        <v>1845.7599999999998</v>
      </c>
      <c r="P195" s="8">
        <v>224.24</v>
      </c>
      <c r="Q195" s="9">
        <v>0</v>
      </c>
      <c r="S195" s="8">
        <v>0</v>
      </c>
      <c r="T195" s="8">
        <v>0</v>
      </c>
      <c r="V195" s="9">
        <f t="shared" si="7"/>
        <v>13.696645888987829</v>
      </c>
      <c r="W195" s="10">
        <v>1</v>
      </c>
      <c r="X195" s="9">
        <f t="shared" si="8"/>
        <v>13.696645888987829</v>
      </c>
      <c r="Y195" s="4">
        <v>980</v>
      </c>
      <c r="Z195" s="9">
        <f t="shared" si="9"/>
        <v>13422.712971208073</v>
      </c>
      <c r="AA195" s="9">
        <v>10564.903430615463</v>
      </c>
    </row>
    <row r="196" spans="1:27">
      <c r="A196" s="147" t="s">
        <v>571</v>
      </c>
      <c r="B196" s="147" t="s">
        <v>572</v>
      </c>
      <c r="D196" s="8">
        <v>0</v>
      </c>
      <c r="E196" s="8">
        <v>0</v>
      </c>
      <c r="G196" s="8">
        <v>0</v>
      </c>
      <c r="H196" s="8">
        <v>0</v>
      </c>
      <c r="J196" s="8">
        <v>0</v>
      </c>
      <c r="K196" s="8">
        <v>0</v>
      </c>
      <c r="M196" s="8">
        <v>17.57</v>
      </c>
      <c r="N196" s="9">
        <v>0</v>
      </c>
      <c r="P196" s="8">
        <v>34.57</v>
      </c>
      <c r="Q196" s="9">
        <v>0</v>
      </c>
      <c r="S196" s="8">
        <v>0</v>
      </c>
      <c r="T196" s="8">
        <v>0</v>
      </c>
      <c r="V196" s="9">
        <f t="shared" si="7"/>
        <v>0</v>
      </c>
      <c r="W196" s="10">
        <v>1</v>
      </c>
      <c r="X196" s="9">
        <f t="shared" si="8"/>
        <v>0</v>
      </c>
      <c r="Y196" s="4">
        <v>29</v>
      </c>
      <c r="Z196" s="9">
        <f t="shared" si="9"/>
        <v>0</v>
      </c>
      <c r="AA196" s="9">
        <v>0</v>
      </c>
    </row>
    <row r="197" spans="1:27">
      <c r="A197" s="147" t="s">
        <v>215</v>
      </c>
      <c r="B197" s="147" t="s">
        <v>216</v>
      </c>
      <c r="D197" s="8">
        <v>0</v>
      </c>
      <c r="E197" s="8">
        <v>0</v>
      </c>
      <c r="G197" s="8">
        <v>0</v>
      </c>
      <c r="H197" s="8">
        <v>0</v>
      </c>
      <c r="J197" s="8">
        <v>44.35</v>
      </c>
      <c r="K197" s="8">
        <v>399.15000000000003</v>
      </c>
      <c r="M197" s="8">
        <v>37.200000000000003</v>
      </c>
      <c r="N197" s="9">
        <v>168.32999999999998</v>
      </c>
      <c r="P197" s="8">
        <v>0</v>
      </c>
      <c r="Q197" s="9">
        <v>0</v>
      </c>
      <c r="S197" s="8">
        <v>0</v>
      </c>
      <c r="T197" s="8">
        <v>0</v>
      </c>
      <c r="V197" s="9">
        <f t="shared" si="7"/>
        <v>13.524999999999999</v>
      </c>
      <c r="W197" s="10">
        <v>1</v>
      </c>
      <c r="X197" s="9">
        <f t="shared" si="8"/>
        <v>13.524999999999999</v>
      </c>
      <c r="Y197" s="4">
        <v>250</v>
      </c>
      <c r="Z197" s="9">
        <f t="shared" si="9"/>
        <v>3381.2499999999995</v>
      </c>
      <c r="AA197" s="9">
        <v>2661.3531706588687</v>
      </c>
    </row>
    <row r="198" spans="1:27">
      <c r="A198" s="147" t="s">
        <v>213</v>
      </c>
      <c r="B198" s="147" t="s">
        <v>214</v>
      </c>
      <c r="D198" s="8">
        <v>0</v>
      </c>
      <c r="E198" s="8">
        <v>0</v>
      </c>
      <c r="G198" s="8">
        <v>0</v>
      </c>
      <c r="H198" s="8">
        <v>0</v>
      </c>
      <c r="J198" s="8">
        <v>37.96</v>
      </c>
      <c r="K198" s="8">
        <v>75.92</v>
      </c>
      <c r="M198" s="8">
        <v>29.69</v>
      </c>
      <c r="N198" s="9">
        <v>220.86</v>
      </c>
      <c r="P198" s="8">
        <v>28.03</v>
      </c>
      <c r="Q198" s="9">
        <v>0</v>
      </c>
      <c r="S198" s="8">
        <v>0</v>
      </c>
      <c r="T198" s="8">
        <v>0</v>
      </c>
      <c r="V198" s="9">
        <f t="shared" si="7"/>
        <v>9.4388683058268779</v>
      </c>
      <c r="W198" s="10">
        <v>1</v>
      </c>
      <c r="X198" s="9">
        <f t="shared" si="8"/>
        <v>9.4388683058268779</v>
      </c>
      <c r="Y198" s="4">
        <v>175</v>
      </c>
      <c r="Z198" s="9">
        <f t="shared" si="9"/>
        <v>1651.8019535197036</v>
      </c>
      <c r="AA198" s="9">
        <v>1300.119295024082</v>
      </c>
    </row>
    <row r="199" spans="1:27">
      <c r="A199" s="147" t="s">
        <v>217</v>
      </c>
      <c r="B199" s="147" t="s">
        <v>218</v>
      </c>
      <c r="D199" s="8">
        <v>0</v>
      </c>
      <c r="E199" s="8">
        <v>0</v>
      </c>
      <c r="G199" s="8">
        <v>0</v>
      </c>
      <c r="H199" s="8">
        <v>0</v>
      </c>
      <c r="J199" s="8">
        <v>50.81</v>
      </c>
      <c r="K199" s="8">
        <v>1217.44</v>
      </c>
      <c r="M199" s="8">
        <v>44.7</v>
      </c>
      <c r="N199" s="9">
        <v>526.70000000000005</v>
      </c>
      <c r="P199" s="8">
        <v>56.06</v>
      </c>
      <c r="Q199" s="9">
        <v>56.06</v>
      </c>
      <c r="S199" s="8">
        <v>44.7</v>
      </c>
      <c r="T199" s="8">
        <v>0</v>
      </c>
      <c r="V199" s="9">
        <f t="shared" si="7"/>
        <v>36.743635432613587</v>
      </c>
      <c r="W199" s="10">
        <v>1</v>
      </c>
      <c r="X199" s="9">
        <f t="shared" si="8"/>
        <v>36.743635432613587</v>
      </c>
      <c r="Y199" s="4">
        <v>324</v>
      </c>
      <c r="Z199" s="9">
        <f t="shared" si="9"/>
        <v>11904.937880166803</v>
      </c>
      <c r="AA199" s="9">
        <v>9370.2755412580536</v>
      </c>
    </row>
    <row r="200" spans="1:27">
      <c r="A200" s="147" t="s">
        <v>219</v>
      </c>
      <c r="B200" s="147" t="s">
        <v>220</v>
      </c>
      <c r="D200" s="8">
        <v>0</v>
      </c>
      <c r="E200" s="8">
        <v>0</v>
      </c>
      <c r="G200" s="8">
        <v>0</v>
      </c>
      <c r="H200" s="8">
        <v>0</v>
      </c>
      <c r="J200" s="8">
        <v>63.62</v>
      </c>
      <c r="K200" s="8">
        <v>0</v>
      </c>
      <c r="M200" s="8">
        <v>59.71</v>
      </c>
      <c r="N200" s="9">
        <v>173.95</v>
      </c>
      <c r="P200" s="8">
        <v>84.09</v>
      </c>
      <c r="Q200" s="9">
        <v>589.47</v>
      </c>
      <c r="S200" s="8">
        <v>59.71</v>
      </c>
      <c r="T200" s="8">
        <v>114.24</v>
      </c>
      <c r="V200" s="9">
        <f t="shared" ref="V200:V204" si="10">+IFERROR((E200/D200),0)+IFERROR((H200/G200),0)+IFERROR((K200/J200),0)+IFERROR((N200/M200),0)+IFERROR((Q200/P200),0)+IFERROR((T200/S200),0)</f>
        <v>11.836484021683351</v>
      </c>
      <c r="W200" s="10">
        <v>1</v>
      </c>
      <c r="X200" s="9">
        <f t="shared" ref="X200:X204" si="11">+V200*W200</f>
        <v>11.836484021683351</v>
      </c>
      <c r="Y200" s="4">
        <v>473</v>
      </c>
      <c r="Z200" s="9">
        <f t="shared" ref="Z200:Z204" si="12">+X200*Y200</f>
        <v>5598.6569422562252</v>
      </c>
      <c r="AA200" s="9">
        <v>4406.655350744516</v>
      </c>
    </row>
    <row r="201" spans="1:27">
      <c r="A201" s="147" t="s">
        <v>221</v>
      </c>
      <c r="B201" s="147" t="s">
        <v>222</v>
      </c>
      <c r="D201" s="8">
        <v>0</v>
      </c>
      <c r="E201" s="8">
        <v>0</v>
      </c>
      <c r="G201" s="8">
        <v>0</v>
      </c>
      <c r="H201" s="8">
        <v>0</v>
      </c>
      <c r="J201" s="8">
        <v>0</v>
      </c>
      <c r="K201" s="8">
        <v>0</v>
      </c>
      <c r="M201" s="8">
        <v>74.72</v>
      </c>
      <c r="N201" s="9">
        <v>146.19999999999999</v>
      </c>
      <c r="P201" s="8">
        <v>112.12</v>
      </c>
      <c r="Q201" s="9">
        <v>2920.7200000000003</v>
      </c>
      <c r="S201" s="8">
        <v>0</v>
      </c>
      <c r="T201" s="8">
        <v>0</v>
      </c>
      <c r="V201" s="9">
        <f t="shared" si="10"/>
        <v>28.006584601539647</v>
      </c>
      <c r="W201" s="10">
        <v>1</v>
      </c>
      <c r="X201" s="9">
        <f t="shared" si="11"/>
        <v>28.006584601539647</v>
      </c>
      <c r="Y201" s="4">
        <v>613</v>
      </c>
      <c r="Z201" s="9">
        <f t="shared" si="12"/>
        <v>17168.036360743805</v>
      </c>
      <c r="AA201" s="9">
        <v>13512.815675460932</v>
      </c>
    </row>
    <row r="202" spans="1:27">
      <c r="A202" s="147" t="s">
        <v>573</v>
      </c>
      <c r="B202" s="147" t="s">
        <v>574</v>
      </c>
      <c r="D202" s="8">
        <v>0</v>
      </c>
      <c r="E202" s="8">
        <v>0</v>
      </c>
      <c r="G202" s="8">
        <v>0</v>
      </c>
      <c r="H202" s="8">
        <v>0</v>
      </c>
      <c r="J202" s="8">
        <v>98.08</v>
      </c>
      <c r="K202" s="8">
        <v>0</v>
      </c>
      <c r="M202" s="8">
        <v>104.74</v>
      </c>
      <c r="N202" s="9">
        <v>305.14</v>
      </c>
      <c r="P202" s="8">
        <v>168.18</v>
      </c>
      <c r="Q202" s="9">
        <v>1177.26</v>
      </c>
      <c r="S202" s="8">
        <v>0</v>
      </c>
      <c r="T202" s="8">
        <v>0</v>
      </c>
      <c r="V202" s="9">
        <f t="shared" si="10"/>
        <v>9.9133091464578964</v>
      </c>
      <c r="W202" s="10">
        <v>1</v>
      </c>
      <c r="X202" s="9">
        <f t="shared" si="11"/>
        <v>9.9133091464578964</v>
      </c>
      <c r="Y202" s="4">
        <v>840</v>
      </c>
      <c r="Z202" s="9">
        <f t="shared" si="12"/>
        <v>8327.1796830246331</v>
      </c>
      <c r="AA202" s="9">
        <v>6554.2524368395489</v>
      </c>
    </row>
    <row r="203" spans="1:27">
      <c r="A203" s="148" t="s">
        <v>223</v>
      </c>
      <c r="B203" s="147" t="s">
        <v>224</v>
      </c>
      <c r="D203" s="8">
        <v>0</v>
      </c>
      <c r="E203" s="8">
        <v>0</v>
      </c>
      <c r="G203" s="8">
        <v>0</v>
      </c>
      <c r="H203" s="8">
        <v>0</v>
      </c>
      <c r="J203" s="8">
        <v>0</v>
      </c>
      <c r="K203" s="8">
        <v>0</v>
      </c>
      <c r="M203" s="8">
        <v>134.76</v>
      </c>
      <c r="N203" s="9">
        <v>0</v>
      </c>
      <c r="P203" s="8">
        <v>224.24</v>
      </c>
      <c r="Q203" s="9">
        <v>0</v>
      </c>
      <c r="S203" s="8">
        <v>0</v>
      </c>
      <c r="T203" s="8">
        <v>0</v>
      </c>
      <c r="V203" s="9">
        <f t="shared" si="10"/>
        <v>0</v>
      </c>
      <c r="W203" s="10">
        <v>1</v>
      </c>
      <c r="X203" s="9">
        <f t="shared" si="11"/>
        <v>0</v>
      </c>
      <c r="Y203" s="4">
        <v>980</v>
      </c>
      <c r="Z203" s="9">
        <f t="shared" si="12"/>
        <v>0</v>
      </c>
      <c r="AA203" s="9">
        <v>0</v>
      </c>
    </row>
    <row r="204" spans="1:27">
      <c r="A204" s="147" t="s">
        <v>575</v>
      </c>
      <c r="B204" s="147" t="s">
        <v>576</v>
      </c>
      <c r="D204" s="8">
        <v>0</v>
      </c>
      <c r="E204" s="8">
        <v>0</v>
      </c>
      <c r="G204" s="8">
        <v>0</v>
      </c>
      <c r="H204" s="8">
        <v>0</v>
      </c>
      <c r="J204" s="8">
        <v>0</v>
      </c>
      <c r="K204" s="8">
        <v>0</v>
      </c>
      <c r="M204" s="8">
        <v>17.28</v>
      </c>
      <c r="N204" s="9">
        <v>197311.66999999998</v>
      </c>
      <c r="P204" s="8">
        <v>0</v>
      </c>
      <c r="Q204" s="9">
        <v>0</v>
      </c>
      <c r="S204" s="8">
        <v>0</v>
      </c>
      <c r="T204" s="8">
        <v>0</v>
      </c>
      <c r="V204" s="9">
        <f t="shared" si="10"/>
        <v>11418.499421296294</v>
      </c>
      <c r="W204" s="10">
        <v>4.33</v>
      </c>
      <c r="X204" s="9">
        <f t="shared" si="11"/>
        <v>49442.102494212952</v>
      </c>
      <c r="Y204" s="4">
        <v>29</v>
      </c>
      <c r="Z204" s="9">
        <f t="shared" si="12"/>
        <v>1433820.9723321756</v>
      </c>
      <c r="AA204" s="9">
        <v>1128548.3152305859</v>
      </c>
    </row>
    <row r="205" spans="1:27" ht="6.75" customHeight="1">
      <c r="A205" s="131"/>
      <c r="B205" s="2"/>
      <c r="N205" s="129"/>
      <c r="Q205" s="129"/>
      <c r="Z205" s="129"/>
      <c r="AA205" s="129"/>
    </row>
    <row r="206" spans="1:27">
      <c r="A206" s="132"/>
      <c r="B206" s="16" t="s">
        <v>577</v>
      </c>
      <c r="D206" s="140">
        <f>+SUM(D72:D205)</f>
        <v>0</v>
      </c>
      <c r="E206" s="140">
        <f>+SUM(E72:E205)</f>
        <v>0</v>
      </c>
      <c r="F206" s="7"/>
      <c r="G206" s="140">
        <f>+SUM(G72:G205)</f>
        <v>452.74999999999994</v>
      </c>
      <c r="H206" s="140">
        <f>+SUM(H72:H205)</f>
        <v>5692.37</v>
      </c>
      <c r="I206" s="7"/>
      <c r="J206" s="140">
        <f>+SUM(J72:J205)</f>
        <v>4246.87</v>
      </c>
      <c r="K206" s="140">
        <f>+SUM(K72:K205)</f>
        <v>164227.16000000003</v>
      </c>
      <c r="L206" s="7"/>
      <c r="M206" s="140">
        <f>+SUM(M72:M205)</f>
        <v>44736.090000000004</v>
      </c>
      <c r="N206" s="15">
        <f>+SUM(N72:N205)</f>
        <v>10046104.059999991</v>
      </c>
      <c r="O206" s="7"/>
      <c r="P206" s="140">
        <f>+SUM(P72:P205)</f>
        <v>12953.810000000005</v>
      </c>
      <c r="Q206" s="15">
        <f>+SUM(Q72:Q205)</f>
        <v>500330.9</v>
      </c>
      <c r="R206" s="7"/>
      <c r="S206" s="140">
        <f>+SUM(S72:S205)</f>
        <v>104.41</v>
      </c>
      <c r="T206" s="140">
        <f>+SUM(T72:T205)</f>
        <v>114.24</v>
      </c>
      <c r="U206" s="7"/>
      <c r="V206" s="15">
        <f t="shared" ref="V206:AA206" si="13">+SUM(V72:V205)</f>
        <v>60859.879864146125</v>
      </c>
      <c r="W206" s="15">
        <f t="shared" si="13"/>
        <v>1019.7700000000007</v>
      </c>
      <c r="X206" s="13">
        <f t="shared" si="13"/>
        <v>274030.7243096584</v>
      </c>
      <c r="Y206" s="15">
        <f t="shared" si="13"/>
        <v>62428</v>
      </c>
      <c r="Z206" s="15">
        <f t="shared" si="13"/>
        <v>89773681.73369731</v>
      </c>
      <c r="AA206" s="15">
        <f t="shared" si="13"/>
        <v>70660102.77965115</v>
      </c>
    </row>
    <row r="207" spans="1:27">
      <c r="A207" s="132"/>
      <c r="B207" s="132"/>
      <c r="Z207" s="129"/>
      <c r="AA207" s="129"/>
    </row>
    <row r="208" spans="1:27" ht="13.5" thickBot="1">
      <c r="A208" s="2"/>
      <c r="B208" s="133" t="s">
        <v>241</v>
      </c>
      <c r="U208" s="142"/>
      <c r="V208" s="143">
        <f t="shared" ref="V208:AA208" si="14">+V206+V66</f>
        <v>717177.00417122734</v>
      </c>
      <c r="W208" s="143">
        <f t="shared" si="14"/>
        <v>1174.5600000000006</v>
      </c>
      <c r="X208" s="144">
        <f t="shared" si="14"/>
        <v>2654207.7954306742</v>
      </c>
      <c r="Y208" s="143">
        <f t="shared" si="14"/>
        <v>64782</v>
      </c>
      <c r="Z208" s="143">
        <f t="shared" si="14"/>
        <v>178986621.63405478</v>
      </c>
      <c r="AA208" s="143">
        <f t="shared" si="14"/>
        <v>140878850.42256883</v>
      </c>
    </row>
    <row r="209" ht="13.5" thickTop="1"/>
  </sheetData>
  <mergeCells count="7">
    <mergeCell ref="D1:Q2"/>
    <mergeCell ref="S5:T5"/>
    <mergeCell ref="D5:E5"/>
    <mergeCell ref="G5:H5"/>
    <mergeCell ref="J5:K5"/>
    <mergeCell ref="M5:N5"/>
    <mergeCell ref="P5:Q5"/>
  </mergeCells>
  <pageMargins left="0.7" right="0.7" top="0.75" bottom="0.75" header="0.3" footer="0.3"/>
  <pageSetup scale="62" pageOrder="overThenDown" orientation="landscape" r:id="rId1"/>
  <headerFooter>
    <oddFooter xml:space="preserve">&amp;L&amp;F - &amp;A
&amp;R&amp;P of &amp;N
</oddFooter>
  </headerFooter>
  <colBreaks count="1" manualBreakCount="1">
    <brk id="17" max="207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OR283"/>
  <sheetViews>
    <sheetView showGridLines="0" zoomScaleNormal="100" zoomScaleSheetLayoutView="80" workbookViewId="0"/>
  </sheetViews>
  <sheetFormatPr defaultColWidth="11.42578125" defaultRowHeight="10.5"/>
  <cols>
    <col min="1" max="1" width="29.85546875" style="83" customWidth="1"/>
    <col min="2" max="2" width="7.140625" style="84" bestFit="1" customWidth="1"/>
    <col min="3" max="3" width="1.5703125" style="83" customWidth="1"/>
    <col min="4" max="4" width="7.42578125" style="85" bestFit="1" customWidth="1"/>
    <col min="5" max="5" width="1.5703125" style="86" customWidth="1"/>
    <col min="6" max="6" width="9.42578125" style="86" bestFit="1" customWidth="1"/>
    <col min="7" max="7" width="11.7109375" style="84" customWidth="1"/>
    <col min="8" max="8" width="12" style="84" bestFit="1" customWidth="1"/>
    <col min="9" max="9" width="8.7109375" style="83" customWidth="1"/>
    <col min="10" max="10" width="4.5703125" style="84" customWidth="1"/>
    <col min="11" max="11" width="12.140625" style="83" customWidth="1"/>
    <col min="12" max="12" width="4.5703125" style="83" customWidth="1"/>
    <col min="13" max="13" width="8.140625" style="83" customWidth="1"/>
    <col min="14" max="18" width="4.5703125" style="83" customWidth="1"/>
    <col min="19" max="254" width="11.42578125" style="83"/>
    <col min="255" max="255" width="24.28515625" style="83" customWidth="1"/>
    <col min="256" max="256" width="11.42578125" style="83" customWidth="1"/>
    <col min="257" max="257" width="1.5703125" style="83" customWidth="1"/>
    <col min="258" max="258" width="10.7109375" style="83" customWidth="1"/>
    <col min="259" max="259" width="1.5703125" style="83" customWidth="1"/>
    <col min="260" max="260" width="11.42578125" style="83" customWidth="1"/>
    <col min="261" max="261" width="11.7109375" style="83" customWidth="1"/>
    <col min="262" max="262" width="10.28515625" style="83" customWidth="1"/>
    <col min="263" max="263" width="10.7109375" style="83" customWidth="1"/>
    <col min="264" max="264" width="10.5703125" style="83" customWidth="1"/>
    <col min="265" max="265" width="8.7109375" style="83" customWidth="1"/>
    <col min="266" max="274" width="4.5703125" style="83" customWidth="1"/>
    <col min="275" max="510" width="11.42578125" style="83"/>
    <col min="511" max="511" width="24.28515625" style="83" customWidth="1"/>
    <col min="512" max="512" width="11.42578125" style="83" customWidth="1"/>
    <col min="513" max="513" width="1.5703125" style="83" customWidth="1"/>
    <col min="514" max="514" width="10.7109375" style="83" customWidth="1"/>
    <col min="515" max="515" width="1.5703125" style="83" customWidth="1"/>
    <col min="516" max="516" width="11.42578125" style="83" customWidth="1"/>
    <col min="517" max="517" width="11.7109375" style="83" customWidth="1"/>
    <col min="518" max="518" width="10.28515625" style="83" customWidth="1"/>
    <col min="519" max="519" width="10.7109375" style="83" customWidth="1"/>
    <col min="520" max="520" width="10.5703125" style="83" customWidth="1"/>
    <col min="521" max="521" width="8.7109375" style="83" customWidth="1"/>
    <col min="522" max="530" width="4.5703125" style="83" customWidth="1"/>
    <col min="531" max="766" width="11.42578125" style="83"/>
    <col min="767" max="767" width="24.28515625" style="83" customWidth="1"/>
    <col min="768" max="768" width="11.42578125" style="83" customWidth="1"/>
    <col min="769" max="769" width="1.5703125" style="83" customWidth="1"/>
    <col min="770" max="770" width="10.7109375" style="83" customWidth="1"/>
    <col min="771" max="771" width="1.5703125" style="83" customWidth="1"/>
    <col min="772" max="772" width="11.42578125" style="83" customWidth="1"/>
    <col min="773" max="773" width="11.7109375" style="83" customWidth="1"/>
    <col min="774" max="774" width="10.28515625" style="83" customWidth="1"/>
    <col min="775" max="775" width="10.7109375" style="83" customWidth="1"/>
    <col min="776" max="776" width="10.5703125" style="83" customWidth="1"/>
    <col min="777" max="777" width="8.7109375" style="83" customWidth="1"/>
    <col min="778" max="786" width="4.5703125" style="83" customWidth="1"/>
    <col min="787" max="1022" width="11.42578125" style="83"/>
    <col min="1023" max="1023" width="24.28515625" style="83" customWidth="1"/>
    <col min="1024" max="1024" width="11.42578125" style="83" customWidth="1"/>
    <col min="1025" max="1025" width="1.5703125" style="83" customWidth="1"/>
    <col min="1026" max="1026" width="10.7109375" style="83" customWidth="1"/>
    <col min="1027" max="1027" width="1.5703125" style="83" customWidth="1"/>
    <col min="1028" max="1028" width="11.42578125" style="83" customWidth="1"/>
    <col min="1029" max="1029" width="11.7109375" style="83" customWidth="1"/>
    <col min="1030" max="1030" width="10.28515625" style="83" customWidth="1"/>
    <col min="1031" max="1031" width="10.7109375" style="83" customWidth="1"/>
    <col min="1032" max="1032" width="10.5703125" style="83" customWidth="1"/>
    <col min="1033" max="1033" width="8.7109375" style="83" customWidth="1"/>
    <col min="1034" max="1042" width="4.5703125" style="83" customWidth="1"/>
    <col min="1043" max="1278" width="11.42578125" style="83"/>
    <col min="1279" max="1279" width="24.28515625" style="83" customWidth="1"/>
    <col min="1280" max="1280" width="11.42578125" style="83" customWidth="1"/>
    <col min="1281" max="1281" width="1.5703125" style="83" customWidth="1"/>
    <col min="1282" max="1282" width="10.7109375" style="83" customWidth="1"/>
    <col min="1283" max="1283" width="1.5703125" style="83" customWidth="1"/>
    <col min="1284" max="1284" width="11.42578125" style="83" customWidth="1"/>
    <col min="1285" max="1285" width="11.7109375" style="83" customWidth="1"/>
    <col min="1286" max="1286" width="10.28515625" style="83" customWidth="1"/>
    <col min="1287" max="1287" width="10.7109375" style="83" customWidth="1"/>
    <col min="1288" max="1288" width="10.5703125" style="83" customWidth="1"/>
    <col min="1289" max="1289" width="8.7109375" style="83" customWidth="1"/>
    <col min="1290" max="1298" width="4.5703125" style="83" customWidth="1"/>
    <col min="1299" max="1534" width="11.42578125" style="83"/>
    <col min="1535" max="1535" width="24.28515625" style="83" customWidth="1"/>
    <col min="1536" max="1536" width="11.42578125" style="83" customWidth="1"/>
    <col min="1537" max="1537" width="1.5703125" style="83" customWidth="1"/>
    <col min="1538" max="1538" width="10.7109375" style="83" customWidth="1"/>
    <col min="1539" max="1539" width="1.5703125" style="83" customWidth="1"/>
    <col min="1540" max="1540" width="11.42578125" style="83" customWidth="1"/>
    <col min="1541" max="1541" width="11.7109375" style="83" customWidth="1"/>
    <col min="1542" max="1542" width="10.28515625" style="83" customWidth="1"/>
    <col min="1543" max="1543" width="10.7109375" style="83" customWidth="1"/>
    <col min="1544" max="1544" width="10.5703125" style="83" customWidth="1"/>
    <col min="1545" max="1545" width="8.7109375" style="83" customWidth="1"/>
    <col min="1546" max="1554" width="4.5703125" style="83" customWidth="1"/>
    <col min="1555" max="1790" width="11.42578125" style="83"/>
    <col min="1791" max="1791" width="24.28515625" style="83" customWidth="1"/>
    <col min="1792" max="1792" width="11.42578125" style="83" customWidth="1"/>
    <col min="1793" max="1793" width="1.5703125" style="83" customWidth="1"/>
    <col min="1794" max="1794" width="10.7109375" style="83" customWidth="1"/>
    <col min="1795" max="1795" width="1.5703125" style="83" customWidth="1"/>
    <col min="1796" max="1796" width="11.42578125" style="83" customWidth="1"/>
    <col min="1797" max="1797" width="11.7109375" style="83" customWidth="1"/>
    <col min="1798" max="1798" width="10.28515625" style="83" customWidth="1"/>
    <col min="1799" max="1799" width="10.7109375" style="83" customWidth="1"/>
    <col min="1800" max="1800" width="10.5703125" style="83" customWidth="1"/>
    <col min="1801" max="1801" width="8.7109375" style="83" customWidth="1"/>
    <col min="1802" max="1810" width="4.5703125" style="83" customWidth="1"/>
    <col min="1811" max="2046" width="11.42578125" style="83"/>
    <col min="2047" max="2047" width="24.28515625" style="83" customWidth="1"/>
    <col min="2048" max="2048" width="11.42578125" style="83" customWidth="1"/>
    <col min="2049" max="2049" width="1.5703125" style="83" customWidth="1"/>
    <col min="2050" max="2050" width="10.7109375" style="83" customWidth="1"/>
    <col min="2051" max="2051" width="1.5703125" style="83" customWidth="1"/>
    <col min="2052" max="2052" width="11.42578125" style="83" customWidth="1"/>
    <col min="2053" max="2053" width="11.7109375" style="83" customWidth="1"/>
    <col min="2054" max="2054" width="10.28515625" style="83" customWidth="1"/>
    <col min="2055" max="2055" width="10.7109375" style="83" customWidth="1"/>
    <col min="2056" max="2056" width="10.5703125" style="83" customWidth="1"/>
    <col min="2057" max="2057" width="8.7109375" style="83" customWidth="1"/>
    <col min="2058" max="2066" width="4.5703125" style="83" customWidth="1"/>
    <col min="2067" max="2302" width="11.42578125" style="83"/>
    <col min="2303" max="2303" width="24.28515625" style="83" customWidth="1"/>
    <col min="2304" max="2304" width="11.42578125" style="83" customWidth="1"/>
    <col min="2305" max="2305" width="1.5703125" style="83" customWidth="1"/>
    <col min="2306" max="2306" width="10.7109375" style="83" customWidth="1"/>
    <col min="2307" max="2307" width="1.5703125" style="83" customWidth="1"/>
    <col min="2308" max="2308" width="11.42578125" style="83" customWidth="1"/>
    <col min="2309" max="2309" width="11.7109375" style="83" customWidth="1"/>
    <col min="2310" max="2310" width="10.28515625" style="83" customWidth="1"/>
    <col min="2311" max="2311" width="10.7109375" style="83" customWidth="1"/>
    <col min="2312" max="2312" width="10.5703125" style="83" customWidth="1"/>
    <col min="2313" max="2313" width="8.7109375" style="83" customWidth="1"/>
    <col min="2314" max="2322" width="4.5703125" style="83" customWidth="1"/>
    <col min="2323" max="2558" width="11.42578125" style="83"/>
    <col min="2559" max="2559" width="24.28515625" style="83" customWidth="1"/>
    <col min="2560" max="2560" width="11.42578125" style="83" customWidth="1"/>
    <col min="2561" max="2561" width="1.5703125" style="83" customWidth="1"/>
    <col min="2562" max="2562" width="10.7109375" style="83" customWidth="1"/>
    <col min="2563" max="2563" width="1.5703125" style="83" customWidth="1"/>
    <col min="2564" max="2564" width="11.42578125" style="83" customWidth="1"/>
    <col min="2565" max="2565" width="11.7109375" style="83" customWidth="1"/>
    <col min="2566" max="2566" width="10.28515625" style="83" customWidth="1"/>
    <col min="2567" max="2567" width="10.7109375" style="83" customWidth="1"/>
    <col min="2568" max="2568" width="10.5703125" style="83" customWidth="1"/>
    <col min="2569" max="2569" width="8.7109375" style="83" customWidth="1"/>
    <col min="2570" max="2578" width="4.5703125" style="83" customWidth="1"/>
    <col min="2579" max="2814" width="11.42578125" style="83"/>
    <col min="2815" max="2815" width="24.28515625" style="83" customWidth="1"/>
    <col min="2816" max="2816" width="11.42578125" style="83" customWidth="1"/>
    <col min="2817" max="2817" width="1.5703125" style="83" customWidth="1"/>
    <col min="2818" max="2818" width="10.7109375" style="83" customWidth="1"/>
    <col min="2819" max="2819" width="1.5703125" style="83" customWidth="1"/>
    <col min="2820" max="2820" width="11.42578125" style="83" customWidth="1"/>
    <col min="2821" max="2821" width="11.7109375" style="83" customWidth="1"/>
    <col min="2822" max="2822" width="10.28515625" style="83" customWidth="1"/>
    <col min="2823" max="2823" width="10.7109375" style="83" customWidth="1"/>
    <col min="2824" max="2824" width="10.5703125" style="83" customWidth="1"/>
    <col min="2825" max="2825" width="8.7109375" style="83" customWidth="1"/>
    <col min="2826" max="2834" width="4.5703125" style="83" customWidth="1"/>
    <col min="2835" max="3070" width="11.42578125" style="83"/>
    <col min="3071" max="3071" width="24.28515625" style="83" customWidth="1"/>
    <col min="3072" max="3072" width="11.42578125" style="83" customWidth="1"/>
    <col min="3073" max="3073" width="1.5703125" style="83" customWidth="1"/>
    <col min="3074" max="3074" width="10.7109375" style="83" customWidth="1"/>
    <col min="3075" max="3075" width="1.5703125" style="83" customWidth="1"/>
    <col min="3076" max="3076" width="11.42578125" style="83" customWidth="1"/>
    <col min="3077" max="3077" width="11.7109375" style="83" customWidth="1"/>
    <col min="3078" max="3078" width="10.28515625" style="83" customWidth="1"/>
    <col min="3079" max="3079" width="10.7109375" style="83" customWidth="1"/>
    <col min="3080" max="3080" width="10.5703125" style="83" customWidth="1"/>
    <col min="3081" max="3081" width="8.7109375" style="83" customWidth="1"/>
    <col min="3082" max="3090" width="4.5703125" style="83" customWidth="1"/>
    <col min="3091" max="3326" width="11.42578125" style="83"/>
    <col min="3327" max="3327" width="24.28515625" style="83" customWidth="1"/>
    <col min="3328" max="3328" width="11.42578125" style="83" customWidth="1"/>
    <col min="3329" max="3329" width="1.5703125" style="83" customWidth="1"/>
    <col min="3330" max="3330" width="10.7109375" style="83" customWidth="1"/>
    <col min="3331" max="3331" width="1.5703125" style="83" customWidth="1"/>
    <col min="3332" max="3332" width="11.42578125" style="83" customWidth="1"/>
    <col min="3333" max="3333" width="11.7109375" style="83" customWidth="1"/>
    <col min="3334" max="3334" width="10.28515625" style="83" customWidth="1"/>
    <col min="3335" max="3335" width="10.7109375" style="83" customWidth="1"/>
    <col min="3336" max="3336" width="10.5703125" style="83" customWidth="1"/>
    <col min="3337" max="3337" width="8.7109375" style="83" customWidth="1"/>
    <col min="3338" max="3346" width="4.5703125" style="83" customWidth="1"/>
    <col min="3347" max="3582" width="11.42578125" style="83"/>
    <col min="3583" max="3583" width="24.28515625" style="83" customWidth="1"/>
    <col min="3584" max="3584" width="11.42578125" style="83" customWidth="1"/>
    <col min="3585" max="3585" width="1.5703125" style="83" customWidth="1"/>
    <col min="3586" max="3586" width="10.7109375" style="83" customWidth="1"/>
    <col min="3587" max="3587" width="1.5703125" style="83" customWidth="1"/>
    <col min="3588" max="3588" width="11.42578125" style="83" customWidth="1"/>
    <col min="3589" max="3589" width="11.7109375" style="83" customWidth="1"/>
    <col min="3590" max="3590" width="10.28515625" style="83" customWidth="1"/>
    <col min="3591" max="3591" width="10.7109375" style="83" customWidth="1"/>
    <col min="3592" max="3592" width="10.5703125" style="83" customWidth="1"/>
    <col min="3593" max="3593" width="8.7109375" style="83" customWidth="1"/>
    <col min="3594" max="3602" width="4.5703125" style="83" customWidth="1"/>
    <col min="3603" max="3838" width="11.42578125" style="83"/>
    <col min="3839" max="3839" width="24.28515625" style="83" customWidth="1"/>
    <col min="3840" max="3840" width="11.42578125" style="83" customWidth="1"/>
    <col min="3841" max="3841" width="1.5703125" style="83" customWidth="1"/>
    <col min="3842" max="3842" width="10.7109375" style="83" customWidth="1"/>
    <col min="3843" max="3843" width="1.5703125" style="83" customWidth="1"/>
    <col min="3844" max="3844" width="11.42578125" style="83" customWidth="1"/>
    <col min="3845" max="3845" width="11.7109375" style="83" customWidth="1"/>
    <col min="3846" max="3846" width="10.28515625" style="83" customWidth="1"/>
    <col min="3847" max="3847" width="10.7109375" style="83" customWidth="1"/>
    <col min="3848" max="3848" width="10.5703125" style="83" customWidth="1"/>
    <col min="3849" max="3849" width="8.7109375" style="83" customWidth="1"/>
    <col min="3850" max="3858" width="4.5703125" style="83" customWidth="1"/>
    <col min="3859" max="4094" width="11.42578125" style="83"/>
    <col min="4095" max="4095" width="24.28515625" style="83" customWidth="1"/>
    <col min="4096" max="4096" width="11.42578125" style="83" customWidth="1"/>
    <col min="4097" max="4097" width="1.5703125" style="83" customWidth="1"/>
    <col min="4098" max="4098" width="10.7109375" style="83" customWidth="1"/>
    <col min="4099" max="4099" width="1.5703125" style="83" customWidth="1"/>
    <col min="4100" max="4100" width="11.42578125" style="83" customWidth="1"/>
    <col min="4101" max="4101" width="11.7109375" style="83" customWidth="1"/>
    <col min="4102" max="4102" width="10.28515625" style="83" customWidth="1"/>
    <col min="4103" max="4103" width="10.7109375" style="83" customWidth="1"/>
    <col min="4104" max="4104" width="10.5703125" style="83" customWidth="1"/>
    <col min="4105" max="4105" width="8.7109375" style="83" customWidth="1"/>
    <col min="4106" max="4114" width="4.5703125" style="83" customWidth="1"/>
    <col min="4115" max="4350" width="11.42578125" style="83"/>
    <col min="4351" max="4351" width="24.28515625" style="83" customWidth="1"/>
    <col min="4352" max="4352" width="11.42578125" style="83" customWidth="1"/>
    <col min="4353" max="4353" width="1.5703125" style="83" customWidth="1"/>
    <col min="4354" max="4354" width="10.7109375" style="83" customWidth="1"/>
    <col min="4355" max="4355" width="1.5703125" style="83" customWidth="1"/>
    <col min="4356" max="4356" width="11.42578125" style="83" customWidth="1"/>
    <col min="4357" max="4357" width="11.7109375" style="83" customWidth="1"/>
    <col min="4358" max="4358" width="10.28515625" style="83" customWidth="1"/>
    <col min="4359" max="4359" width="10.7109375" style="83" customWidth="1"/>
    <col min="4360" max="4360" width="10.5703125" style="83" customWidth="1"/>
    <col min="4361" max="4361" width="8.7109375" style="83" customWidth="1"/>
    <col min="4362" max="4370" width="4.5703125" style="83" customWidth="1"/>
    <col min="4371" max="4606" width="11.42578125" style="83"/>
    <col min="4607" max="4607" width="24.28515625" style="83" customWidth="1"/>
    <col min="4608" max="4608" width="11.42578125" style="83" customWidth="1"/>
    <col min="4609" max="4609" width="1.5703125" style="83" customWidth="1"/>
    <col min="4610" max="4610" width="10.7109375" style="83" customWidth="1"/>
    <col min="4611" max="4611" width="1.5703125" style="83" customWidth="1"/>
    <col min="4612" max="4612" width="11.42578125" style="83" customWidth="1"/>
    <col min="4613" max="4613" width="11.7109375" style="83" customWidth="1"/>
    <col min="4614" max="4614" width="10.28515625" style="83" customWidth="1"/>
    <col min="4615" max="4615" width="10.7109375" style="83" customWidth="1"/>
    <col min="4616" max="4616" width="10.5703125" style="83" customWidth="1"/>
    <col min="4617" max="4617" width="8.7109375" style="83" customWidth="1"/>
    <col min="4618" max="4626" width="4.5703125" style="83" customWidth="1"/>
    <col min="4627" max="4862" width="11.42578125" style="83"/>
    <col min="4863" max="4863" width="24.28515625" style="83" customWidth="1"/>
    <col min="4864" max="4864" width="11.42578125" style="83" customWidth="1"/>
    <col min="4865" max="4865" width="1.5703125" style="83" customWidth="1"/>
    <col min="4866" max="4866" width="10.7109375" style="83" customWidth="1"/>
    <col min="4867" max="4867" width="1.5703125" style="83" customWidth="1"/>
    <col min="4868" max="4868" width="11.42578125" style="83" customWidth="1"/>
    <col min="4869" max="4869" width="11.7109375" style="83" customWidth="1"/>
    <col min="4870" max="4870" width="10.28515625" style="83" customWidth="1"/>
    <col min="4871" max="4871" width="10.7109375" style="83" customWidth="1"/>
    <col min="4872" max="4872" width="10.5703125" style="83" customWidth="1"/>
    <col min="4873" max="4873" width="8.7109375" style="83" customWidth="1"/>
    <col min="4874" max="4882" width="4.5703125" style="83" customWidth="1"/>
    <col min="4883" max="5118" width="11.42578125" style="83"/>
    <col min="5119" max="5119" width="24.28515625" style="83" customWidth="1"/>
    <col min="5120" max="5120" width="11.42578125" style="83" customWidth="1"/>
    <col min="5121" max="5121" width="1.5703125" style="83" customWidth="1"/>
    <col min="5122" max="5122" width="10.7109375" style="83" customWidth="1"/>
    <col min="5123" max="5123" width="1.5703125" style="83" customWidth="1"/>
    <col min="5124" max="5124" width="11.42578125" style="83" customWidth="1"/>
    <col min="5125" max="5125" width="11.7109375" style="83" customWidth="1"/>
    <col min="5126" max="5126" width="10.28515625" style="83" customWidth="1"/>
    <col min="5127" max="5127" width="10.7109375" style="83" customWidth="1"/>
    <col min="5128" max="5128" width="10.5703125" style="83" customWidth="1"/>
    <col min="5129" max="5129" width="8.7109375" style="83" customWidth="1"/>
    <col min="5130" max="5138" width="4.5703125" style="83" customWidth="1"/>
    <col min="5139" max="5374" width="11.42578125" style="83"/>
    <col min="5375" max="5375" width="24.28515625" style="83" customWidth="1"/>
    <col min="5376" max="5376" width="11.42578125" style="83" customWidth="1"/>
    <col min="5377" max="5377" width="1.5703125" style="83" customWidth="1"/>
    <col min="5378" max="5378" width="10.7109375" style="83" customWidth="1"/>
    <col min="5379" max="5379" width="1.5703125" style="83" customWidth="1"/>
    <col min="5380" max="5380" width="11.42578125" style="83" customWidth="1"/>
    <col min="5381" max="5381" width="11.7109375" style="83" customWidth="1"/>
    <col min="5382" max="5382" width="10.28515625" style="83" customWidth="1"/>
    <col min="5383" max="5383" width="10.7109375" style="83" customWidth="1"/>
    <col min="5384" max="5384" width="10.5703125" style="83" customWidth="1"/>
    <col min="5385" max="5385" width="8.7109375" style="83" customWidth="1"/>
    <col min="5386" max="5394" width="4.5703125" style="83" customWidth="1"/>
    <col min="5395" max="5630" width="11.42578125" style="83"/>
    <col min="5631" max="5631" width="24.28515625" style="83" customWidth="1"/>
    <col min="5632" max="5632" width="11.42578125" style="83" customWidth="1"/>
    <col min="5633" max="5633" width="1.5703125" style="83" customWidth="1"/>
    <col min="5634" max="5634" width="10.7109375" style="83" customWidth="1"/>
    <col min="5635" max="5635" width="1.5703125" style="83" customWidth="1"/>
    <col min="5636" max="5636" width="11.42578125" style="83" customWidth="1"/>
    <col min="5637" max="5637" width="11.7109375" style="83" customWidth="1"/>
    <col min="5638" max="5638" width="10.28515625" style="83" customWidth="1"/>
    <col min="5639" max="5639" width="10.7109375" style="83" customWidth="1"/>
    <col min="5640" max="5640" width="10.5703125" style="83" customWidth="1"/>
    <col min="5641" max="5641" width="8.7109375" style="83" customWidth="1"/>
    <col min="5642" max="5650" width="4.5703125" style="83" customWidth="1"/>
    <col min="5651" max="5886" width="11.42578125" style="83"/>
    <col min="5887" max="5887" width="24.28515625" style="83" customWidth="1"/>
    <col min="5888" max="5888" width="11.42578125" style="83" customWidth="1"/>
    <col min="5889" max="5889" width="1.5703125" style="83" customWidth="1"/>
    <col min="5890" max="5890" width="10.7109375" style="83" customWidth="1"/>
    <col min="5891" max="5891" width="1.5703125" style="83" customWidth="1"/>
    <col min="5892" max="5892" width="11.42578125" style="83" customWidth="1"/>
    <col min="5893" max="5893" width="11.7109375" style="83" customWidth="1"/>
    <col min="5894" max="5894" width="10.28515625" style="83" customWidth="1"/>
    <col min="5895" max="5895" width="10.7109375" style="83" customWidth="1"/>
    <col min="5896" max="5896" width="10.5703125" style="83" customWidth="1"/>
    <col min="5897" max="5897" width="8.7109375" style="83" customWidth="1"/>
    <col min="5898" max="5906" width="4.5703125" style="83" customWidth="1"/>
    <col min="5907" max="6142" width="11.42578125" style="83"/>
    <col min="6143" max="6143" width="24.28515625" style="83" customWidth="1"/>
    <col min="6144" max="6144" width="11.42578125" style="83" customWidth="1"/>
    <col min="6145" max="6145" width="1.5703125" style="83" customWidth="1"/>
    <col min="6146" max="6146" width="10.7109375" style="83" customWidth="1"/>
    <col min="6147" max="6147" width="1.5703125" style="83" customWidth="1"/>
    <col min="6148" max="6148" width="11.42578125" style="83" customWidth="1"/>
    <col min="6149" max="6149" width="11.7109375" style="83" customWidth="1"/>
    <col min="6150" max="6150" width="10.28515625" style="83" customWidth="1"/>
    <col min="6151" max="6151" width="10.7109375" style="83" customWidth="1"/>
    <col min="6152" max="6152" width="10.5703125" style="83" customWidth="1"/>
    <col min="6153" max="6153" width="8.7109375" style="83" customWidth="1"/>
    <col min="6154" max="6162" width="4.5703125" style="83" customWidth="1"/>
    <col min="6163" max="6398" width="11.42578125" style="83"/>
    <col min="6399" max="6399" width="24.28515625" style="83" customWidth="1"/>
    <col min="6400" max="6400" width="11.42578125" style="83" customWidth="1"/>
    <col min="6401" max="6401" width="1.5703125" style="83" customWidth="1"/>
    <col min="6402" max="6402" width="10.7109375" style="83" customWidth="1"/>
    <col min="6403" max="6403" width="1.5703125" style="83" customWidth="1"/>
    <col min="6404" max="6404" width="11.42578125" style="83" customWidth="1"/>
    <col min="6405" max="6405" width="11.7109375" style="83" customWidth="1"/>
    <col min="6406" max="6406" width="10.28515625" style="83" customWidth="1"/>
    <col min="6407" max="6407" width="10.7109375" style="83" customWidth="1"/>
    <col min="6408" max="6408" width="10.5703125" style="83" customWidth="1"/>
    <col min="6409" max="6409" width="8.7109375" style="83" customWidth="1"/>
    <col min="6410" max="6418" width="4.5703125" style="83" customWidth="1"/>
    <col min="6419" max="6654" width="11.42578125" style="83"/>
    <col min="6655" max="6655" width="24.28515625" style="83" customWidth="1"/>
    <col min="6656" max="6656" width="11.42578125" style="83" customWidth="1"/>
    <col min="6657" max="6657" width="1.5703125" style="83" customWidth="1"/>
    <col min="6658" max="6658" width="10.7109375" style="83" customWidth="1"/>
    <col min="6659" max="6659" width="1.5703125" style="83" customWidth="1"/>
    <col min="6660" max="6660" width="11.42578125" style="83" customWidth="1"/>
    <col min="6661" max="6661" width="11.7109375" style="83" customWidth="1"/>
    <col min="6662" max="6662" width="10.28515625" style="83" customWidth="1"/>
    <col min="6663" max="6663" width="10.7109375" style="83" customWidth="1"/>
    <col min="6664" max="6664" width="10.5703125" style="83" customWidth="1"/>
    <col min="6665" max="6665" width="8.7109375" style="83" customWidth="1"/>
    <col min="6666" max="6674" width="4.5703125" style="83" customWidth="1"/>
    <col min="6675" max="6910" width="11.42578125" style="83"/>
    <col min="6911" max="6911" width="24.28515625" style="83" customWidth="1"/>
    <col min="6912" max="6912" width="11.42578125" style="83" customWidth="1"/>
    <col min="6913" max="6913" width="1.5703125" style="83" customWidth="1"/>
    <col min="6914" max="6914" width="10.7109375" style="83" customWidth="1"/>
    <col min="6915" max="6915" width="1.5703125" style="83" customWidth="1"/>
    <col min="6916" max="6916" width="11.42578125" style="83" customWidth="1"/>
    <col min="6917" max="6917" width="11.7109375" style="83" customWidth="1"/>
    <col min="6918" max="6918" width="10.28515625" style="83" customWidth="1"/>
    <col min="6919" max="6919" width="10.7109375" style="83" customWidth="1"/>
    <col min="6920" max="6920" width="10.5703125" style="83" customWidth="1"/>
    <col min="6921" max="6921" width="8.7109375" style="83" customWidth="1"/>
    <col min="6922" max="6930" width="4.5703125" style="83" customWidth="1"/>
    <col min="6931" max="7166" width="11.42578125" style="83"/>
    <col min="7167" max="7167" width="24.28515625" style="83" customWidth="1"/>
    <col min="7168" max="7168" width="11.42578125" style="83" customWidth="1"/>
    <col min="7169" max="7169" width="1.5703125" style="83" customWidth="1"/>
    <col min="7170" max="7170" width="10.7109375" style="83" customWidth="1"/>
    <col min="7171" max="7171" width="1.5703125" style="83" customWidth="1"/>
    <col min="7172" max="7172" width="11.42578125" style="83" customWidth="1"/>
    <col min="7173" max="7173" width="11.7109375" style="83" customWidth="1"/>
    <col min="7174" max="7174" width="10.28515625" style="83" customWidth="1"/>
    <col min="7175" max="7175" width="10.7109375" style="83" customWidth="1"/>
    <col min="7176" max="7176" width="10.5703125" style="83" customWidth="1"/>
    <col min="7177" max="7177" width="8.7109375" style="83" customWidth="1"/>
    <col min="7178" max="7186" width="4.5703125" style="83" customWidth="1"/>
    <col min="7187" max="7422" width="11.42578125" style="83"/>
    <col min="7423" max="7423" width="24.28515625" style="83" customWidth="1"/>
    <col min="7424" max="7424" width="11.42578125" style="83" customWidth="1"/>
    <col min="7425" max="7425" width="1.5703125" style="83" customWidth="1"/>
    <col min="7426" max="7426" width="10.7109375" style="83" customWidth="1"/>
    <col min="7427" max="7427" width="1.5703125" style="83" customWidth="1"/>
    <col min="7428" max="7428" width="11.42578125" style="83" customWidth="1"/>
    <col min="7429" max="7429" width="11.7109375" style="83" customWidth="1"/>
    <col min="7430" max="7430" width="10.28515625" style="83" customWidth="1"/>
    <col min="7431" max="7431" width="10.7109375" style="83" customWidth="1"/>
    <col min="7432" max="7432" width="10.5703125" style="83" customWidth="1"/>
    <col min="7433" max="7433" width="8.7109375" style="83" customWidth="1"/>
    <col min="7434" max="7442" width="4.5703125" style="83" customWidth="1"/>
    <col min="7443" max="7678" width="11.42578125" style="83"/>
    <col min="7679" max="7679" width="24.28515625" style="83" customWidth="1"/>
    <col min="7680" max="7680" width="11.42578125" style="83" customWidth="1"/>
    <col min="7681" max="7681" width="1.5703125" style="83" customWidth="1"/>
    <col min="7682" max="7682" width="10.7109375" style="83" customWidth="1"/>
    <col min="7683" max="7683" width="1.5703125" style="83" customWidth="1"/>
    <col min="7684" max="7684" width="11.42578125" style="83" customWidth="1"/>
    <col min="7685" max="7685" width="11.7109375" style="83" customWidth="1"/>
    <col min="7686" max="7686" width="10.28515625" style="83" customWidth="1"/>
    <col min="7687" max="7687" width="10.7109375" style="83" customWidth="1"/>
    <col min="7688" max="7688" width="10.5703125" style="83" customWidth="1"/>
    <col min="7689" max="7689" width="8.7109375" style="83" customWidth="1"/>
    <col min="7690" max="7698" width="4.5703125" style="83" customWidth="1"/>
    <col min="7699" max="7934" width="11.42578125" style="83"/>
    <col min="7935" max="7935" width="24.28515625" style="83" customWidth="1"/>
    <col min="7936" max="7936" width="11.42578125" style="83" customWidth="1"/>
    <col min="7937" max="7937" width="1.5703125" style="83" customWidth="1"/>
    <col min="7938" max="7938" width="10.7109375" style="83" customWidth="1"/>
    <col min="7939" max="7939" width="1.5703125" style="83" customWidth="1"/>
    <col min="7940" max="7940" width="11.42578125" style="83" customWidth="1"/>
    <col min="7941" max="7941" width="11.7109375" style="83" customWidth="1"/>
    <col min="7942" max="7942" width="10.28515625" style="83" customWidth="1"/>
    <col min="7943" max="7943" width="10.7109375" style="83" customWidth="1"/>
    <col min="7944" max="7944" width="10.5703125" style="83" customWidth="1"/>
    <col min="7945" max="7945" width="8.7109375" style="83" customWidth="1"/>
    <col min="7946" max="7954" width="4.5703125" style="83" customWidth="1"/>
    <col min="7955" max="8190" width="11.42578125" style="83"/>
    <col min="8191" max="8191" width="24.28515625" style="83" customWidth="1"/>
    <col min="8192" max="8192" width="11.42578125" style="83" customWidth="1"/>
    <col min="8193" max="8193" width="1.5703125" style="83" customWidth="1"/>
    <col min="8194" max="8194" width="10.7109375" style="83" customWidth="1"/>
    <col min="8195" max="8195" width="1.5703125" style="83" customWidth="1"/>
    <col min="8196" max="8196" width="11.42578125" style="83" customWidth="1"/>
    <col min="8197" max="8197" width="11.7109375" style="83" customWidth="1"/>
    <col min="8198" max="8198" width="10.28515625" style="83" customWidth="1"/>
    <col min="8199" max="8199" width="10.7109375" style="83" customWidth="1"/>
    <col min="8200" max="8200" width="10.5703125" style="83" customWidth="1"/>
    <col min="8201" max="8201" width="8.7109375" style="83" customWidth="1"/>
    <col min="8202" max="8210" width="4.5703125" style="83" customWidth="1"/>
    <col min="8211" max="8446" width="11.42578125" style="83"/>
    <col min="8447" max="8447" width="24.28515625" style="83" customWidth="1"/>
    <col min="8448" max="8448" width="11.42578125" style="83" customWidth="1"/>
    <col min="8449" max="8449" width="1.5703125" style="83" customWidth="1"/>
    <col min="8450" max="8450" width="10.7109375" style="83" customWidth="1"/>
    <col min="8451" max="8451" width="1.5703125" style="83" customWidth="1"/>
    <col min="8452" max="8452" width="11.42578125" style="83" customWidth="1"/>
    <col min="8453" max="8453" width="11.7109375" style="83" customWidth="1"/>
    <col min="8454" max="8454" width="10.28515625" style="83" customWidth="1"/>
    <col min="8455" max="8455" width="10.7109375" style="83" customWidth="1"/>
    <col min="8456" max="8456" width="10.5703125" style="83" customWidth="1"/>
    <col min="8457" max="8457" width="8.7109375" style="83" customWidth="1"/>
    <col min="8458" max="8466" width="4.5703125" style="83" customWidth="1"/>
    <col min="8467" max="8702" width="11.42578125" style="83"/>
    <col min="8703" max="8703" width="24.28515625" style="83" customWidth="1"/>
    <col min="8704" max="8704" width="11.42578125" style="83" customWidth="1"/>
    <col min="8705" max="8705" width="1.5703125" style="83" customWidth="1"/>
    <col min="8706" max="8706" width="10.7109375" style="83" customWidth="1"/>
    <col min="8707" max="8707" width="1.5703125" style="83" customWidth="1"/>
    <col min="8708" max="8708" width="11.42578125" style="83" customWidth="1"/>
    <col min="8709" max="8709" width="11.7109375" style="83" customWidth="1"/>
    <col min="8710" max="8710" width="10.28515625" style="83" customWidth="1"/>
    <col min="8711" max="8711" width="10.7109375" style="83" customWidth="1"/>
    <col min="8712" max="8712" width="10.5703125" style="83" customWidth="1"/>
    <col min="8713" max="8713" width="8.7109375" style="83" customWidth="1"/>
    <col min="8714" max="8722" width="4.5703125" style="83" customWidth="1"/>
    <col min="8723" max="8958" width="11.42578125" style="83"/>
    <col min="8959" max="8959" width="24.28515625" style="83" customWidth="1"/>
    <col min="8960" max="8960" width="11.42578125" style="83" customWidth="1"/>
    <col min="8961" max="8961" width="1.5703125" style="83" customWidth="1"/>
    <col min="8962" max="8962" width="10.7109375" style="83" customWidth="1"/>
    <col min="8963" max="8963" width="1.5703125" style="83" customWidth="1"/>
    <col min="8964" max="8964" width="11.42578125" style="83" customWidth="1"/>
    <col min="8965" max="8965" width="11.7109375" style="83" customWidth="1"/>
    <col min="8966" max="8966" width="10.28515625" style="83" customWidth="1"/>
    <col min="8967" max="8967" width="10.7109375" style="83" customWidth="1"/>
    <col min="8968" max="8968" width="10.5703125" style="83" customWidth="1"/>
    <col min="8969" max="8969" width="8.7109375" style="83" customWidth="1"/>
    <col min="8970" max="8978" width="4.5703125" style="83" customWidth="1"/>
    <col min="8979" max="9214" width="11.42578125" style="83"/>
    <col min="9215" max="9215" width="24.28515625" style="83" customWidth="1"/>
    <col min="9216" max="9216" width="11.42578125" style="83" customWidth="1"/>
    <col min="9217" max="9217" width="1.5703125" style="83" customWidth="1"/>
    <col min="9218" max="9218" width="10.7109375" style="83" customWidth="1"/>
    <col min="9219" max="9219" width="1.5703125" style="83" customWidth="1"/>
    <col min="9220" max="9220" width="11.42578125" style="83" customWidth="1"/>
    <col min="9221" max="9221" width="11.7109375" style="83" customWidth="1"/>
    <col min="9222" max="9222" width="10.28515625" style="83" customWidth="1"/>
    <col min="9223" max="9223" width="10.7109375" style="83" customWidth="1"/>
    <col min="9224" max="9224" width="10.5703125" style="83" customWidth="1"/>
    <col min="9225" max="9225" width="8.7109375" style="83" customWidth="1"/>
    <col min="9226" max="9234" width="4.5703125" style="83" customWidth="1"/>
    <col min="9235" max="9470" width="11.42578125" style="83"/>
    <col min="9471" max="9471" width="24.28515625" style="83" customWidth="1"/>
    <col min="9472" max="9472" width="11.42578125" style="83" customWidth="1"/>
    <col min="9473" max="9473" width="1.5703125" style="83" customWidth="1"/>
    <col min="9474" max="9474" width="10.7109375" style="83" customWidth="1"/>
    <col min="9475" max="9475" width="1.5703125" style="83" customWidth="1"/>
    <col min="9476" max="9476" width="11.42578125" style="83" customWidth="1"/>
    <col min="9477" max="9477" width="11.7109375" style="83" customWidth="1"/>
    <col min="9478" max="9478" width="10.28515625" style="83" customWidth="1"/>
    <col min="9479" max="9479" width="10.7109375" style="83" customWidth="1"/>
    <col min="9480" max="9480" width="10.5703125" style="83" customWidth="1"/>
    <col min="9481" max="9481" width="8.7109375" style="83" customWidth="1"/>
    <col min="9482" max="9490" width="4.5703125" style="83" customWidth="1"/>
    <col min="9491" max="9726" width="11.42578125" style="83"/>
    <col min="9727" max="9727" width="24.28515625" style="83" customWidth="1"/>
    <col min="9728" max="9728" width="11.42578125" style="83" customWidth="1"/>
    <col min="9729" max="9729" width="1.5703125" style="83" customWidth="1"/>
    <col min="9730" max="9730" width="10.7109375" style="83" customWidth="1"/>
    <col min="9731" max="9731" width="1.5703125" style="83" customWidth="1"/>
    <col min="9732" max="9732" width="11.42578125" style="83" customWidth="1"/>
    <col min="9733" max="9733" width="11.7109375" style="83" customWidth="1"/>
    <col min="9734" max="9734" width="10.28515625" style="83" customWidth="1"/>
    <col min="9735" max="9735" width="10.7109375" style="83" customWidth="1"/>
    <col min="9736" max="9736" width="10.5703125" style="83" customWidth="1"/>
    <col min="9737" max="9737" width="8.7109375" style="83" customWidth="1"/>
    <col min="9738" max="9746" width="4.5703125" style="83" customWidth="1"/>
    <col min="9747" max="9982" width="11.42578125" style="83"/>
    <col min="9983" max="9983" width="24.28515625" style="83" customWidth="1"/>
    <col min="9984" max="9984" width="11.42578125" style="83" customWidth="1"/>
    <col min="9985" max="9985" width="1.5703125" style="83" customWidth="1"/>
    <col min="9986" max="9986" width="10.7109375" style="83" customWidth="1"/>
    <col min="9987" max="9987" width="1.5703125" style="83" customWidth="1"/>
    <col min="9988" max="9988" width="11.42578125" style="83" customWidth="1"/>
    <col min="9989" max="9989" width="11.7109375" style="83" customWidth="1"/>
    <col min="9990" max="9990" width="10.28515625" style="83" customWidth="1"/>
    <col min="9991" max="9991" width="10.7109375" style="83" customWidth="1"/>
    <col min="9992" max="9992" width="10.5703125" style="83" customWidth="1"/>
    <col min="9993" max="9993" width="8.7109375" style="83" customWidth="1"/>
    <col min="9994" max="10002" width="4.5703125" style="83" customWidth="1"/>
    <col min="10003" max="10238" width="11.42578125" style="83"/>
    <col min="10239" max="10239" width="24.28515625" style="83" customWidth="1"/>
    <col min="10240" max="10240" width="11.42578125" style="83" customWidth="1"/>
    <col min="10241" max="10241" width="1.5703125" style="83" customWidth="1"/>
    <col min="10242" max="10242" width="10.7109375" style="83" customWidth="1"/>
    <col min="10243" max="10243" width="1.5703125" style="83" customWidth="1"/>
    <col min="10244" max="10244" width="11.42578125" style="83" customWidth="1"/>
    <col min="10245" max="10245" width="11.7109375" style="83" customWidth="1"/>
    <col min="10246" max="10246" width="10.28515625" style="83" customWidth="1"/>
    <col min="10247" max="10247" width="10.7109375" style="83" customWidth="1"/>
    <col min="10248" max="10248" width="10.5703125" style="83" customWidth="1"/>
    <col min="10249" max="10249" width="8.7109375" style="83" customWidth="1"/>
    <col min="10250" max="10258" width="4.5703125" style="83" customWidth="1"/>
    <col min="10259" max="10494" width="11.42578125" style="83"/>
    <col min="10495" max="10495" width="24.28515625" style="83" customWidth="1"/>
    <col min="10496" max="10496" width="11.42578125" style="83" customWidth="1"/>
    <col min="10497" max="10497" width="1.5703125" style="83" customWidth="1"/>
    <col min="10498" max="10498" width="10.7109375" style="83" customWidth="1"/>
    <col min="10499" max="10499" width="1.5703125" style="83" customWidth="1"/>
    <col min="10500" max="10500" width="11.42578125" style="83" customWidth="1"/>
    <col min="10501" max="10501" width="11.7109375" style="83" customWidth="1"/>
    <col min="10502" max="10502" width="10.28515625" style="83" customWidth="1"/>
    <col min="10503" max="10503" width="10.7109375" style="83" customWidth="1"/>
    <col min="10504" max="10504" width="10.5703125" style="83" customWidth="1"/>
    <col min="10505" max="10505" width="8.7109375" style="83" customWidth="1"/>
    <col min="10506" max="10514" width="4.5703125" style="83" customWidth="1"/>
    <col min="10515" max="10750" width="11.42578125" style="83"/>
    <col min="10751" max="10751" width="24.28515625" style="83" customWidth="1"/>
    <col min="10752" max="10752" width="11.42578125" style="83" customWidth="1"/>
    <col min="10753" max="10753" width="1.5703125" style="83" customWidth="1"/>
    <col min="10754" max="10754" width="10.7109375" style="83" customWidth="1"/>
    <col min="10755" max="10755" width="1.5703125" style="83" customWidth="1"/>
    <col min="10756" max="10756" width="11.42578125" style="83" customWidth="1"/>
    <col min="10757" max="10757" width="11.7109375" style="83" customWidth="1"/>
    <col min="10758" max="10758" width="10.28515625" style="83" customWidth="1"/>
    <col min="10759" max="10759" width="10.7109375" style="83" customWidth="1"/>
    <col min="10760" max="10760" width="10.5703125" style="83" customWidth="1"/>
    <col min="10761" max="10761" width="8.7109375" style="83" customWidth="1"/>
    <col min="10762" max="10770" width="4.5703125" style="83" customWidth="1"/>
    <col min="10771" max="11006" width="11.42578125" style="83"/>
    <col min="11007" max="11007" width="24.28515625" style="83" customWidth="1"/>
    <col min="11008" max="11008" width="11.42578125" style="83" customWidth="1"/>
    <col min="11009" max="11009" width="1.5703125" style="83" customWidth="1"/>
    <col min="11010" max="11010" width="10.7109375" style="83" customWidth="1"/>
    <col min="11011" max="11011" width="1.5703125" style="83" customWidth="1"/>
    <col min="11012" max="11012" width="11.42578125" style="83" customWidth="1"/>
    <col min="11013" max="11013" width="11.7109375" style="83" customWidth="1"/>
    <col min="11014" max="11014" width="10.28515625" style="83" customWidth="1"/>
    <col min="11015" max="11015" width="10.7109375" style="83" customWidth="1"/>
    <col min="11016" max="11016" width="10.5703125" style="83" customWidth="1"/>
    <col min="11017" max="11017" width="8.7109375" style="83" customWidth="1"/>
    <col min="11018" max="11026" width="4.5703125" style="83" customWidth="1"/>
    <col min="11027" max="11262" width="11.42578125" style="83"/>
    <col min="11263" max="11263" width="24.28515625" style="83" customWidth="1"/>
    <col min="11264" max="11264" width="11.42578125" style="83" customWidth="1"/>
    <col min="11265" max="11265" width="1.5703125" style="83" customWidth="1"/>
    <col min="11266" max="11266" width="10.7109375" style="83" customWidth="1"/>
    <col min="11267" max="11267" width="1.5703125" style="83" customWidth="1"/>
    <col min="11268" max="11268" width="11.42578125" style="83" customWidth="1"/>
    <col min="11269" max="11269" width="11.7109375" style="83" customWidth="1"/>
    <col min="11270" max="11270" width="10.28515625" style="83" customWidth="1"/>
    <col min="11271" max="11271" width="10.7109375" style="83" customWidth="1"/>
    <col min="11272" max="11272" width="10.5703125" style="83" customWidth="1"/>
    <col min="11273" max="11273" width="8.7109375" style="83" customWidth="1"/>
    <col min="11274" max="11282" width="4.5703125" style="83" customWidth="1"/>
    <col min="11283" max="11518" width="11.42578125" style="83"/>
    <col min="11519" max="11519" width="24.28515625" style="83" customWidth="1"/>
    <col min="11520" max="11520" width="11.42578125" style="83" customWidth="1"/>
    <col min="11521" max="11521" width="1.5703125" style="83" customWidth="1"/>
    <col min="11522" max="11522" width="10.7109375" style="83" customWidth="1"/>
    <col min="11523" max="11523" width="1.5703125" style="83" customWidth="1"/>
    <col min="11524" max="11524" width="11.42578125" style="83" customWidth="1"/>
    <col min="11525" max="11525" width="11.7109375" style="83" customWidth="1"/>
    <col min="11526" max="11526" width="10.28515625" style="83" customWidth="1"/>
    <col min="11527" max="11527" width="10.7109375" style="83" customWidth="1"/>
    <col min="11528" max="11528" width="10.5703125" style="83" customWidth="1"/>
    <col min="11529" max="11529" width="8.7109375" style="83" customWidth="1"/>
    <col min="11530" max="11538" width="4.5703125" style="83" customWidth="1"/>
    <col min="11539" max="11774" width="11.42578125" style="83"/>
    <col min="11775" max="11775" width="24.28515625" style="83" customWidth="1"/>
    <col min="11776" max="11776" width="11.42578125" style="83" customWidth="1"/>
    <col min="11777" max="11777" width="1.5703125" style="83" customWidth="1"/>
    <col min="11778" max="11778" width="10.7109375" style="83" customWidth="1"/>
    <col min="11779" max="11779" width="1.5703125" style="83" customWidth="1"/>
    <col min="11780" max="11780" width="11.42578125" style="83" customWidth="1"/>
    <col min="11781" max="11781" width="11.7109375" style="83" customWidth="1"/>
    <col min="11782" max="11782" width="10.28515625" style="83" customWidth="1"/>
    <col min="11783" max="11783" width="10.7109375" style="83" customWidth="1"/>
    <col min="11784" max="11784" width="10.5703125" style="83" customWidth="1"/>
    <col min="11785" max="11785" width="8.7109375" style="83" customWidth="1"/>
    <col min="11786" max="11794" width="4.5703125" style="83" customWidth="1"/>
    <col min="11795" max="12030" width="11.42578125" style="83"/>
    <col min="12031" max="12031" width="24.28515625" style="83" customWidth="1"/>
    <col min="12032" max="12032" width="11.42578125" style="83" customWidth="1"/>
    <col min="12033" max="12033" width="1.5703125" style="83" customWidth="1"/>
    <col min="12034" max="12034" width="10.7109375" style="83" customWidth="1"/>
    <col min="12035" max="12035" width="1.5703125" style="83" customWidth="1"/>
    <col min="12036" max="12036" width="11.42578125" style="83" customWidth="1"/>
    <col min="12037" max="12037" width="11.7109375" style="83" customWidth="1"/>
    <col min="12038" max="12038" width="10.28515625" style="83" customWidth="1"/>
    <col min="12039" max="12039" width="10.7109375" style="83" customWidth="1"/>
    <col min="12040" max="12040" width="10.5703125" style="83" customWidth="1"/>
    <col min="12041" max="12041" width="8.7109375" style="83" customWidth="1"/>
    <col min="12042" max="12050" width="4.5703125" style="83" customWidth="1"/>
    <col min="12051" max="12286" width="11.42578125" style="83"/>
    <col min="12287" max="12287" width="24.28515625" style="83" customWidth="1"/>
    <col min="12288" max="12288" width="11.42578125" style="83" customWidth="1"/>
    <col min="12289" max="12289" width="1.5703125" style="83" customWidth="1"/>
    <col min="12290" max="12290" width="10.7109375" style="83" customWidth="1"/>
    <col min="12291" max="12291" width="1.5703125" style="83" customWidth="1"/>
    <col min="12292" max="12292" width="11.42578125" style="83" customWidth="1"/>
    <col min="12293" max="12293" width="11.7109375" style="83" customWidth="1"/>
    <col min="12294" max="12294" width="10.28515625" style="83" customWidth="1"/>
    <col min="12295" max="12295" width="10.7109375" style="83" customWidth="1"/>
    <col min="12296" max="12296" width="10.5703125" style="83" customWidth="1"/>
    <col min="12297" max="12297" width="8.7109375" style="83" customWidth="1"/>
    <col min="12298" max="12306" width="4.5703125" style="83" customWidth="1"/>
    <col min="12307" max="12542" width="11.42578125" style="83"/>
    <col min="12543" max="12543" width="24.28515625" style="83" customWidth="1"/>
    <col min="12544" max="12544" width="11.42578125" style="83" customWidth="1"/>
    <col min="12545" max="12545" width="1.5703125" style="83" customWidth="1"/>
    <col min="12546" max="12546" width="10.7109375" style="83" customWidth="1"/>
    <col min="12547" max="12547" width="1.5703125" style="83" customWidth="1"/>
    <col min="12548" max="12548" width="11.42578125" style="83" customWidth="1"/>
    <col min="12549" max="12549" width="11.7109375" style="83" customWidth="1"/>
    <col min="12550" max="12550" width="10.28515625" style="83" customWidth="1"/>
    <col min="12551" max="12551" width="10.7109375" style="83" customWidth="1"/>
    <col min="12552" max="12552" width="10.5703125" style="83" customWidth="1"/>
    <col min="12553" max="12553" width="8.7109375" style="83" customWidth="1"/>
    <col min="12554" max="12562" width="4.5703125" style="83" customWidth="1"/>
    <col min="12563" max="12798" width="11.42578125" style="83"/>
    <col min="12799" max="12799" width="24.28515625" style="83" customWidth="1"/>
    <col min="12800" max="12800" width="11.42578125" style="83" customWidth="1"/>
    <col min="12801" max="12801" width="1.5703125" style="83" customWidth="1"/>
    <col min="12802" max="12802" width="10.7109375" style="83" customWidth="1"/>
    <col min="12803" max="12803" width="1.5703125" style="83" customWidth="1"/>
    <col min="12804" max="12804" width="11.42578125" style="83" customWidth="1"/>
    <col min="12805" max="12805" width="11.7109375" style="83" customWidth="1"/>
    <col min="12806" max="12806" width="10.28515625" style="83" customWidth="1"/>
    <col min="12807" max="12807" width="10.7109375" style="83" customWidth="1"/>
    <col min="12808" max="12808" width="10.5703125" style="83" customWidth="1"/>
    <col min="12809" max="12809" width="8.7109375" style="83" customWidth="1"/>
    <col min="12810" max="12818" width="4.5703125" style="83" customWidth="1"/>
    <col min="12819" max="13054" width="11.42578125" style="83"/>
    <col min="13055" max="13055" width="24.28515625" style="83" customWidth="1"/>
    <col min="13056" max="13056" width="11.42578125" style="83" customWidth="1"/>
    <col min="13057" max="13057" width="1.5703125" style="83" customWidth="1"/>
    <col min="13058" max="13058" width="10.7109375" style="83" customWidth="1"/>
    <col min="13059" max="13059" width="1.5703125" style="83" customWidth="1"/>
    <col min="13060" max="13060" width="11.42578125" style="83" customWidth="1"/>
    <col min="13061" max="13061" width="11.7109375" style="83" customWidth="1"/>
    <col min="13062" max="13062" width="10.28515625" style="83" customWidth="1"/>
    <col min="13063" max="13063" width="10.7109375" style="83" customWidth="1"/>
    <col min="13064" max="13064" width="10.5703125" style="83" customWidth="1"/>
    <col min="13065" max="13065" width="8.7109375" style="83" customWidth="1"/>
    <col min="13066" max="13074" width="4.5703125" style="83" customWidth="1"/>
    <col min="13075" max="13310" width="11.42578125" style="83"/>
    <col min="13311" max="13311" width="24.28515625" style="83" customWidth="1"/>
    <col min="13312" max="13312" width="11.42578125" style="83" customWidth="1"/>
    <col min="13313" max="13313" width="1.5703125" style="83" customWidth="1"/>
    <col min="13314" max="13314" width="10.7109375" style="83" customWidth="1"/>
    <col min="13315" max="13315" width="1.5703125" style="83" customWidth="1"/>
    <col min="13316" max="13316" width="11.42578125" style="83" customWidth="1"/>
    <col min="13317" max="13317" width="11.7109375" style="83" customWidth="1"/>
    <col min="13318" max="13318" width="10.28515625" style="83" customWidth="1"/>
    <col min="13319" max="13319" width="10.7109375" style="83" customWidth="1"/>
    <col min="13320" max="13320" width="10.5703125" style="83" customWidth="1"/>
    <col min="13321" max="13321" width="8.7109375" style="83" customWidth="1"/>
    <col min="13322" max="13330" width="4.5703125" style="83" customWidth="1"/>
    <col min="13331" max="13566" width="11.42578125" style="83"/>
    <col min="13567" max="13567" width="24.28515625" style="83" customWidth="1"/>
    <col min="13568" max="13568" width="11.42578125" style="83" customWidth="1"/>
    <col min="13569" max="13569" width="1.5703125" style="83" customWidth="1"/>
    <col min="13570" max="13570" width="10.7109375" style="83" customWidth="1"/>
    <col min="13571" max="13571" width="1.5703125" style="83" customWidth="1"/>
    <col min="13572" max="13572" width="11.42578125" style="83" customWidth="1"/>
    <col min="13573" max="13573" width="11.7109375" style="83" customWidth="1"/>
    <col min="13574" max="13574" width="10.28515625" style="83" customWidth="1"/>
    <col min="13575" max="13575" width="10.7109375" style="83" customWidth="1"/>
    <col min="13576" max="13576" width="10.5703125" style="83" customWidth="1"/>
    <col min="13577" max="13577" width="8.7109375" style="83" customWidth="1"/>
    <col min="13578" max="13586" width="4.5703125" style="83" customWidth="1"/>
    <col min="13587" max="13822" width="11.42578125" style="83"/>
    <col min="13823" max="13823" width="24.28515625" style="83" customWidth="1"/>
    <col min="13824" max="13824" width="11.42578125" style="83" customWidth="1"/>
    <col min="13825" max="13825" width="1.5703125" style="83" customWidth="1"/>
    <col min="13826" max="13826" width="10.7109375" style="83" customWidth="1"/>
    <col min="13827" max="13827" width="1.5703125" style="83" customWidth="1"/>
    <col min="13828" max="13828" width="11.42578125" style="83" customWidth="1"/>
    <col min="13829" max="13829" width="11.7109375" style="83" customWidth="1"/>
    <col min="13830" max="13830" width="10.28515625" style="83" customWidth="1"/>
    <col min="13831" max="13831" width="10.7109375" style="83" customWidth="1"/>
    <col min="13832" max="13832" width="10.5703125" style="83" customWidth="1"/>
    <col min="13833" max="13833" width="8.7109375" style="83" customWidth="1"/>
    <col min="13834" max="13842" width="4.5703125" style="83" customWidth="1"/>
    <col min="13843" max="14078" width="11.42578125" style="83"/>
    <col min="14079" max="14079" width="24.28515625" style="83" customWidth="1"/>
    <col min="14080" max="14080" width="11.42578125" style="83" customWidth="1"/>
    <col min="14081" max="14081" width="1.5703125" style="83" customWidth="1"/>
    <col min="14082" max="14082" width="10.7109375" style="83" customWidth="1"/>
    <col min="14083" max="14083" width="1.5703125" style="83" customWidth="1"/>
    <col min="14084" max="14084" width="11.42578125" style="83" customWidth="1"/>
    <col min="14085" max="14085" width="11.7109375" style="83" customWidth="1"/>
    <col min="14086" max="14086" width="10.28515625" style="83" customWidth="1"/>
    <col min="14087" max="14087" width="10.7109375" style="83" customWidth="1"/>
    <col min="14088" max="14088" width="10.5703125" style="83" customWidth="1"/>
    <col min="14089" max="14089" width="8.7109375" style="83" customWidth="1"/>
    <col min="14090" max="14098" width="4.5703125" style="83" customWidth="1"/>
    <col min="14099" max="14334" width="11.42578125" style="83"/>
    <col min="14335" max="14335" width="24.28515625" style="83" customWidth="1"/>
    <col min="14336" max="14336" width="11.42578125" style="83" customWidth="1"/>
    <col min="14337" max="14337" width="1.5703125" style="83" customWidth="1"/>
    <col min="14338" max="14338" width="10.7109375" style="83" customWidth="1"/>
    <col min="14339" max="14339" width="1.5703125" style="83" customWidth="1"/>
    <col min="14340" max="14340" width="11.42578125" style="83" customWidth="1"/>
    <col min="14341" max="14341" width="11.7109375" style="83" customWidth="1"/>
    <col min="14342" max="14342" width="10.28515625" style="83" customWidth="1"/>
    <col min="14343" max="14343" width="10.7109375" style="83" customWidth="1"/>
    <col min="14344" max="14344" width="10.5703125" style="83" customWidth="1"/>
    <col min="14345" max="14345" width="8.7109375" style="83" customWidth="1"/>
    <col min="14346" max="14354" width="4.5703125" style="83" customWidth="1"/>
    <col min="14355" max="14590" width="11.42578125" style="83"/>
    <col min="14591" max="14591" width="24.28515625" style="83" customWidth="1"/>
    <col min="14592" max="14592" width="11.42578125" style="83" customWidth="1"/>
    <col min="14593" max="14593" width="1.5703125" style="83" customWidth="1"/>
    <col min="14594" max="14594" width="10.7109375" style="83" customWidth="1"/>
    <col min="14595" max="14595" width="1.5703125" style="83" customWidth="1"/>
    <col min="14596" max="14596" width="11.42578125" style="83" customWidth="1"/>
    <col min="14597" max="14597" width="11.7109375" style="83" customWidth="1"/>
    <col min="14598" max="14598" width="10.28515625" style="83" customWidth="1"/>
    <col min="14599" max="14599" width="10.7109375" style="83" customWidth="1"/>
    <col min="14600" max="14600" width="10.5703125" style="83" customWidth="1"/>
    <col min="14601" max="14601" width="8.7109375" style="83" customWidth="1"/>
    <col min="14602" max="14610" width="4.5703125" style="83" customWidth="1"/>
    <col min="14611" max="14846" width="11.42578125" style="83"/>
    <col min="14847" max="14847" width="24.28515625" style="83" customWidth="1"/>
    <col min="14848" max="14848" width="11.42578125" style="83" customWidth="1"/>
    <col min="14849" max="14849" width="1.5703125" style="83" customWidth="1"/>
    <col min="14850" max="14850" width="10.7109375" style="83" customWidth="1"/>
    <col min="14851" max="14851" width="1.5703125" style="83" customWidth="1"/>
    <col min="14852" max="14852" width="11.42578125" style="83" customWidth="1"/>
    <col min="14853" max="14853" width="11.7109375" style="83" customWidth="1"/>
    <col min="14854" max="14854" width="10.28515625" style="83" customWidth="1"/>
    <col min="14855" max="14855" width="10.7109375" style="83" customWidth="1"/>
    <col min="14856" max="14856" width="10.5703125" style="83" customWidth="1"/>
    <col min="14857" max="14857" width="8.7109375" style="83" customWidth="1"/>
    <col min="14858" max="14866" width="4.5703125" style="83" customWidth="1"/>
    <col min="14867" max="15102" width="11.42578125" style="83"/>
    <col min="15103" max="15103" width="24.28515625" style="83" customWidth="1"/>
    <col min="15104" max="15104" width="11.42578125" style="83" customWidth="1"/>
    <col min="15105" max="15105" width="1.5703125" style="83" customWidth="1"/>
    <col min="15106" max="15106" width="10.7109375" style="83" customWidth="1"/>
    <col min="15107" max="15107" width="1.5703125" style="83" customWidth="1"/>
    <col min="15108" max="15108" width="11.42578125" style="83" customWidth="1"/>
    <col min="15109" max="15109" width="11.7109375" style="83" customWidth="1"/>
    <col min="15110" max="15110" width="10.28515625" style="83" customWidth="1"/>
    <col min="15111" max="15111" width="10.7109375" style="83" customWidth="1"/>
    <col min="15112" max="15112" width="10.5703125" style="83" customWidth="1"/>
    <col min="15113" max="15113" width="8.7109375" style="83" customWidth="1"/>
    <col min="15114" max="15122" width="4.5703125" style="83" customWidth="1"/>
    <col min="15123" max="15358" width="11.42578125" style="83"/>
    <col min="15359" max="15359" width="24.28515625" style="83" customWidth="1"/>
    <col min="15360" max="15360" width="11.42578125" style="83" customWidth="1"/>
    <col min="15361" max="15361" width="1.5703125" style="83" customWidth="1"/>
    <col min="15362" max="15362" width="10.7109375" style="83" customWidth="1"/>
    <col min="15363" max="15363" width="1.5703125" style="83" customWidth="1"/>
    <col min="15364" max="15364" width="11.42578125" style="83" customWidth="1"/>
    <col min="15365" max="15365" width="11.7109375" style="83" customWidth="1"/>
    <col min="15366" max="15366" width="10.28515625" style="83" customWidth="1"/>
    <col min="15367" max="15367" width="10.7109375" style="83" customWidth="1"/>
    <col min="15368" max="15368" width="10.5703125" style="83" customWidth="1"/>
    <col min="15369" max="15369" width="8.7109375" style="83" customWidth="1"/>
    <col min="15370" max="15378" width="4.5703125" style="83" customWidth="1"/>
    <col min="15379" max="15614" width="11.42578125" style="83"/>
    <col min="15615" max="15615" width="24.28515625" style="83" customWidth="1"/>
    <col min="15616" max="15616" width="11.42578125" style="83" customWidth="1"/>
    <col min="15617" max="15617" width="1.5703125" style="83" customWidth="1"/>
    <col min="15618" max="15618" width="10.7109375" style="83" customWidth="1"/>
    <col min="15619" max="15619" width="1.5703125" style="83" customWidth="1"/>
    <col min="15620" max="15620" width="11.42578125" style="83" customWidth="1"/>
    <col min="15621" max="15621" width="11.7109375" style="83" customWidth="1"/>
    <col min="15622" max="15622" width="10.28515625" style="83" customWidth="1"/>
    <col min="15623" max="15623" width="10.7109375" style="83" customWidth="1"/>
    <col min="15624" max="15624" width="10.5703125" style="83" customWidth="1"/>
    <col min="15625" max="15625" width="8.7109375" style="83" customWidth="1"/>
    <col min="15626" max="15634" width="4.5703125" style="83" customWidth="1"/>
    <col min="15635" max="15870" width="11.42578125" style="83"/>
    <col min="15871" max="15871" width="24.28515625" style="83" customWidth="1"/>
    <col min="15872" max="15872" width="11.42578125" style="83" customWidth="1"/>
    <col min="15873" max="15873" width="1.5703125" style="83" customWidth="1"/>
    <col min="15874" max="15874" width="10.7109375" style="83" customWidth="1"/>
    <col min="15875" max="15875" width="1.5703125" style="83" customWidth="1"/>
    <col min="15876" max="15876" width="11.42578125" style="83" customWidth="1"/>
    <col min="15877" max="15877" width="11.7109375" style="83" customWidth="1"/>
    <col min="15878" max="15878" width="10.28515625" style="83" customWidth="1"/>
    <col min="15879" max="15879" width="10.7109375" style="83" customWidth="1"/>
    <col min="15880" max="15880" width="10.5703125" style="83" customWidth="1"/>
    <col min="15881" max="15881" width="8.7109375" style="83" customWidth="1"/>
    <col min="15882" max="15890" width="4.5703125" style="83" customWidth="1"/>
    <col min="15891" max="16126" width="11.42578125" style="83"/>
    <col min="16127" max="16127" width="24.28515625" style="83" customWidth="1"/>
    <col min="16128" max="16128" width="11.42578125" style="83" customWidth="1"/>
    <col min="16129" max="16129" width="1.5703125" style="83" customWidth="1"/>
    <col min="16130" max="16130" width="10.7109375" style="83" customWidth="1"/>
    <col min="16131" max="16131" width="1.5703125" style="83" customWidth="1"/>
    <col min="16132" max="16132" width="11.42578125" style="83" customWidth="1"/>
    <col min="16133" max="16133" width="11.7109375" style="83" customWidth="1"/>
    <col min="16134" max="16134" width="10.28515625" style="83" customWidth="1"/>
    <col min="16135" max="16135" width="10.7109375" style="83" customWidth="1"/>
    <col min="16136" max="16136" width="10.5703125" style="83" customWidth="1"/>
    <col min="16137" max="16137" width="8.7109375" style="83" customWidth="1"/>
    <col min="16138" max="16146" width="4.5703125" style="83" customWidth="1"/>
    <col min="16147" max="16384" width="11.42578125" style="83"/>
  </cols>
  <sheetData>
    <row r="1" spans="1:10" s="52" customFormat="1" ht="12.75">
      <c r="A1" s="161" t="s">
        <v>625</v>
      </c>
      <c r="B1" s="51"/>
      <c r="D1" s="53"/>
      <c r="E1" s="54"/>
      <c r="H1" s="51"/>
      <c r="J1" s="51"/>
    </row>
    <row r="2" spans="1:10" s="52" customFormat="1" ht="12.75">
      <c r="A2" s="243" t="s">
        <v>626</v>
      </c>
      <c r="B2" s="55"/>
      <c r="D2" s="53"/>
      <c r="E2" s="54"/>
      <c r="F2" s="56"/>
      <c r="J2" s="51"/>
    </row>
    <row r="3" spans="1:10" s="52" customFormat="1" ht="12.75" customHeight="1" thickBot="1">
      <c r="A3" s="243"/>
      <c r="B3" s="55"/>
      <c r="D3" s="53"/>
      <c r="E3" s="54"/>
      <c r="F3" s="56"/>
      <c r="J3" s="51"/>
    </row>
    <row r="4" spans="1:10" customFormat="1" ht="38.25" customHeight="1" thickBot="1">
      <c r="A4" s="263" t="s">
        <v>627</v>
      </c>
      <c r="B4" s="264"/>
      <c r="C4" s="264"/>
      <c r="D4" s="264"/>
      <c r="E4" s="264"/>
      <c r="F4" s="265"/>
    </row>
    <row r="5" spans="1:10" customFormat="1" ht="12.75" customHeight="1"/>
    <row r="6" spans="1:10" s="52" customFormat="1" ht="12.75">
      <c r="A6" s="61"/>
      <c r="B6" s="62" t="s">
        <v>252</v>
      </c>
      <c r="C6" s="59"/>
      <c r="D6" s="60" t="s">
        <v>254</v>
      </c>
      <c r="E6" s="60"/>
      <c r="F6" s="58" t="s">
        <v>253</v>
      </c>
      <c r="H6" s="51"/>
    </row>
    <row r="7" spans="1:10" s="52" customFormat="1" ht="12.75">
      <c r="A7" s="63"/>
      <c r="B7" s="62" t="s">
        <v>69</v>
      </c>
      <c r="C7" s="59"/>
      <c r="D7" s="60" t="s">
        <v>63</v>
      </c>
      <c r="E7" s="60"/>
      <c r="F7" s="60" t="s">
        <v>69</v>
      </c>
      <c r="H7" s="51"/>
    </row>
    <row r="8" spans="1:10" s="52" customFormat="1" ht="12.75">
      <c r="A8" s="65" t="s">
        <v>255</v>
      </c>
      <c r="B8" s="64"/>
      <c r="C8" s="65"/>
      <c r="D8" s="66"/>
      <c r="E8" s="67"/>
      <c r="F8" s="68"/>
      <c r="H8" s="51"/>
    </row>
    <row r="9" spans="1:10" s="52" customFormat="1" ht="12.75">
      <c r="A9" s="52" t="s">
        <v>597</v>
      </c>
      <c r="B9" s="70">
        <v>4.8099999999999996</v>
      </c>
      <c r="C9" s="73"/>
      <c r="D9" s="57">
        <f>+'Regulated DF Calc'!P24</f>
        <v>3.4146112618195876E-2</v>
      </c>
      <c r="E9" s="57"/>
      <c r="F9" s="51">
        <f>+B9+D9</f>
        <v>4.8441461126181951</v>
      </c>
      <c r="H9" s="51"/>
    </row>
    <row r="10" spans="1:10" s="52" customFormat="1" ht="12.75">
      <c r="B10" s="70"/>
      <c r="C10" s="73"/>
      <c r="D10" s="57"/>
      <c r="E10" s="57"/>
      <c r="F10" s="51"/>
      <c r="H10" s="51"/>
    </row>
    <row r="11" spans="1:10" s="52" customFormat="1" ht="12.75">
      <c r="A11" s="65" t="s">
        <v>257</v>
      </c>
      <c r="B11" s="72"/>
      <c r="C11" s="74"/>
      <c r="D11" s="75"/>
      <c r="E11" s="75"/>
      <c r="F11" s="68"/>
      <c r="H11" s="51"/>
    </row>
    <row r="12" spans="1:10" s="52" customFormat="1" ht="12.75">
      <c r="A12" s="52" t="s">
        <v>591</v>
      </c>
      <c r="B12" s="51">
        <v>10.59</v>
      </c>
      <c r="D12" s="57">
        <f>+'Regulated DF Calc'!P11</f>
        <v>8.6972157433404779E-2</v>
      </c>
      <c r="E12" s="54"/>
      <c r="F12" s="51">
        <f t="shared" ref="F12:F25" si="0">+B12+D12</f>
        <v>10.676972157433404</v>
      </c>
      <c r="H12" s="77"/>
    </row>
    <row r="13" spans="1:10" s="52" customFormat="1" ht="12.75">
      <c r="A13" s="52" t="s">
        <v>592</v>
      </c>
      <c r="B13" s="51">
        <v>7.96</v>
      </c>
      <c r="D13" s="57">
        <f>+'Regulated DF Calc'!P10</f>
        <v>4.3586508459697082E-2</v>
      </c>
      <c r="E13" s="54"/>
      <c r="F13" s="51">
        <f t="shared" si="0"/>
        <v>8.0035865084596978</v>
      </c>
      <c r="H13" s="77"/>
    </row>
    <row r="14" spans="1:10" s="52" customFormat="1" ht="12.75">
      <c r="A14" s="52" t="s">
        <v>21</v>
      </c>
      <c r="B14" s="51">
        <v>13.53</v>
      </c>
      <c r="D14" s="57">
        <f>+'Regulated DF Calc'!P14</f>
        <v>0.14785266763678812</v>
      </c>
      <c r="E14" s="54"/>
      <c r="F14" s="51">
        <f t="shared" si="0"/>
        <v>13.677852667636788</v>
      </c>
      <c r="G14" s="78"/>
      <c r="H14" s="77"/>
    </row>
    <row r="15" spans="1:10" s="52" customFormat="1" ht="12.75">
      <c r="A15" s="52" t="s">
        <v>593</v>
      </c>
      <c r="B15" s="51">
        <v>19.71</v>
      </c>
      <c r="D15" s="57">
        <f>+'Regulated DF Calc'!P15</f>
        <v>0.2217790014551822</v>
      </c>
      <c r="E15" s="54"/>
      <c r="F15" s="51">
        <f t="shared" si="0"/>
        <v>19.931779001455183</v>
      </c>
      <c r="H15" s="77"/>
    </row>
    <row r="16" spans="1:10" s="52" customFormat="1" ht="12.75">
      <c r="A16" s="52" t="s">
        <v>594</v>
      </c>
      <c r="B16" s="51">
        <v>29.21</v>
      </c>
      <c r="D16" s="57">
        <f>+'Regulated DF Calc'!P16</f>
        <v>0.33484280611860845</v>
      </c>
      <c r="E16" s="54"/>
      <c r="F16" s="51">
        <f t="shared" si="0"/>
        <v>29.544842806118609</v>
      </c>
      <c r="H16" s="77"/>
    </row>
    <row r="17" spans="1:8" s="52" customFormat="1" ht="12.75">
      <c r="A17" s="52" t="s">
        <v>595</v>
      </c>
      <c r="B17" s="51">
        <v>36.31</v>
      </c>
      <c r="D17" s="57">
        <f>+'Regulated DF Calc'!P17</f>
        <v>0.4218149635520132</v>
      </c>
      <c r="E17" s="54"/>
      <c r="F17" s="51">
        <f t="shared" si="0"/>
        <v>36.731814963552019</v>
      </c>
      <c r="H17" s="77"/>
    </row>
    <row r="18" spans="1:8" s="52" customFormat="1" ht="12.75">
      <c r="A18" s="52" t="s">
        <v>596</v>
      </c>
      <c r="B18" s="51">
        <v>45.29</v>
      </c>
      <c r="D18" s="57">
        <f>+'Regulated DF Calc'!P18</f>
        <v>0.50878712098541801</v>
      </c>
      <c r="E18" s="54"/>
      <c r="F18" s="51">
        <f t="shared" si="0"/>
        <v>45.798787120985416</v>
      </c>
      <c r="H18" s="77"/>
    </row>
    <row r="19" spans="1:8" s="52" customFormat="1" ht="12.75">
      <c r="A19" s="52" t="s">
        <v>590</v>
      </c>
      <c r="B19" s="51">
        <v>54.37</v>
      </c>
      <c r="D19" s="57">
        <f>+'Regulated DF Calc'!P19</f>
        <v>0.5957592784188227</v>
      </c>
      <c r="E19" s="54"/>
      <c r="F19" s="51">
        <f t="shared" si="0"/>
        <v>54.965759278418822</v>
      </c>
      <c r="H19" s="77"/>
    </row>
    <row r="20" spans="1:8" s="52" customFormat="1" ht="12.75">
      <c r="A20" s="52" t="s">
        <v>258</v>
      </c>
      <c r="B20" s="51">
        <v>63</v>
      </c>
      <c r="D20" s="57">
        <f>+'Regulated DF Calc'!P20</f>
        <v>0.69759847131092911</v>
      </c>
      <c r="E20" s="54"/>
      <c r="F20" s="51">
        <f t="shared" si="0"/>
        <v>63.697598471310926</v>
      </c>
      <c r="H20" s="77"/>
    </row>
    <row r="21" spans="1:8" s="52" customFormat="1" ht="12.75">
      <c r="A21" s="52" t="s">
        <v>259</v>
      </c>
      <c r="B21" s="51">
        <v>69.2</v>
      </c>
      <c r="D21" s="57">
        <f>+'Regulated DF Calc'!P21</f>
        <v>0.76970359328563231</v>
      </c>
      <c r="E21" s="54"/>
      <c r="F21" s="51">
        <f t="shared" si="0"/>
        <v>69.969703593285629</v>
      </c>
      <c r="H21" s="77"/>
    </row>
    <row r="22" spans="1:8" s="52" customFormat="1" ht="12.75">
      <c r="A22" s="52" t="s">
        <v>260</v>
      </c>
      <c r="B22" s="51">
        <v>81.22</v>
      </c>
      <c r="D22" s="105">
        <f>D21+D14</f>
        <v>0.91755626092242037</v>
      </c>
      <c r="E22" s="54"/>
      <c r="F22" s="51">
        <f t="shared" si="0"/>
        <v>82.137556260922423</v>
      </c>
      <c r="H22" s="153"/>
    </row>
    <row r="23" spans="1:8" s="52" customFormat="1" ht="12.75">
      <c r="A23" s="52" t="s">
        <v>586</v>
      </c>
      <c r="B23" s="51">
        <v>11.84</v>
      </c>
      <c r="D23" s="105">
        <f>D9</f>
        <v>3.4146112618195876E-2</v>
      </c>
      <c r="E23" s="54"/>
      <c r="F23" s="51">
        <f t="shared" si="0"/>
        <v>11.874146112618195</v>
      </c>
      <c r="H23" s="51"/>
    </row>
    <row r="24" spans="1:8" s="52" customFormat="1" ht="12.75">
      <c r="A24" s="52" t="s">
        <v>261</v>
      </c>
      <c r="B24" s="51">
        <v>4.96</v>
      </c>
      <c r="D24" s="57">
        <f>+'Regulated DF Calc'!P13</f>
        <v>3.4146112618195876E-2</v>
      </c>
      <c r="E24" s="54"/>
      <c r="F24" s="51">
        <f t="shared" si="0"/>
        <v>4.9941461126181954</v>
      </c>
      <c r="G24" s="78"/>
    </row>
    <row r="25" spans="1:8" s="52" customFormat="1" ht="12.75">
      <c r="A25" s="52" t="s">
        <v>262</v>
      </c>
      <c r="B25" s="51">
        <v>9.15</v>
      </c>
      <c r="D25" s="57">
        <f>+'Regulated DF Calc'!P12</f>
        <v>7.4097064381485028E-2</v>
      </c>
      <c r="E25" s="54"/>
      <c r="F25" s="51">
        <f t="shared" si="0"/>
        <v>9.2240970643814855</v>
      </c>
      <c r="G25" s="78"/>
      <c r="H25" s="77"/>
    </row>
    <row r="26" spans="1:8" s="52" customFormat="1" ht="12.75">
      <c r="B26" s="51"/>
      <c r="D26" s="57"/>
      <c r="E26" s="54"/>
      <c r="F26" s="51"/>
      <c r="H26" s="77"/>
    </row>
    <row r="27" spans="1:8" s="52" customFormat="1" ht="12.75">
      <c r="A27" s="65" t="s">
        <v>263</v>
      </c>
      <c r="B27" s="68"/>
      <c r="C27" s="79"/>
      <c r="D27" s="75"/>
      <c r="E27" s="80"/>
      <c r="F27" s="68"/>
      <c r="H27" s="51"/>
    </row>
    <row r="28" spans="1:8" s="52" customFormat="1" ht="12.75">
      <c r="A28" s="104" t="s">
        <v>303</v>
      </c>
      <c r="B28" s="81">
        <v>3.72</v>
      </c>
      <c r="D28" s="105">
        <f>+'Regulated DF Calc'!P22</f>
        <v>3.4146112618195862E-2</v>
      </c>
      <c r="E28" s="54"/>
      <c r="F28" s="51">
        <f t="shared" ref="F28:F33" si="1">+B28+D28</f>
        <v>3.7541461126181961</v>
      </c>
      <c r="H28" s="51"/>
    </row>
    <row r="29" spans="1:8" s="52" customFormat="1" ht="12.75">
      <c r="A29" s="52" t="s">
        <v>264</v>
      </c>
      <c r="B29" s="51">
        <v>3.7</v>
      </c>
      <c r="D29" s="105">
        <f>+D12/References!C12</f>
        <v>2.0085948598938749E-2</v>
      </c>
      <c r="E29" s="54"/>
      <c r="F29" s="51">
        <f t="shared" si="1"/>
        <v>3.720085948598939</v>
      </c>
      <c r="H29" s="51"/>
    </row>
    <row r="30" spans="1:8" s="52" customFormat="1" ht="12.75">
      <c r="A30" s="52" t="s">
        <v>265</v>
      </c>
      <c r="B30" s="51">
        <v>3.78</v>
      </c>
      <c r="D30" s="105">
        <f>+D9*2</f>
        <v>6.8292225236391751E-2</v>
      </c>
      <c r="E30" s="54"/>
      <c r="F30" s="51">
        <f t="shared" si="1"/>
        <v>3.8482922252363916</v>
      </c>
      <c r="H30" s="51"/>
    </row>
    <row r="31" spans="1:8" s="52" customFormat="1" ht="12.75">
      <c r="A31" s="52" t="s">
        <v>266</v>
      </c>
      <c r="B31" s="51">
        <v>3.84</v>
      </c>
      <c r="D31" s="105">
        <f>+D9*3</f>
        <v>0.10243833785458763</v>
      </c>
      <c r="E31" s="54"/>
      <c r="F31" s="51">
        <f t="shared" si="1"/>
        <v>3.9424383378545875</v>
      </c>
      <c r="H31" s="51"/>
    </row>
    <row r="32" spans="1:8" s="52" customFormat="1" ht="12.75">
      <c r="A32" s="52" t="s">
        <v>267</v>
      </c>
      <c r="B32" s="51">
        <v>3.72</v>
      </c>
      <c r="D32" s="105">
        <f>+D9</f>
        <v>3.4146112618195876E-2</v>
      </c>
      <c r="E32" s="54"/>
      <c r="F32" s="51">
        <f t="shared" si="1"/>
        <v>3.7541461126181961</v>
      </c>
      <c r="H32" s="51"/>
    </row>
    <row r="33" spans="1:9" s="52" customFormat="1" ht="12.75">
      <c r="A33" s="52" t="s">
        <v>268</v>
      </c>
      <c r="B33" s="51">
        <v>4.96</v>
      </c>
      <c r="D33" s="105">
        <f>+'Regulated DF Calc'!P23</f>
        <v>3.4146112618195869E-2</v>
      </c>
      <c r="E33" s="54"/>
      <c r="F33" s="51">
        <f t="shared" si="1"/>
        <v>4.9941461126181954</v>
      </c>
      <c r="H33" s="51"/>
    </row>
    <row r="34" spans="1:9" s="52" customFormat="1" ht="12.75">
      <c r="B34" s="51"/>
      <c r="D34" s="57"/>
      <c r="E34" s="54"/>
      <c r="F34" s="51"/>
      <c r="H34" s="51"/>
    </row>
    <row r="35" spans="1:9" s="52" customFormat="1" ht="12.75">
      <c r="A35" s="65" t="s">
        <v>269</v>
      </c>
      <c r="B35" s="68"/>
      <c r="C35" s="79"/>
      <c r="D35" s="75"/>
      <c r="E35" s="80"/>
      <c r="F35" s="68"/>
      <c r="H35" s="51"/>
    </row>
    <row r="36" spans="1:9" s="52" customFormat="1" ht="12.75">
      <c r="A36" s="52" t="s">
        <v>270</v>
      </c>
      <c r="B36" s="51">
        <v>16.66</v>
      </c>
      <c r="D36" s="105">
        <f>$D$50</f>
        <v>0.1255371787433672</v>
      </c>
      <c r="E36" s="54"/>
      <c r="F36" s="51">
        <f t="shared" ref="F36:F38" si="2">+B36+D36</f>
        <v>16.785537178743368</v>
      </c>
      <c r="H36" s="51"/>
    </row>
    <row r="37" spans="1:9" s="52" customFormat="1" ht="12.75">
      <c r="A37" s="52" t="s">
        <v>271</v>
      </c>
      <c r="B37" s="51">
        <v>16.66</v>
      </c>
      <c r="D37" s="105">
        <f>$D$50</f>
        <v>0.1255371787433672</v>
      </c>
      <c r="E37" s="54"/>
      <c r="F37" s="51">
        <f t="shared" si="2"/>
        <v>16.785537178743368</v>
      </c>
      <c r="H37" s="51"/>
    </row>
    <row r="38" spans="1:9" s="52" customFormat="1" ht="12.75">
      <c r="A38" s="52" t="s">
        <v>256</v>
      </c>
      <c r="B38" s="51">
        <v>16.66</v>
      </c>
      <c r="D38" s="105">
        <f>$D$50</f>
        <v>0.1255371787433672</v>
      </c>
      <c r="E38" s="54"/>
      <c r="F38" s="51">
        <f t="shared" si="2"/>
        <v>16.785537178743368</v>
      </c>
      <c r="H38" s="51"/>
    </row>
    <row r="39" spans="1:9" s="52" customFormat="1" ht="12.75">
      <c r="B39" s="51"/>
      <c r="D39" s="57"/>
      <c r="E39" s="54"/>
      <c r="F39" s="51"/>
      <c r="H39" s="51"/>
    </row>
    <row r="40" spans="1:9" s="52" customFormat="1" ht="12.75">
      <c r="A40" s="65" t="s">
        <v>272</v>
      </c>
      <c r="B40" s="68"/>
      <c r="C40" s="79"/>
      <c r="D40" s="75"/>
      <c r="E40" s="80"/>
      <c r="F40" s="68"/>
      <c r="H40" s="51"/>
    </row>
    <row r="41" spans="1:9" s="53" customFormat="1" ht="12.75">
      <c r="A41" s="53" t="s">
        <v>273</v>
      </c>
      <c r="B41" s="76"/>
      <c r="D41" s="71"/>
      <c r="E41" s="82"/>
      <c r="F41" s="76"/>
      <c r="H41" s="76" t="s">
        <v>304</v>
      </c>
      <c r="I41" s="53" t="s">
        <v>63</v>
      </c>
    </row>
    <row r="42" spans="1:9" s="52" customFormat="1" ht="12.75">
      <c r="A42" s="52" t="s">
        <v>274</v>
      </c>
      <c r="B42" s="51">
        <v>2.61</v>
      </c>
      <c r="D42" s="105">
        <f>$I$42</f>
        <v>6.3473450763465611E-2</v>
      </c>
      <c r="E42" s="54"/>
      <c r="F42" s="51">
        <f t="shared" ref="F42:F48" si="3">+B42+D42</f>
        <v>2.6734734507634657</v>
      </c>
      <c r="H42" s="51">
        <v>50</v>
      </c>
      <c r="I42" s="106">
        <f>H42*(References!$D$69/References!$F$78)</f>
        <v>6.3473450763465611E-2</v>
      </c>
    </row>
    <row r="43" spans="1:9" s="52" customFormat="1" ht="12.75">
      <c r="A43" s="52" t="s">
        <v>598</v>
      </c>
      <c r="B43" s="51">
        <v>2.61</v>
      </c>
      <c r="D43" s="105">
        <f t="shared" ref="D43:D48" si="4">$I$42</f>
        <v>6.3473450763465611E-2</v>
      </c>
      <c r="E43" s="54"/>
      <c r="F43" s="51">
        <f t="shared" si="3"/>
        <v>2.6734734507634657</v>
      </c>
      <c r="H43" s="51"/>
    </row>
    <row r="44" spans="1:9" s="52" customFormat="1" ht="12.75">
      <c r="A44" s="52" t="s">
        <v>599</v>
      </c>
      <c r="B44" s="51">
        <v>2.61</v>
      </c>
      <c r="D44" s="105">
        <f t="shared" si="4"/>
        <v>6.3473450763465611E-2</v>
      </c>
      <c r="E44" s="54"/>
      <c r="F44" s="51">
        <f t="shared" si="3"/>
        <v>2.6734734507634657</v>
      </c>
      <c r="H44" s="51"/>
    </row>
    <row r="45" spans="1:9" s="52" customFormat="1" ht="12.75">
      <c r="A45" s="52" t="s">
        <v>600</v>
      </c>
      <c r="B45" s="51">
        <v>2.61</v>
      </c>
      <c r="D45" s="105">
        <f t="shared" si="4"/>
        <v>6.3473450763465611E-2</v>
      </c>
      <c r="E45" s="54"/>
      <c r="F45" s="51">
        <f t="shared" si="3"/>
        <v>2.6734734507634657</v>
      </c>
      <c r="H45" s="51"/>
    </row>
    <row r="46" spans="1:9" s="52" customFormat="1" ht="12.75">
      <c r="A46" s="52" t="s">
        <v>275</v>
      </c>
      <c r="B46" s="51">
        <v>2.61</v>
      </c>
      <c r="D46" s="105">
        <f t="shared" si="4"/>
        <v>6.3473450763465611E-2</v>
      </c>
      <c r="E46" s="54"/>
      <c r="F46" s="51">
        <f t="shared" si="3"/>
        <v>2.6734734507634657</v>
      </c>
      <c r="H46" s="51"/>
    </row>
    <row r="47" spans="1:9" s="52" customFormat="1" ht="12.75">
      <c r="A47" s="52" t="s">
        <v>601</v>
      </c>
      <c r="B47" s="51">
        <v>2.61</v>
      </c>
      <c r="D47" s="105">
        <f t="shared" si="4"/>
        <v>6.3473450763465611E-2</v>
      </c>
      <c r="E47" s="54"/>
      <c r="F47" s="51">
        <f t="shared" si="3"/>
        <v>2.6734734507634657</v>
      </c>
      <c r="H47" s="51"/>
    </row>
    <row r="48" spans="1:9" s="52" customFormat="1" ht="12.75">
      <c r="A48" s="52" t="s">
        <v>602</v>
      </c>
      <c r="B48" s="51">
        <v>2.61</v>
      </c>
      <c r="D48" s="105">
        <f t="shared" si="4"/>
        <v>6.3473450763465611E-2</v>
      </c>
      <c r="E48" s="54"/>
      <c r="F48" s="51">
        <f t="shared" si="3"/>
        <v>2.6734734507634657</v>
      </c>
      <c r="H48" s="51"/>
    </row>
    <row r="49" spans="1:10" s="52" customFormat="1" ht="12.75">
      <c r="B49" s="51"/>
      <c r="D49" s="57"/>
      <c r="E49" s="54"/>
      <c r="F49" s="51"/>
      <c r="H49" s="51"/>
    </row>
    <row r="50" spans="1:10" s="52" customFormat="1" ht="12.75">
      <c r="A50" s="52" t="s">
        <v>300</v>
      </c>
      <c r="B50" s="51">
        <v>18.149999999999999</v>
      </c>
      <c r="D50" s="57">
        <f>+'Regulated DF Calc'!P97</f>
        <v>0.1255371787433672</v>
      </c>
      <c r="E50" s="54"/>
      <c r="F50" s="51">
        <f t="shared" ref="F50:F51" si="5">+B50+D50</f>
        <v>18.275537178743367</v>
      </c>
      <c r="H50" s="51"/>
    </row>
    <row r="51" spans="1:10" s="52" customFormat="1" ht="12.75">
      <c r="A51" s="52" t="s">
        <v>301</v>
      </c>
      <c r="B51" s="51">
        <v>18.149999999999999</v>
      </c>
      <c r="D51" s="57">
        <f>+'Regulated DF Calc'!P98</f>
        <v>0.12553717874336717</v>
      </c>
      <c r="E51" s="54"/>
      <c r="F51" s="51">
        <f t="shared" si="5"/>
        <v>18.275537178743367</v>
      </c>
      <c r="H51" s="51"/>
    </row>
    <row r="52" spans="1:10">
      <c r="A52" s="83" t="s">
        <v>290</v>
      </c>
      <c r="F52" s="84"/>
      <c r="G52" s="83"/>
      <c r="J52" s="83"/>
    </row>
    <row r="53" spans="1:10" s="52" customFormat="1" ht="12.75">
      <c r="A53" s="65" t="s">
        <v>276</v>
      </c>
      <c r="B53" s="68"/>
      <c r="C53" s="79"/>
      <c r="D53" s="75"/>
      <c r="E53" s="80"/>
      <c r="F53" s="68"/>
      <c r="H53" s="51"/>
    </row>
    <row r="54" spans="1:10" s="52" customFormat="1" ht="12.75">
      <c r="A54" s="53" t="s">
        <v>277</v>
      </c>
      <c r="B54" s="51"/>
      <c r="D54" s="57"/>
      <c r="E54" s="54"/>
      <c r="F54" s="51"/>
      <c r="H54" s="51"/>
    </row>
    <row r="55" spans="1:10" s="52" customFormat="1" ht="12.75">
      <c r="A55" s="52" t="s">
        <v>582</v>
      </c>
      <c r="B55" s="51">
        <v>82.78</v>
      </c>
      <c r="D55" s="57">
        <f>+References!E69</f>
        <v>2.2000000000000028</v>
      </c>
      <c r="E55" s="54"/>
      <c r="F55" s="51">
        <f t="shared" ref="F55:F65" si="6">+B55+D55</f>
        <v>84.98</v>
      </c>
      <c r="H55" s="149"/>
    </row>
    <row r="56" spans="1:10" s="52" customFormat="1" ht="12.75">
      <c r="A56" s="52" t="s">
        <v>278</v>
      </c>
      <c r="B56" s="51">
        <v>93.22</v>
      </c>
      <c r="D56" s="57">
        <f>+References!C69</f>
        <v>2.4899999999999949</v>
      </c>
      <c r="E56" s="54"/>
      <c r="F56" s="51">
        <f t="shared" si="6"/>
        <v>95.71</v>
      </c>
    </row>
    <row r="57" spans="1:10" s="52" customFormat="1" ht="12.75">
      <c r="A57" s="52" t="s">
        <v>279</v>
      </c>
      <c r="B57" s="51">
        <v>10</v>
      </c>
      <c r="D57" s="105">
        <v>0</v>
      </c>
      <c r="E57" s="54"/>
      <c r="F57" s="51">
        <f t="shared" si="6"/>
        <v>10</v>
      </c>
      <c r="H57" s="51"/>
    </row>
    <row r="58" spans="1:10" s="52" customFormat="1" ht="12.75">
      <c r="A58" s="52" t="s">
        <v>280</v>
      </c>
      <c r="B58" s="51">
        <v>5.75</v>
      </c>
      <c r="D58" s="105">
        <v>0</v>
      </c>
      <c r="E58" s="54"/>
      <c r="F58" s="51">
        <f t="shared" si="6"/>
        <v>5.75</v>
      </c>
      <c r="H58" s="51"/>
    </row>
    <row r="59" spans="1:10" s="52" customFormat="1" ht="12.75">
      <c r="A59" s="52" t="s">
        <v>281</v>
      </c>
      <c r="B59" s="51">
        <v>20</v>
      </c>
      <c r="D59" s="105">
        <v>0</v>
      </c>
      <c r="E59" s="54"/>
      <c r="F59" s="51">
        <f t="shared" si="6"/>
        <v>20</v>
      </c>
      <c r="H59" s="51"/>
    </row>
    <row r="60" spans="1:10" s="52" customFormat="1" ht="12.75">
      <c r="A60" s="52" t="s">
        <v>282</v>
      </c>
      <c r="B60" s="51">
        <v>5.75</v>
      </c>
      <c r="D60" s="105">
        <v>0</v>
      </c>
      <c r="E60" s="54"/>
      <c r="F60" s="51">
        <f t="shared" si="6"/>
        <v>5.75</v>
      </c>
      <c r="H60" s="51"/>
    </row>
    <row r="61" spans="1:10" s="52" customFormat="1" ht="12.75">
      <c r="A61" s="52" t="s">
        <v>283</v>
      </c>
      <c r="B61" s="51">
        <v>2.35</v>
      </c>
      <c r="D61" s="105">
        <v>0</v>
      </c>
      <c r="E61" s="54"/>
      <c r="F61" s="51">
        <f t="shared" si="6"/>
        <v>2.35</v>
      </c>
      <c r="H61" s="51"/>
    </row>
    <row r="62" spans="1:10" s="52" customFormat="1" ht="12.75">
      <c r="A62" s="52" t="s">
        <v>284</v>
      </c>
      <c r="B62" s="51">
        <v>4.6900000000000004</v>
      </c>
      <c r="D62" s="105">
        <v>0</v>
      </c>
      <c r="E62" s="54"/>
      <c r="F62" s="51">
        <f t="shared" si="6"/>
        <v>4.6900000000000004</v>
      </c>
      <c r="H62" s="51"/>
    </row>
    <row r="63" spans="1:10" s="52" customFormat="1" ht="12.75">
      <c r="A63" s="52" t="s">
        <v>285</v>
      </c>
      <c r="B63" s="51">
        <v>9.3800000000000008</v>
      </c>
      <c r="D63" s="105">
        <v>0</v>
      </c>
      <c r="E63" s="54"/>
      <c r="F63" s="51">
        <f t="shared" si="6"/>
        <v>9.3800000000000008</v>
      </c>
      <c r="H63" s="51"/>
    </row>
    <row r="64" spans="1:10" s="52" customFormat="1" ht="12.75">
      <c r="A64" s="52" t="s">
        <v>286</v>
      </c>
      <c r="B64" s="51">
        <v>18.77</v>
      </c>
      <c r="D64" s="105">
        <v>0</v>
      </c>
      <c r="E64" s="54"/>
      <c r="F64" s="51">
        <f t="shared" si="6"/>
        <v>18.77</v>
      </c>
      <c r="H64" s="51"/>
    </row>
    <row r="65" spans="1:16" s="52" customFormat="1" ht="12.75">
      <c r="A65" s="52" t="s">
        <v>287</v>
      </c>
      <c r="B65" s="51">
        <v>28.75</v>
      </c>
      <c r="D65" s="105">
        <v>0</v>
      </c>
      <c r="E65" s="54"/>
      <c r="F65" s="51">
        <f t="shared" si="6"/>
        <v>28.75</v>
      </c>
      <c r="H65" s="51"/>
    </row>
    <row r="66" spans="1:16" s="52" customFormat="1" ht="12.75">
      <c r="B66" s="51"/>
      <c r="D66" s="57"/>
      <c r="E66" s="54"/>
      <c r="F66" s="51"/>
      <c r="H66" s="51"/>
    </row>
    <row r="67" spans="1:16" s="52" customFormat="1" ht="12.75">
      <c r="A67" s="65" t="s">
        <v>288</v>
      </c>
      <c r="B67" s="68"/>
      <c r="C67" s="79"/>
      <c r="D67" s="75"/>
      <c r="E67" s="80"/>
      <c r="F67" s="68"/>
      <c r="H67" s="51"/>
    </row>
    <row r="68" spans="1:16" s="51" customFormat="1" ht="12.75">
      <c r="A68" s="53" t="s">
        <v>611</v>
      </c>
      <c r="C68" s="52"/>
      <c r="D68" s="57"/>
      <c r="E68" s="54"/>
      <c r="G68" s="52"/>
      <c r="I68" s="52"/>
      <c r="J68" s="52"/>
      <c r="K68" s="52"/>
      <c r="L68" s="52"/>
      <c r="M68" s="52"/>
      <c r="N68" s="52"/>
      <c r="O68" s="52"/>
      <c r="P68" s="52"/>
    </row>
    <row r="69" spans="1:16" s="51" customFormat="1" ht="12.75">
      <c r="A69" s="53" t="s">
        <v>1</v>
      </c>
      <c r="C69" s="52"/>
      <c r="D69" s="57"/>
      <c r="E69" s="54"/>
      <c r="G69" s="52"/>
      <c r="I69" s="52"/>
      <c r="J69" s="52"/>
      <c r="K69" s="52"/>
      <c r="L69" s="52"/>
      <c r="M69" s="52"/>
      <c r="N69" s="52"/>
      <c r="O69" s="52"/>
      <c r="P69" s="52"/>
    </row>
    <row r="70" spans="1:16" s="51" customFormat="1" ht="12.75">
      <c r="A70" s="107" t="s">
        <v>274</v>
      </c>
      <c r="B70" s="51">
        <v>17.55</v>
      </c>
      <c r="C70" s="52"/>
      <c r="D70" s="57">
        <f>+'Regulated DF Calc'!P32</f>
        <v>0.17575205024071403</v>
      </c>
      <c r="E70" s="54"/>
      <c r="F70" s="51">
        <f t="shared" ref="F70:F77" si="7">+B70+D70</f>
        <v>17.725752050240715</v>
      </c>
      <c r="G70" s="52"/>
      <c r="I70" s="52"/>
      <c r="J70" s="52"/>
      <c r="K70" s="52"/>
      <c r="L70" s="52"/>
      <c r="M70" s="52"/>
      <c r="N70" s="52"/>
      <c r="O70" s="52"/>
      <c r="P70" s="52"/>
    </row>
    <row r="71" spans="1:16" s="51" customFormat="1" ht="12.75">
      <c r="A71" s="107" t="s">
        <v>598</v>
      </c>
      <c r="B71" s="51">
        <v>23.66</v>
      </c>
      <c r="C71" s="52"/>
      <c r="D71" s="57">
        <f>+'Regulated DF Calc'!P35</f>
        <v>0.25107435748673435</v>
      </c>
      <c r="E71" s="54"/>
      <c r="F71" s="51">
        <f t="shared" si="7"/>
        <v>23.911074357486733</v>
      </c>
      <c r="G71" s="52"/>
      <c r="I71" s="52"/>
      <c r="J71" s="52"/>
      <c r="K71" s="52"/>
      <c r="L71" s="52"/>
      <c r="M71" s="52"/>
      <c r="N71" s="52"/>
      <c r="O71" s="52"/>
      <c r="P71" s="52"/>
    </row>
    <row r="72" spans="1:16" s="51" customFormat="1" ht="12.75">
      <c r="A72" s="107" t="s">
        <v>289</v>
      </c>
      <c r="B72" s="51">
        <v>28.17</v>
      </c>
      <c r="C72" s="52"/>
      <c r="D72" s="57">
        <f>+'Regulated DF Calc'!P38</f>
        <v>0.32539236730280774</v>
      </c>
      <c r="E72" s="54"/>
      <c r="F72" s="51">
        <f t="shared" si="7"/>
        <v>28.495392367302809</v>
      </c>
      <c r="G72" s="52"/>
      <c r="I72" s="52"/>
      <c r="J72" s="52"/>
      <c r="K72" s="52"/>
      <c r="L72" s="52"/>
      <c r="M72" s="52"/>
      <c r="N72" s="52"/>
      <c r="O72" s="52"/>
      <c r="P72" s="52"/>
    </row>
    <row r="73" spans="1:16" s="51" customFormat="1" ht="12.75">
      <c r="A73" s="107" t="s">
        <v>599</v>
      </c>
      <c r="B73" s="51">
        <v>39.299999999999997</v>
      </c>
      <c r="C73" s="52"/>
      <c r="D73" s="57">
        <f>+'Regulated DF Calc'!P44</f>
        <v>0.47503268436490137</v>
      </c>
      <c r="E73" s="54"/>
      <c r="F73" s="51">
        <f t="shared" si="7"/>
        <v>39.775032684364902</v>
      </c>
      <c r="G73" s="52"/>
      <c r="I73" s="52"/>
      <c r="J73" s="52"/>
      <c r="K73" s="52"/>
      <c r="L73" s="52"/>
      <c r="M73" s="52"/>
      <c r="N73" s="52"/>
      <c r="O73" s="52"/>
      <c r="P73" s="52"/>
    </row>
    <row r="74" spans="1:16" s="51" customFormat="1" ht="12.75">
      <c r="A74" s="107" t="s">
        <v>600</v>
      </c>
      <c r="B74" s="51">
        <v>50.86</v>
      </c>
      <c r="C74" s="52"/>
      <c r="D74" s="57">
        <f>+'Regulated DF Calc'!P50</f>
        <v>0.61563432455747269</v>
      </c>
      <c r="E74" s="54"/>
      <c r="F74" s="51">
        <f t="shared" si="7"/>
        <v>51.475634324557475</v>
      </c>
      <c r="G74" s="52"/>
      <c r="I74" s="52"/>
      <c r="J74" s="52"/>
      <c r="K74" s="52"/>
      <c r="L74" s="52"/>
      <c r="M74" s="52"/>
      <c r="N74" s="52"/>
      <c r="O74" s="52"/>
      <c r="P74" s="52"/>
    </row>
    <row r="75" spans="1:16" s="51" customFormat="1" ht="12.75">
      <c r="A75" s="107" t="s">
        <v>275</v>
      </c>
      <c r="B75" s="51">
        <v>62.43</v>
      </c>
      <c r="C75" s="52"/>
      <c r="D75" s="57">
        <f>+'Regulated DF Calc'!P57</f>
        <v>0.73112852900137038</v>
      </c>
      <c r="E75" s="54"/>
      <c r="F75" s="51">
        <f t="shared" si="7"/>
        <v>63.161128529001367</v>
      </c>
      <c r="G75" s="52"/>
      <c r="I75" s="52"/>
      <c r="J75" s="52"/>
      <c r="K75" s="52"/>
      <c r="L75" s="52"/>
      <c r="M75" s="52"/>
      <c r="N75" s="52"/>
      <c r="O75" s="52"/>
      <c r="P75" s="52"/>
    </row>
    <row r="76" spans="1:16" s="51" customFormat="1" ht="12.75">
      <c r="A76" s="107" t="s">
        <v>601</v>
      </c>
      <c r="B76" s="51">
        <v>73.89</v>
      </c>
      <c r="C76" s="52"/>
      <c r="D76" s="57">
        <f>+'Regulated DF Calc'!P59</f>
        <v>0.84360984115542748</v>
      </c>
      <c r="E76" s="54"/>
      <c r="F76" s="51">
        <f t="shared" si="7"/>
        <v>74.733609841155427</v>
      </c>
      <c r="G76" s="52"/>
      <c r="I76" s="52"/>
      <c r="J76" s="52"/>
      <c r="K76" s="52"/>
      <c r="L76" s="52"/>
      <c r="M76" s="52"/>
      <c r="N76" s="52"/>
      <c r="O76" s="52"/>
      <c r="P76" s="52"/>
    </row>
    <row r="77" spans="1:16" s="51" customFormat="1" ht="12.75">
      <c r="A77" s="107" t="s">
        <v>602</v>
      </c>
      <c r="B77" s="51">
        <v>96.53</v>
      </c>
      <c r="C77" s="52"/>
      <c r="D77" s="57">
        <f>+'Regulated DF Calc'!P68</f>
        <v>0.98421148134799885</v>
      </c>
      <c r="E77" s="54"/>
      <c r="F77" s="51">
        <f t="shared" si="7"/>
        <v>97.514211481347999</v>
      </c>
      <c r="G77" s="52"/>
      <c r="I77" s="52"/>
      <c r="J77" s="52"/>
      <c r="K77" s="52"/>
      <c r="L77" s="52"/>
      <c r="M77" s="52"/>
      <c r="N77" s="52"/>
      <c r="O77" s="52"/>
      <c r="P77" s="52"/>
    </row>
    <row r="78" spans="1:16" s="51" customFormat="1" ht="12.75">
      <c r="A78" s="69"/>
      <c r="B78" s="51" t="s">
        <v>290</v>
      </c>
      <c r="C78" s="52"/>
      <c r="D78" s="57"/>
      <c r="E78" s="54"/>
      <c r="G78" s="52"/>
      <c r="I78" s="52"/>
      <c r="J78" s="52"/>
      <c r="K78" s="52"/>
      <c r="L78" s="52"/>
      <c r="M78" s="52"/>
      <c r="N78" s="52"/>
      <c r="O78" s="52"/>
      <c r="P78" s="52"/>
    </row>
    <row r="79" spans="1:16" s="51" customFormat="1" ht="12.75">
      <c r="A79" s="53" t="s">
        <v>291</v>
      </c>
      <c r="C79" s="52"/>
      <c r="D79" s="57"/>
      <c r="E79" s="54"/>
      <c r="G79" s="52"/>
      <c r="I79" s="52"/>
      <c r="J79" s="52"/>
      <c r="K79" s="52"/>
      <c r="L79" s="52"/>
      <c r="M79" s="52"/>
      <c r="N79" s="52"/>
      <c r="O79" s="52"/>
      <c r="P79" s="52"/>
    </row>
    <row r="80" spans="1:16" s="51" customFormat="1" ht="12.75">
      <c r="A80" s="107" t="s">
        <v>274</v>
      </c>
      <c r="B80" s="51">
        <v>18.559999999999999</v>
      </c>
      <c r="C80" s="52"/>
      <c r="D80" s="57">
        <f>+'Regulated DF Calc'!P72</f>
        <v>0.17575205024071403</v>
      </c>
      <c r="E80" s="54"/>
      <c r="F80" s="51">
        <f t="shared" ref="F80:F87" si="8">+B80+D80</f>
        <v>18.735752050240713</v>
      </c>
      <c r="G80" s="52"/>
      <c r="I80" s="52"/>
      <c r="J80" s="52"/>
      <c r="K80" s="52"/>
      <c r="L80" s="52"/>
      <c r="M80" s="52"/>
      <c r="N80" s="52"/>
      <c r="O80" s="52"/>
      <c r="P80" s="52"/>
    </row>
    <row r="81" spans="1:16" s="51" customFormat="1" ht="12.75">
      <c r="A81" s="107" t="s">
        <v>598</v>
      </c>
      <c r="B81" s="51">
        <v>24.68</v>
      </c>
      <c r="C81" s="52"/>
      <c r="D81" s="57">
        <f>+'Regulated DF Calc'!P73</f>
        <v>0.25107435748673429</v>
      </c>
      <c r="E81" s="54"/>
      <c r="F81" s="51">
        <f t="shared" si="8"/>
        <v>24.931074357486732</v>
      </c>
      <c r="G81" s="52"/>
      <c r="I81" s="52"/>
      <c r="J81" s="52"/>
      <c r="K81" s="52"/>
      <c r="L81" s="52"/>
      <c r="M81" s="52"/>
      <c r="N81" s="52"/>
      <c r="O81" s="52"/>
      <c r="P81" s="52"/>
    </row>
    <row r="82" spans="1:16" s="51" customFormat="1" ht="12.75">
      <c r="A82" s="107" t="s">
        <v>289</v>
      </c>
      <c r="B82" s="51">
        <v>29.19</v>
      </c>
      <c r="C82" s="52"/>
      <c r="D82" s="57">
        <f>+'Regulated DF Calc'!P74</f>
        <v>0.32539236730280774</v>
      </c>
      <c r="E82" s="54"/>
      <c r="F82" s="51">
        <f t="shared" si="8"/>
        <v>29.515392367302809</v>
      </c>
      <c r="G82" s="52"/>
      <c r="I82" s="52"/>
      <c r="J82" s="52"/>
      <c r="K82" s="52"/>
      <c r="L82" s="52"/>
      <c r="M82" s="52"/>
      <c r="N82" s="52"/>
      <c r="O82" s="52"/>
      <c r="P82" s="52"/>
    </row>
    <row r="83" spans="1:16" s="51" customFormat="1" ht="12.75">
      <c r="A83" s="107" t="s">
        <v>599</v>
      </c>
      <c r="B83" s="51">
        <v>40.32</v>
      </c>
      <c r="C83" s="52"/>
      <c r="D83" s="57">
        <f>+'Regulated DF Calc'!P75</f>
        <v>0.47503268436490131</v>
      </c>
      <c r="E83" s="54"/>
      <c r="F83" s="51">
        <f t="shared" si="8"/>
        <v>40.795032684364898</v>
      </c>
      <c r="G83" s="52"/>
      <c r="I83" s="52"/>
      <c r="J83" s="52"/>
      <c r="K83" s="52"/>
      <c r="L83" s="52"/>
      <c r="M83" s="52"/>
      <c r="N83" s="52"/>
      <c r="O83" s="52"/>
      <c r="P83" s="52"/>
    </row>
    <row r="84" spans="1:16" s="51" customFormat="1" ht="12.75">
      <c r="A84" s="107" t="s">
        <v>600</v>
      </c>
      <c r="B84" s="51">
        <v>51.88</v>
      </c>
      <c r="C84" s="52"/>
      <c r="D84" s="57">
        <f>+'Regulated DF Calc'!P78</f>
        <v>0.61563432455747258</v>
      </c>
      <c r="E84" s="54"/>
      <c r="F84" s="51">
        <f t="shared" si="8"/>
        <v>52.495634324557479</v>
      </c>
      <c r="G84" s="52"/>
      <c r="I84" s="52"/>
      <c r="J84" s="52"/>
      <c r="K84" s="52"/>
      <c r="L84" s="52"/>
      <c r="M84" s="52"/>
      <c r="N84" s="52"/>
      <c r="O84" s="52"/>
      <c r="P84" s="52"/>
    </row>
    <row r="85" spans="1:16" s="51" customFormat="1" ht="12.75">
      <c r="A85" s="107" t="s">
        <v>275</v>
      </c>
      <c r="B85" s="51">
        <v>63.45</v>
      </c>
      <c r="C85" s="52"/>
      <c r="D85" s="57">
        <f>+'Regulated DF Calc'!P79</f>
        <v>0.73112852900137038</v>
      </c>
      <c r="E85" s="54"/>
      <c r="F85" s="51">
        <f t="shared" si="8"/>
        <v>64.18112852900137</v>
      </c>
      <c r="G85" s="52"/>
      <c r="I85" s="52"/>
      <c r="J85" s="52"/>
      <c r="K85" s="52"/>
      <c r="L85" s="52"/>
      <c r="M85" s="52"/>
      <c r="N85" s="52"/>
      <c r="O85" s="52"/>
      <c r="P85" s="52"/>
    </row>
    <row r="86" spans="1:16" s="51" customFormat="1" ht="12.75">
      <c r="A86" s="107" t="s">
        <v>601</v>
      </c>
      <c r="B86" s="51">
        <v>74.91</v>
      </c>
      <c r="C86" s="52"/>
      <c r="D86" s="57">
        <f>+'Regulated DF Calc'!P80</f>
        <v>0.84360984115542736</v>
      </c>
      <c r="E86" s="54"/>
      <c r="F86" s="51">
        <f t="shared" si="8"/>
        <v>75.753609841155424</v>
      </c>
      <c r="G86" s="52"/>
      <c r="I86" s="52"/>
      <c r="J86" s="52"/>
      <c r="K86" s="52"/>
      <c r="L86" s="52"/>
      <c r="M86" s="52"/>
      <c r="N86" s="52"/>
      <c r="O86" s="52"/>
      <c r="P86" s="52"/>
    </row>
    <row r="87" spans="1:16" s="51" customFormat="1" ht="12.75">
      <c r="A87" s="107" t="s">
        <v>602</v>
      </c>
      <c r="B87" s="51">
        <v>97.55</v>
      </c>
      <c r="C87" s="52"/>
      <c r="D87" s="57">
        <f>+'Regulated DF Calc'!P81</f>
        <v>0.98421148134799863</v>
      </c>
      <c r="E87" s="54"/>
      <c r="F87" s="51">
        <f t="shared" si="8"/>
        <v>98.534211481347995</v>
      </c>
      <c r="G87" s="52"/>
      <c r="I87" s="52"/>
      <c r="J87" s="52"/>
      <c r="K87" s="52"/>
      <c r="L87" s="52"/>
      <c r="M87" s="52"/>
      <c r="N87" s="52"/>
      <c r="O87" s="52"/>
      <c r="P87" s="52"/>
    </row>
    <row r="88" spans="1:16" s="51" customFormat="1" ht="12.75">
      <c r="A88" s="69"/>
      <c r="B88" s="51" t="s">
        <v>290</v>
      </c>
      <c r="C88" s="52"/>
      <c r="D88" s="57"/>
      <c r="E88" s="54"/>
      <c r="G88" s="52"/>
      <c r="I88" s="52"/>
      <c r="J88" s="52"/>
      <c r="K88" s="52"/>
      <c r="L88" s="52"/>
      <c r="M88" s="52"/>
      <c r="N88" s="52"/>
      <c r="O88" s="52"/>
      <c r="P88" s="52"/>
    </row>
    <row r="89" spans="1:16" s="51" customFormat="1" ht="12.75">
      <c r="A89" s="53" t="s">
        <v>292</v>
      </c>
      <c r="C89" s="52"/>
      <c r="D89" s="57"/>
      <c r="E89" s="54"/>
      <c r="G89" s="52"/>
      <c r="I89" s="52"/>
      <c r="J89" s="52"/>
      <c r="K89" s="52"/>
      <c r="L89" s="52"/>
      <c r="M89" s="52"/>
      <c r="N89" s="52"/>
      <c r="O89" s="52"/>
      <c r="P89" s="52"/>
    </row>
    <row r="90" spans="1:16" s="51" customFormat="1" ht="12.75">
      <c r="A90" s="53" t="s">
        <v>1</v>
      </c>
      <c r="C90" s="52"/>
      <c r="D90" s="57"/>
      <c r="E90" s="54"/>
      <c r="G90" s="52"/>
      <c r="I90" s="52"/>
      <c r="J90" s="52"/>
      <c r="K90" s="52"/>
      <c r="L90" s="52"/>
      <c r="M90" s="52"/>
      <c r="N90" s="52"/>
      <c r="O90" s="52"/>
      <c r="P90" s="52"/>
    </row>
    <row r="91" spans="1:16" s="51" customFormat="1" ht="12.75">
      <c r="A91" s="107" t="s">
        <v>274</v>
      </c>
      <c r="B91" s="51">
        <v>17.55</v>
      </c>
      <c r="C91" s="52"/>
      <c r="D91" s="57">
        <f>+'Regulated DF Calc'!P82</f>
        <v>0.17575205024071405</v>
      </c>
      <c r="E91" s="54"/>
      <c r="F91" s="51">
        <f>+B91+D91</f>
        <v>17.725752050240715</v>
      </c>
      <c r="G91" s="52"/>
      <c r="I91" s="52"/>
      <c r="J91" s="52"/>
      <c r="K91" s="52"/>
      <c r="L91" s="52"/>
      <c r="M91" s="52"/>
      <c r="N91" s="52"/>
      <c r="O91" s="52"/>
      <c r="P91" s="52"/>
    </row>
    <row r="92" spans="1:16" s="51" customFormat="1" ht="12.75">
      <c r="A92" s="107" t="s">
        <v>598</v>
      </c>
      <c r="B92" s="51">
        <v>23.66</v>
      </c>
      <c r="C92" s="52"/>
      <c r="D92" s="57">
        <f>+'Regulated DF Calc'!P83</f>
        <v>0.25107435748673435</v>
      </c>
      <c r="E92" s="54"/>
      <c r="F92" s="51">
        <f t="shared" ref="F92:F98" si="9">+B92+D92</f>
        <v>23.911074357486733</v>
      </c>
      <c r="G92" s="52"/>
      <c r="I92" s="52"/>
      <c r="J92" s="52"/>
      <c r="K92" s="52"/>
      <c r="L92" s="52"/>
      <c r="M92" s="52"/>
      <c r="N92" s="52"/>
      <c r="O92" s="52"/>
      <c r="P92" s="52"/>
    </row>
    <row r="93" spans="1:16" s="51" customFormat="1" ht="12.75">
      <c r="A93" s="107" t="s">
        <v>289</v>
      </c>
      <c r="B93" s="51">
        <v>28.17</v>
      </c>
      <c r="C93" s="52"/>
      <c r="D93" s="57">
        <f>+'Regulated DF Calc'!P84</f>
        <v>0.32539236730280774</v>
      </c>
      <c r="E93" s="54"/>
      <c r="F93" s="51">
        <f t="shared" si="9"/>
        <v>28.495392367302809</v>
      </c>
      <c r="G93" s="52"/>
      <c r="I93" s="52"/>
      <c r="J93" s="52"/>
      <c r="K93" s="52"/>
      <c r="L93" s="52"/>
      <c r="M93" s="52"/>
      <c r="N93" s="52"/>
      <c r="O93" s="52"/>
      <c r="P93" s="52"/>
    </row>
    <row r="94" spans="1:16" s="51" customFormat="1" ht="12.75">
      <c r="A94" s="107" t="s">
        <v>599</v>
      </c>
      <c r="B94" s="51">
        <v>39.299999999999997</v>
      </c>
      <c r="C94" s="52"/>
      <c r="D94" s="57">
        <f>+'Regulated DF Calc'!P85</f>
        <v>0.47503268436490137</v>
      </c>
      <c r="E94" s="54"/>
      <c r="F94" s="51">
        <f t="shared" si="9"/>
        <v>39.775032684364902</v>
      </c>
      <c r="G94" s="52"/>
      <c r="I94" s="52"/>
      <c r="J94" s="52"/>
      <c r="K94" s="52"/>
      <c r="L94" s="52"/>
      <c r="M94" s="52"/>
      <c r="N94" s="52"/>
      <c r="O94" s="52"/>
      <c r="P94" s="52"/>
    </row>
    <row r="95" spans="1:16" s="51" customFormat="1" ht="12.75">
      <c r="A95" s="107" t="s">
        <v>600</v>
      </c>
      <c r="B95" s="51">
        <v>50.86</v>
      </c>
      <c r="C95" s="52"/>
      <c r="D95" s="57">
        <f>+'Regulated DF Calc'!P86</f>
        <v>0.61563432455747258</v>
      </c>
      <c r="E95" s="54"/>
      <c r="F95" s="51">
        <f t="shared" si="9"/>
        <v>51.475634324557475</v>
      </c>
      <c r="G95" s="52"/>
      <c r="I95" s="52"/>
      <c r="J95" s="52"/>
      <c r="K95" s="52"/>
      <c r="L95" s="52"/>
      <c r="M95" s="52"/>
      <c r="N95" s="52"/>
      <c r="O95" s="52"/>
      <c r="P95" s="52"/>
    </row>
    <row r="96" spans="1:16" s="51" customFormat="1" ht="12.75">
      <c r="A96" s="107" t="s">
        <v>275</v>
      </c>
      <c r="B96" s="51">
        <v>62.43</v>
      </c>
      <c r="C96" s="52"/>
      <c r="D96" s="105">
        <f>D85</f>
        <v>0.73112852900137038</v>
      </c>
      <c r="E96" s="54"/>
      <c r="F96" s="51">
        <f t="shared" si="9"/>
        <v>63.161128529001367</v>
      </c>
      <c r="G96" s="52"/>
      <c r="I96" s="52"/>
      <c r="J96" s="52"/>
      <c r="K96" s="52"/>
      <c r="L96" s="52"/>
      <c r="M96" s="52"/>
      <c r="N96" s="52"/>
      <c r="O96" s="52"/>
      <c r="P96" s="52"/>
    </row>
    <row r="97" spans="1:16" s="51" customFormat="1" ht="12.75">
      <c r="A97" s="107" t="s">
        <v>601</v>
      </c>
      <c r="B97" s="51">
        <v>73.89</v>
      </c>
      <c r="C97" s="52"/>
      <c r="D97" s="105">
        <f>D86</f>
        <v>0.84360984115542736</v>
      </c>
      <c r="E97" s="54"/>
      <c r="F97" s="51">
        <f t="shared" si="9"/>
        <v>74.733609841155427</v>
      </c>
      <c r="G97" s="52"/>
      <c r="I97" s="52"/>
      <c r="J97" s="52"/>
      <c r="K97" s="52"/>
      <c r="L97" s="52"/>
      <c r="M97" s="52"/>
      <c r="N97" s="52"/>
      <c r="O97" s="52"/>
      <c r="P97" s="52"/>
    </row>
    <row r="98" spans="1:16" s="52" customFormat="1" ht="12.75">
      <c r="A98" s="107" t="s">
        <v>602</v>
      </c>
      <c r="B98" s="51">
        <v>96.53</v>
      </c>
      <c r="D98" s="57">
        <f>+'Regulated DF Calc'!P87</f>
        <v>0.98421148134799874</v>
      </c>
      <c r="E98" s="54"/>
      <c r="F98" s="51">
        <f t="shared" si="9"/>
        <v>97.514211481347999</v>
      </c>
      <c r="H98" s="51"/>
    </row>
    <row r="99" spans="1:16" s="52" customFormat="1" ht="12.75">
      <c r="B99" s="51"/>
      <c r="D99" s="57"/>
      <c r="E99" s="54"/>
      <c r="F99" s="51"/>
      <c r="H99" s="51"/>
    </row>
    <row r="100" spans="1:16" s="52" customFormat="1" ht="12.75">
      <c r="A100" s="65" t="s">
        <v>604</v>
      </c>
      <c r="B100" s="68"/>
      <c r="C100" s="79"/>
      <c r="D100" s="75"/>
      <c r="E100" s="80"/>
      <c r="F100" s="68"/>
      <c r="H100" s="51"/>
    </row>
    <row r="101" spans="1:16" s="52" customFormat="1" ht="12.75">
      <c r="A101" s="107" t="s">
        <v>603</v>
      </c>
      <c r="B101" s="51">
        <v>2.88</v>
      </c>
      <c r="D101" s="57">
        <f>+'Regulated DF Calc'!P89</f>
        <v>2.9124625468461184E-2</v>
      </c>
      <c r="E101" s="54"/>
      <c r="F101" s="51">
        <f t="shared" ref="F101" si="10">+B101+D101</f>
        <v>2.9091246254684613</v>
      </c>
      <c r="G101" s="78"/>
      <c r="H101" s="51"/>
    </row>
    <row r="102" spans="1:16" s="51" customFormat="1" ht="12.75">
      <c r="A102" s="69"/>
      <c r="C102" s="52"/>
      <c r="D102" s="57"/>
      <c r="E102" s="54"/>
      <c r="G102" s="52"/>
      <c r="I102" s="52"/>
      <c r="J102" s="52"/>
      <c r="K102" s="52"/>
      <c r="L102" s="52"/>
      <c r="M102" s="52"/>
      <c r="N102" s="52"/>
      <c r="O102" s="52"/>
      <c r="P102" s="52"/>
    </row>
    <row r="103" spans="1:16" s="76" customFormat="1" ht="12.75">
      <c r="A103" s="53" t="s">
        <v>612</v>
      </c>
      <c r="C103" s="53"/>
      <c r="D103" s="71"/>
      <c r="E103" s="82"/>
      <c r="G103" s="53"/>
      <c r="I103" s="53"/>
      <c r="J103" s="53"/>
      <c r="K103" s="53"/>
      <c r="L103" s="53"/>
      <c r="M103" s="53"/>
      <c r="N103" s="53"/>
      <c r="O103" s="53"/>
      <c r="P103" s="53"/>
    </row>
    <row r="104" spans="1:16" s="51" customFormat="1" ht="12.75">
      <c r="A104" s="52" t="s">
        <v>603</v>
      </c>
      <c r="B104" s="51">
        <v>11.73</v>
      </c>
      <c r="C104" s="52"/>
      <c r="D104" s="105">
        <f>D101</f>
        <v>2.9124625468461184E-2</v>
      </c>
      <c r="E104" s="54"/>
      <c r="F104" s="51">
        <f t="shared" ref="F104" si="11">+B104+D104</f>
        <v>11.759124625468461</v>
      </c>
      <c r="G104" s="52"/>
      <c r="I104" s="52"/>
      <c r="J104" s="52"/>
      <c r="K104" s="52"/>
      <c r="L104" s="52"/>
      <c r="M104" s="52"/>
      <c r="N104" s="52"/>
      <c r="O104" s="52"/>
      <c r="P104" s="52"/>
    </row>
    <row r="105" spans="1:16" s="51" customFormat="1" ht="12.75">
      <c r="A105" s="52"/>
      <c r="C105" s="52"/>
      <c r="D105" s="105"/>
      <c r="E105" s="54"/>
      <c r="G105" s="52"/>
      <c r="I105" s="52"/>
      <c r="J105" s="52"/>
      <c r="K105" s="52"/>
      <c r="L105" s="52"/>
      <c r="M105" s="52"/>
      <c r="N105" s="52"/>
      <c r="O105" s="52"/>
      <c r="P105" s="52"/>
    </row>
    <row r="106" spans="1:16" s="51" customFormat="1" ht="12.75">
      <c r="A106" s="52" t="s">
        <v>605</v>
      </c>
      <c r="B106" s="51">
        <v>12.47</v>
      </c>
      <c r="C106" s="52"/>
      <c r="D106" s="105">
        <f>D101*References!C12</f>
        <v>0.12610962827843694</v>
      </c>
      <c r="E106" s="54"/>
      <c r="F106" s="51">
        <f t="shared" ref="F106:F107" si="12">+B106+D106</f>
        <v>12.596109628278437</v>
      </c>
      <c r="G106" s="52"/>
      <c r="I106" s="52"/>
      <c r="J106" s="52"/>
      <c r="K106" s="52"/>
      <c r="L106" s="52"/>
      <c r="M106" s="52"/>
      <c r="N106" s="52"/>
      <c r="O106" s="52"/>
      <c r="P106" s="52"/>
    </row>
    <row r="107" spans="1:16" s="51" customFormat="1" ht="12.75">
      <c r="A107" s="52" t="s">
        <v>293</v>
      </c>
      <c r="B107" s="51">
        <v>3.98</v>
      </c>
      <c r="C107" s="52"/>
      <c r="D107" s="105">
        <f>D101</f>
        <v>2.9124625468461184E-2</v>
      </c>
      <c r="E107" s="54"/>
      <c r="F107" s="51">
        <f t="shared" si="12"/>
        <v>4.0091246254684609</v>
      </c>
      <c r="G107" s="52"/>
      <c r="I107" s="52"/>
      <c r="J107" s="52"/>
      <c r="K107" s="52"/>
      <c r="L107" s="52"/>
      <c r="M107" s="52"/>
      <c r="N107" s="52"/>
      <c r="O107" s="52"/>
      <c r="P107" s="52"/>
    </row>
    <row r="108" spans="1:16" s="51" customFormat="1" ht="12.75">
      <c r="A108" s="69"/>
      <c r="C108" s="52"/>
      <c r="D108" s="57"/>
      <c r="E108" s="54"/>
      <c r="G108" s="52"/>
      <c r="I108" s="52"/>
      <c r="J108" s="52"/>
      <c r="K108" s="52"/>
      <c r="L108" s="52"/>
      <c r="M108" s="52"/>
      <c r="N108" s="52"/>
      <c r="O108" s="52"/>
      <c r="P108" s="52"/>
    </row>
    <row r="109" spans="1:16" s="51" customFormat="1" ht="12.75">
      <c r="A109" s="65" t="s">
        <v>606</v>
      </c>
      <c r="B109" s="68"/>
      <c r="C109" s="79"/>
      <c r="D109" s="75"/>
      <c r="E109" s="80"/>
      <c r="F109" s="68"/>
      <c r="G109" s="52"/>
      <c r="I109" s="52"/>
      <c r="J109" s="52"/>
      <c r="K109" s="52"/>
      <c r="L109" s="52"/>
      <c r="M109" s="52"/>
      <c r="N109" s="52"/>
      <c r="O109" s="52"/>
      <c r="P109" s="52"/>
    </row>
    <row r="110" spans="1:16" s="51" customFormat="1" ht="12.75">
      <c r="A110" s="53" t="s">
        <v>611</v>
      </c>
      <c r="C110" s="52"/>
      <c r="D110" s="57"/>
      <c r="E110" s="54"/>
      <c r="G110" s="52"/>
      <c r="I110" s="52"/>
      <c r="J110" s="52"/>
      <c r="K110" s="52"/>
      <c r="L110" s="52"/>
      <c r="M110" s="52"/>
      <c r="N110" s="52"/>
      <c r="O110" s="52"/>
      <c r="P110" s="52"/>
    </row>
    <row r="111" spans="1:16" s="51" customFormat="1" ht="12.75">
      <c r="A111" s="53" t="s">
        <v>1</v>
      </c>
      <c r="C111" s="52"/>
      <c r="D111" s="57"/>
      <c r="E111" s="54"/>
      <c r="G111" s="52"/>
      <c r="I111" s="52"/>
      <c r="J111" s="52"/>
      <c r="K111" s="52"/>
      <c r="L111" s="52"/>
      <c r="M111" s="52"/>
      <c r="N111" s="52"/>
      <c r="O111" s="52"/>
      <c r="P111" s="52"/>
    </row>
    <row r="112" spans="1:16" s="51" customFormat="1" ht="12.75">
      <c r="A112" s="107" t="s">
        <v>289</v>
      </c>
      <c r="B112" s="51">
        <v>59.92</v>
      </c>
      <c r="C112" s="52"/>
      <c r="D112" s="57">
        <f>+'Regulated DF Calc'!P69</f>
        <v>1.301569469211231</v>
      </c>
      <c r="E112" s="54"/>
      <c r="F112" s="51">
        <f t="shared" ref="F112:F115" si="13">+B112+D112</f>
        <v>61.221569469211232</v>
      </c>
      <c r="G112" s="52"/>
      <c r="I112" s="52"/>
      <c r="J112" s="52"/>
      <c r="K112" s="52"/>
      <c r="L112" s="52"/>
      <c r="M112" s="52"/>
      <c r="N112" s="52"/>
      <c r="O112" s="52"/>
      <c r="P112" s="52"/>
    </row>
    <row r="113" spans="1:16" s="51" customFormat="1" ht="12.75">
      <c r="A113" s="107" t="s">
        <v>294</v>
      </c>
      <c r="B113" s="51">
        <v>81.12</v>
      </c>
      <c r="C113" s="52"/>
      <c r="D113" s="57">
        <f>+'Regulated DF Calc'!P70</f>
        <v>1.9001307374596055</v>
      </c>
      <c r="E113" s="54"/>
      <c r="F113" s="51">
        <f t="shared" si="13"/>
        <v>83.02013073745961</v>
      </c>
      <c r="G113" s="52"/>
      <c r="I113" s="52"/>
      <c r="J113" s="52"/>
      <c r="K113" s="52"/>
      <c r="L113" s="52"/>
      <c r="M113" s="52"/>
      <c r="N113" s="52"/>
      <c r="O113" s="52"/>
      <c r="P113" s="52"/>
    </row>
    <row r="114" spans="1:16" s="51" customFormat="1" ht="12.75">
      <c r="A114" s="107" t="s">
        <v>295</v>
      </c>
      <c r="B114" s="51">
        <v>105.45</v>
      </c>
      <c r="C114" s="52"/>
      <c r="D114" s="57">
        <f>+'Regulated DF Calc'!P71</f>
        <v>2.4625372982298903</v>
      </c>
      <c r="E114" s="54"/>
      <c r="F114" s="51">
        <f t="shared" si="13"/>
        <v>107.91253729822989</v>
      </c>
      <c r="G114" s="52"/>
      <c r="H114" s="76" t="s">
        <v>304</v>
      </c>
      <c r="I114" s="53" t="s">
        <v>63</v>
      </c>
      <c r="J114" s="52"/>
      <c r="K114" s="52"/>
      <c r="L114" s="52"/>
      <c r="M114" s="106"/>
      <c r="N114" s="52"/>
      <c r="O114" s="52"/>
      <c r="P114" s="52"/>
    </row>
    <row r="115" spans="1:16" s="51" customFormat="1" ht="12.75">
      <c r="A115" s="107" t="s">
        <v>296</v>
      </c>
      <c r="B115" s="51">
        <v>143.94999999999999</v>
      </c>
      <c r="C115" s="52"/>
      <c r="D115" s="57">
        <f>+D112*3</f>
        <v>3.9047084076336929</v>
      </c>
      <c r="E115" s="54"/>
      <c r="F115" s="51">
        <f t="shared" si="13"/>
        <v>147.85470840763369</v>
      </c>
      <c r="G115" s="52"/>
      <c r="H115" s="51">
        <f>+References!C43*'Regulated DF Calc'!$D$110</f>
        <v>664.53755941137274</v>
      </c>
      <c r="I115" s="106">
        <f>H115*(References!$D$69/References!$F$78)</f>
        <v>0.84360984115542736</v>
      </c>
      <c r="J115" s="52"/>
      <c r="K115" s="52"/>
      <c r="L115" s="52"/>
      <c r="M115" s="52"/>
      <c r="N115" s="52"/>
      <c r="O115" s="52"/>
      <c r="P115" s="52"/>
    </row>
    <row r="116" spans="1:16" s="51" customFormat="1" ht="12.75">
      <c r="A116" s="69"/>
      <c r="C116" s="52"/>
      <c r="D116" s="57"/>
      <c r="E116" s="54"/>
      <c r="G116" s="52"/>
      <c r="I116" s="52"/>
      <c r="J116" s="52"/>
      <c r="K116" s="52"/>
      <c r="L116" s="52"/>
      <c r="M116" s="52"/>
      <c r="N116" s="52"/>
      <c r="O116" s="52"/>
      <c r="P116" s="52"/>
    </row>
    <row r="117" spans="1:16" s="51" customFormat="1" ht="12.75">
      <c r="A117" s="53" t="s">
        <v>291</v>
      </c>
      <c r="C117" s="52"/>
      <c r="D117" s="57"/>
      <c r="E117" s="54"/>
      <c r="G117" s="52"/>
      <c r="I117" s="52"/>
      <c r="J117" s="52"/>
      <c r="K117" s="52"/>
      <c r="L117" s="52"/>
      <c r="M117" s="52"/>
      <c r="N117" s="52"/>
      <c r="O117" s="52"/>
      <c r="P117" s="52"/>
    </row>
    <row r="118" spans="1:16" s="51" customFormat="1" ht="12.75">
      <c r="A118" s="107" t="s">
        <v>289</v>
      </c>
      <c r="B118" s="51">
        <v>60.94</v>
      </c>
      <c r="C118" s="52"/>
      <c r="D118" s="57">
        <f>+'Regulated DF Calc'!P76</f>
        <v>1.301569469211231</v>
      </c>
      <c r="E118" s="54"/>
      <c r="F118" s="51">
        <f t="shared" ref="F118:F121" si="14">+B118+D118</f>
        <v>62.241569469211228</v>
      </c>
      <c r="G118" s="52"/>
      <c r="I118" s="52"/>
      <c r="J118" s="52"/>
      <c r="K118" s="52"/>
      <c r="L118" s="52"/>
      <c r="M118" s="52"/>
      <c r="N118" s="52"/>
      <c r="O118" s="52"/>
      <c r="P118" s="52"/>
    </row>
    <row r="119" spans="1:16" s="51" customFormat="1" ht="12.75">
      <c r="A119" s="107" t="s">
        <v>294</v>
      </c>
      <c r="B119" s="51">
        <v>83.17</v>
      </c>
      <c r="C119" s="52"/>
      <c r="D119" s="57">
        <f>+D113</f>
        <v>1.9001307374596055</v>
      </c>
      <c r="E119" s="54"/>
      <c r="F119" s="51">
        <f t="shared" si="14"/>
        <v>85.070130737459607</v>
      </c>
      <c r="G119" s="52"/>
      <c r="I119" s="52"/>
      <c r="J119" s="52"/>
      <c r="K119" s="52"/>
      <c r="L119" s="52"/>
      <c r="M119" s="52"/>
      <c r="N119" s="52"/>
      <c r="O119" s="52"/>
      <c r="P119" s="52"/>
    </row>
    <row r="120" spans="1:16" s="51" customFormat="1" ht="12.75">
      <c r="A120" s="107" t="s">
        <v>295</v>
      </c>
      <c r="B120" s="51">
        <v>106.47</v>
      </c>
      <c r="C120" s="52"/>
      <c r="D120" s="57">
        <f>+'Regulated DF Calc'!P77</f>
        <v>2.4625372982298903</v>
      </c>
      <c r="E120" s="54"/>
      <c r="F120" s="51">
        <f t="shared" si="14"/>
        <v>108.93253729822989</v>
      </c>
      <c r="G120" s="52"/>
      <c r="I120" s="52"/>
      <c r="J120" s="52"/>
      <c r="K120" s="52"/>
      <c r="L120" s="52"/>
      <c r="M120" s="52"/>
      <c r="N120" s="52"/>
      <c r="O120" s="52"/>
      <c r="P120" s="52"/>
    </row>
    <row r="121" spans="1:16" s="51" customFormat="1" ht="12.75">
      <c r="A121" s="107" t="s">
        <v>296</v>
      </c>
      <c r="B121" s="51">
        <v>144.97</v>
      </c>
      <c r="C121" s="52"/>
      <c r="D121" s="57">
        <f>+D115</f>
        <v>3.9047084076336929</v>
      </c>
      <c r="E121" s="54"/>
      <c r="F121" s="51">
        <f t="shared" si="14"/>
        <v>148.8747084076337</v>
      </c>
      <c r="G121" s="52"/>
      <c r="I121" s="52"/>
      <c r="J121" s="52"/>
      <c r="K121" s="52"/>
      <c r="L121" s="52"/>
      <c r="M121" s="52"/>
      <c r="N121" s="52"/>
      <c r="O121" s="52"/>
      <c r="P121" s="52"/>
    </row>
    <row r="122" spans="1:16" s="51" customFormat="1" ht="12.75">
      <c r="A122" s="69"/>
      <c r="C122" s="52"/>
      <c r="D122" s="57"/>
      <c r="E122" s="54"/>
      <c r="G122" s="52"/>
      <c r="I122" s="52"/>
      <c r="J122" s="52"/>
      <c r="K122" s="52"/>
      <c r="L122" s="52"/>
      <c r="M122" s="52"/>
      <c r="N122" s="52"/>
      <c r="O122" s="52"/>
      <c r="P122" s="52"/>
    </row>
    <row r="123" spans="1:16" s="51" customFormat="1" ht="12.75">
      <c r="A123" s="53" t="s">
        <v>292</v>
      </c>
      <c r="C123" s="52"/>
      <c r="D123" s="57"/>
      <c r="E123" s="54"/>
      <c r="G123" s="52"/>
      <c r="I123" s="52"/>
      <c r="J123" s="52"/>
      <c r="K123" s="52"/>
      <c r="L123" s="52"/>
      <c r="M123" s="52"/>
      <c r="N123" s="52"/>
      <c r="O123" s="52"/>
      <c r="P123" s="52"/>
    </row>
    <row r="124" spans="1:16" s="51" customFormat="1" ht="12.75">
      <c r="A124" s="53" t="s">
        <v>1</v>
      </c>
      <c r="C124" s="52"/>
      <c r="D124" s="57"/>
      <c r="E124" s="54"/>
      <c r="G124" s="52"/>
      <c r="I124" s="52"/>
      <c r="J124" s="52"/>
      <c r="K124" s="52"/>
      <c r="L124" s="52"/>
      <c r="M124" s="52"/>
      <c r="N124" s="52"/>
      <c r="O124" s="52"/>
      <c r="P124" s="52"/>
    </row>
    <row r="125" spans="1:16" s="51" customFormat="1" ht="12.75">
      <c r="A125" s="107" t="s">
        <v>289</v>
      </c>
      <c r="B125" s="51">
        <v>59.92</v>
      </c>
      <c r="C125" s="52"/>
      <c r="D125" s="57">
        <f>+D112</f>
        <v>1.301569469211231</v>
      </c>
      <c r="E125" s="54"/>
      <c r="F125" s="51">
        <f t="shared" ref="F125:F128" si="15">+B125+D125</f>
        <v>61.221569469211232</v>
      </c>
      <c r="G125" s="52"/>
      <c r="I125" s="52"/>
      <c r="J125" s="52"/>
      <c r="K125" s="52"/>
      <c r="L125" s="52"/>
      <c r="M125" s="52"/>
      <c r="N125" s="52"/>
      <c r="O125" s="52"/>
      <c r="P125" s="52"/>
    </row>
    <row r="126" spans="1:16" s="51" customFormat="1" ht="12.75">
      <c r="A126" s="107" t="s">
        <v>294</v>
      </c>
      <c r="B126" s="51">
        <v>81.12</v>
      </c>
      <c r="C126" s="52"/>
      <c r="D126" s="57">
        <f t="shared" ref="D126:D128" si="16">+D113</f>
        <v>1.9001307374596055</v>
      </c>
      <c r="E126" s="54"/>
      <c r="F126" s="51">
        <f t="shared" si="15"/>
        <v>83.02013073745961</v>
      </c>
      <c r="G126" s="52"/>
      <c r="I126" s="52"/>
      <c r="J126" s="52"/>
      <c r="K126" s="52"/>
      <c r="L126" s="52"/>
      <c r="M126" s="52"/>
      <c r="N126" s="52"/>
      <c r="O126" s="52"/>
      <c r="P126" s="52"/>
    </row>
    <row r="127" spans="1:16" s="51" customFormat="1" ht="12.75">
      <c r="A127" s="107" t="s">
        <v>295</v>
      </c>
      <c r="B127" s="51">
        <v>105.45</v>
      </c>
      <c r="C127" s="52"/>
      <c r="D127" s="57">
        <f t="shared" si="16"/>
        <v>2.4625372982298903</v>
      </c>
      <c r="E127" s="54"/>
      <c r="F127" s="51">
        <f t="shared" si="15"/>
        <v>107.91253729822989</v>
      </c>
      <c r="G127" s="52"/>
      <c r="I127" s="52"/>
      <c r="J127" s="52"/>
      <c r="K127" s="52"/>
      <c r="L127" s="52"/>
      <c r="M127" s="52"/>
      <c r="N127" s="52"/>
      <c r="O127" s="52"/>
      <c r="P127" s="52"/>
    </row>
    <row r="128" spans="1:16" s="51" customFormat="1" ht="12.75">
      <c r="A128" s="107" t="s">
        <v>296</v>
      </c>
      <c r="B128" s="51">
        <v>143.94999999999999</v>
      </c>
      <c r="C128" s="52"/>
      <c r="D128" s="57">
        <f t="shared" si="16"/>
        <v>3.9047084076336929</v>
      </c>
      <c r="E128" s="54"/>
      <c r="F128" s="51">
        <f t="shared" si="15"/>
        <v>147.85470840763369</v>
      </c>
      <c r="G128" s="52"/>
      <c r="I128" s="52"/>
      <c r="J128" s="52"/>
      <c r="K128" s="52"/>
      <c r="L128" s="52"/>
      <c r="M128" s="52"/>
      <c r="N128" s="52"/>
      <c r="O128" s="52"/>
      <c r="P128" s="52"/>
    </row>
    <row r="129" spans="1:18" s="51" customFormat="1" ht="12.75">
      <c r="A129" s="69"/>
      <c r="C129" s="52"/>
      <c r="D129" s="57"/>
      <c r="E129" s="54"/>
      <c r="G129" s="52"/>
      <c r="I129" s="52"/>
      <c r="J129" s="52"/>
      <c r="K129" s="52"/>
      <c r="L129" s="52"/>
      <c r="M129" s="52"/>
      <c r="N129" s="52"/>
      <c r="O129" s="52"/>
      <c r="P129" s="52"/>
    </row>
    <row r="130" spans="1:18" s="51" customFormat="1" ht="12.75">
      <c r="A130" s="65" t="s">
        <v>607</v>
      </c>
      <c r="B130" s="68"/>
      <c r="C130" s="79"/>
      <c r="D130" s="75"/>
      <c r="E130" s="80"/>
      <c r="F130" s="68"/>
      <c r="G130" s="52"/>
      <c r="I130" s="52"/>
      <c r="J130" s="52"/>
      <c r="K130" s="52"/>
      <c r="L130" s="52"/>
      <c r="M130" s="52"/>
      <c r="N130" s="52"/>
      <c r="O130" s="52"/>
      <c r="P130" s="52"/>
    </row>
    <row r="131" spans="1:18" s="76" customFormat="1" ht="12.75">
      <c r="A131" s="53" t="s">
        <v>610</v>
      </c>
      <c r="C131" s="53"/>
      <c r="D131" s="71"/>
      <c r="E131" s="82"/>
      <c r="G131" s="53"/>
      <c r="I131" s="53"/>
      <c r="J131" s="53"/>
      <c r="K131" s="53"/>
      <c r="L131" s="53"/>
      <c r="M131" s="53"/>
      <c r="N131" s="53"/>
      <c r="O131" s="53"/>
      <c r="P131" s="53"/>
    </row>
    <row r="132" spans="1:18" s="52" customFormat="1" ht="12.75">
      <c r="A132" s="52" t="s">
        <v>608</v>
      </c>
      <c r="B132" s="51">
        <v>107.14</v>
      </c>
      <c r="D132" s="57">
        <f>+D114</f>
        <v>2.4625372982298903</v>
      </c>
      <c r="E132" s="54"/>
      <c r="F132" s="51">
        <f t="shared" ref="F132" si="17">+B132+D132</f>
        <v>109.60253729822989</v>
      </c>
      <c r="H132" s="51"/>
    </row>
    <row r="133" spans="1:18">
      <c r="F133" s="84"/>
      <c r="G133" s="83"/>
      <c r="J133" s="83"/>
    </row>
    <row r="134" spans="1:18" s="53" customFormat="1" ht="12.75">
      <c r="A134" s="53" t="s">
        <v>297</v>
      </c>
      <c r="B134" s="76"/>
      <c r="D134" s="71"/>
      <c r="E134" s="82"/>
      <c r="F134" s="76"/>
      <c r="H134" s="76"/>
    </row>
    <row r="135" spans="1:18" s="52" customFormat="1" ht="12.75">
      <c r="A135" s="52" t="s">
        <v>609</v>
      </c>
      <c r="B135" s="51">
        <v>107.14</v>
      </c>
      <c r="D135" s="57">
        <f>+D114</f>
        <v>2.4625372982298903</v>
      </c>
      <c r="E135" s="54"/>
      <c r="F135" s="51">
        <f t="shared" ref="F135" si="18">+B135+D135</f>
        <v>109.60253729822989</v>
      </c>
      <c r="H135" s="51"/>
    </row>
    <row r="136" spans="1:18" s="52" customFormat="1" ht="12.75">
      <c r="B136" s="51"/>
      <c r="D136" s="57"/>
      <c r="E136" s="54"/>
      <c r="F136" s="51"/>
      <c r="H136" s="51"/>
    </row>
    <row r="137" spans="1:18" s="51" customFormat="1" ht="12.75">
      <c r="A137" s="52"/>
      <c r="B137" s="54"/>
      <c r="C137" s="52"/>
      <c r="D137" s="57"/>
      <c r="E137" s="54"/>
      <c r="F137" s="54"/>
      <c r="I137" s="52"/>
      <c r="K137" s="52"/>
      <c r="L137" s="52"/>
      <c r="M137" s="52"/>
      <c r="N137" s="52"/>
      <c r="O137" s="52"/>
      <c r="P137" s="52"/>
      <c r="Q137" s="52"/>
      <c r="R137" s="52"/>
    </row>
    <row r="138" spans="1:18" s="51" customFormat="1" ht="12.75">
      <c r="A138" s="52"/>
      <c r="B138" s="54"/>
      <c r="C138" s="52"/>
      <c r="D138" s="57"/>
      <c r="E138" s="54"/>
      <c r="F138" s="54"/>
      <c r="I138" s="52"/>
      <c r="K138" s="52"/>
      <c r="L138" s="52"/>
      <c r="M138" s="52"/>
      <c r="N138" s="52"/>
      <c r="O138" s="52"/>
      <c r="P138" s="52"/>
      <c r="Q138" s="52"/>
      <c r="R138" s="52"/>
    </row>
    <row r="139" spans="1:18" s="51" customFormat="1" ht="12.75">
      <c r="A139" s="53"/>
      <c r="B139" s="54"/>
      <c r="C139" s="52"/>
      <c r="D139" s="57"/>
      <c r="E139" s="54"/>
      <c r="F139" s="54"/>
      <c r="I139" s="52"/>
      <c r="K139" s="52"/>
      <c r="L139" s="52"/>
      <c r="M139" s="52"/>
      <c r="N139" s="52"/>
      <c r="O139" s="52"/>
      <c r="P139" s="52"/>
      <c r="Q139" s="52"/>
      <c r="R139" s="52"/>
    </row>
    <row r="140" spans="1:18" s="51" customFormat="1" ht="12.75">
      <c r="A140" s="52"/>
      <c r="B140" s="54"/>
      <c r="C140" s="52"/>
      <c r="D140" s="57"/>
      <c r="E140" s="54"/>
      <c r="F140" s="54"/>
      <c r="I140" s="52"/>
      <c r="K140" s="52"/>
      <c r="L140" s="52"/>
      <c r="M140" s="52"/>
      <c r="N140" s="52"/>
      <c r="O140" s="52"/>
      <c r="P140" s="52"/>
      <c r="Q140" s="52"/>
      <c r="R140" s="52"/>
    </row>
    <row r="141" spans="1:18" s="51" customFormat="1" ht="12.75">
      <c r="A141" s="52"/>
      <c r="B141" s="54"/>
      <c r="C141" s="52"/>
      <c r="D141" s="57"/>
      <c r="E141" s="54"/>
      <c r="F141" s="54"/>
      <c r="I141" s="52"/>
      <c r="K141" s="52"/>
      <c r="L141" s="52"/>
      <c r="M141" s="52"/>
      <c r="N141" s="52"/>
      <c r="O141" s="52"/>
      <c r="P141" s="52"/>
      <c r="Q141" s="52"/>
      <c r="R141" s="52"/>
    </row>
    <row r="142" spans="1:18" s="51" customFormat="1" ht="12.75">
      <c r="A142" s="52"/>
      <c r="B142" s="54"/>
      <c r="C142" s="52"/>
      <c r="D142" s="57"/>
      <c r="E142" s="54"/>
      <c r="F142" s="54"/>
      <c r="I142" s="52"/>
      <c r="K142" s="52"/>
      <c r="L142" s="52"/>
      <c r="M142" s="52"/>
      <c r="N142" s="52"/>
      <c r="O142" s="52"/>
      <c r="P142" s="52"/>
      <c r="Q142" s="52"/>
      <c r="R142" s="52"/>
    </row>
    <row r="143" spans="1:18" s="51" customFormat="1" ht="12.75">
      <c r="A143" s="52"/>
      <c r="B143" s="54"/>
      <c r="C143" s="52"/>
      <c r="D143" s="57"/>
      <c r="E143" s="54"/>
      <c r="F143" s="54"/>
      <c r="I143" s="52"/>
      <c r="K143" s="52"/>
      <c r="L143" s="52"/>
      <c r="M143" s="52"/>
      <c r="N143" s="52"/>
      <c r="O143" s="52"/>
      <c r="P143" s="52"/>
      <c r="Q143" s="52"/>
      <c r="R143" s="52"/>
    </row>
    <row r="144" spans="1:18" s="51" customFormat="1" ht="12.75">
      <c r="A144" s="52"/>
      <c r="B144" s="54"/>
      <c r="C144" s="52"/>
      <c r="D144" s="57"/>
      <c r="E144" s="54"/>
      <c r="F144" s="54"/>
      <c r="I144" s="52"/>
      <c r="K144" s="52"/>
      <c r="L144" s="52"/>
      <c r="M144" s="52"/>
      <c r="N144" s="52"/>
      <c r="O144" s="52"/>
      <c r="P144" s="52"/>
      <c r="Q144" s="52"/>
      <c r="R144" s="52"/>
    </row>
    <row r="145" spans="1:1322" s="51" customFormat="1" ht="12.75">
      <c r="A145" s="52"/>
      <c r="B145" s="54"/>
      <c r="C145" s="52"/>
      <c r="D145" s="57"/>
      <c r="E145" s="54"/>
      <c r="F145" s="54"/>
      <c r="I145" s="52"/>
      <c r="K145" s="52"/>
      <c r="L145" s="52"/>
      <c r="M145" s="52"/>
      <c r="N145" s="52"/>
      <c r="O145" s="52"/>
      <c r="P145" s="52"/>
      <c r="Q145" s="52"/>
      <c r="R145" s="52"/>
    </row>
    <row r="146" spans="1:1322" s="51" customFormat="1" ht="12.75">
      <c r="A146" s="52"/>
      <c r="B146" s="54"/>
      <c r="C146" s="52"/>
      <c r="D146" s="57"/>
      <c r="E146" s="54"/>
      <c r="F146" s="54"/>
      <c r="I146" s="52"/>
      <c r="K146" s="52"/>
      <c r="L146" s="52"/>
      <c r="M146" s="52"/>
      <c r="N146" s="52"/>
      <c r="O146" s="52"/>
      <c r="P146" s="52"/>
      <c r="Q146" s="52"/>
      <c r="R146" s="52"/>
    </row>
    <row r="147" spans="1:1322" s="51" customFormat="1" ht="12.75">
      <c r="A147" s="52"/>
      <c r="C147" s="52"/>
      <c r="D147" s="57"/>
      <c r="E147" s="54"/>
      <c r="F147" s="54"/>
      <c r="I147" s="52"/>
      <c r="K147" s="52"/>
      <c r="L147" s="52"/>
      <c r="M147" s="52"/>
      <c r="N147" s="52"/>
      <c r="O147" s="52"/>
      <c r="P147" s="52"/>
      <c r="Q147" s="52"/>
      <c r="R147" s="52"/>
    </row>
    <row r="148" spans="1:1322" s="87" customFormat="1" ht="12.75">
      <c r="A148" s="52"/>
      <c r="B148" s="51"/>
      <c r="C148" s="52"/>
      <c r="D148" s="57"/>
      <c r="E148" s="54"/>
      <c r="F148" s="54"/>
      <c r="G148" s="51"/>
      <c r="H148" s="51"/>
      <c r="I148" s="52"/>
      <c r="J148" s="51"/>
      <c r="K148" s="52"/>
      <c r="L148" s="52"/>
      <c r="M148" s="52"/>
      <c r="N148" s="52"/>
      <c r="O148" s="52"/>
      <c r="P148" s="52"/>
      <c r="Q148" s="52"/>
      <c r="R148" s="52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  <c r="DT148" s="51"/>
      <c r="DU148" s="51"/>
      <c r="DV148" s="51"/>
      <c r="DW148" s="51"/>
      <c r="DX148" s="51"/>
      <c r="DY148" s="51"/>
      <c r="DZ148" s="51"/>
      <c r="EA148" s="51"/>
      <c r="EB148" s="51"/>
      <c r="EC148" s="51"/>
      <c r="ED148" s="51"/>
      <c r="EE148" s="51"/>
      <c r="EF148" s="51"/>
      <c r="EG148" s="51"/>
      <c r="EH148" s="51"/>
      <c r="EI148" s="51"/>
      <c r="EJ148" s="51"/>
      <c r="EK148" s="51"/>
      <c r="EL148" s="51"/>
      <c r="EM148" s="51"/>
      <c r="EN148" s="51"/>
      <c r="EO148" s="51"/>
      <c r="EP148" s="51"/>
      <c r="EQ148" s="51"/>
      <c r="ER148" s="51"/>
      <c r="ES148" s="51"/>
      <c r="ET148" s="51"/>
      <c r="EU148" s="51"/>
      <c r="EV148" s="51"/>
      <c r="EW148" s="51"/>
      <c r="EX148" s="51"/>
      <c r="EY148" s="51"/>
      <c r="EZ148" s="51"/>
      <c r="FA148" s="51"/>
      <c r="FB148" s="51"/>
      <c r="FC148" s="51"/>
      <c r="FD148" s="51"/>
      <c r="FE148" s="51"/>
      <c r="FF148" s="51"/>
      <c r="FG148" s="51"/>
      <c r="FH148" s="51"/>
      <c r="FI148" s="51"/>
      <c r="FJ148" s="51"/>
      <c r="FK148" s="51"/>
      <c r="FL148" s="51"/>
      <c r="FM148" s="51"/>
      <c r="FN148" s="51"/>
      <c r="FO148" s="51"/>
      <c r="FP148" s="51"/>
      <c r="FQ148" s="51"/>
      <c r="FR148" s="51"/>
      <c r="FS148" s="51"/>
      <c r="FT148" s="51"/>
      <c r="FU148" s="51"/>
      <c r="FV148" s="51"/>
      <c r="FW148" s="51"/>
      <c r="FX148" s="51"/>
      <c r="FY148" s="51"/>
      <c r="FZ148" s="51"/>
      <c r="GA148" s="51"/>
      <c r="GB148" s="51"/>
      <c r="GC148" s="51"/>
      <c r="GD148" s="51"/>
      <c r="GE148" s="51"/>
      <c r="GF148" s="51"/>
      <c r="GG148" s="51"/>
      <c r="GH148" s="51"/>
      <c r="GI148" s="51"/>
      <c r="GJ148" s="51"/>
      <c r="GK148" s="51"/>
      <c r="GL148" s="51"/>
      <c r="GM148" s="51"/>
      <c r="GN148" s="51"/>
      <c r="GO148" s="51"/>
      <c r="GP148" s="51"/>
      <c r="GQ148" s="51"/>
      <c r="GR148" s="51"/>
      <c r="GS148" s="51"/>
      <c r="GT148" s="51"/>
      <c r="GU148" s="51"/>
      <c r="GV148" s="51"/>
      <c r="GW148" s="51"/>
      <c r="GX148" s="51"/>
      <c r="GY148" s="51"/>
      <c r="GZ148" s="51"/>
      <c r="HA148" s="51"/>
      <c r="HB148" s="51"/>
      <c r="HC148" s="51"/>
      <c r="HD148" s="51"/>
      <c r="HE148" s="51"/>
      <c r="HF148" s="51"/>
      <c r="HG148" s="51"/>
      <c r="HH148" s="51"/>
      <c r="HI148" s="51"/>
      <c r="HJ148" s="51"/>
      <c r="HK148" s="51"/>
      <c r="HL148" s="51"/>
      <c r="HM148" s="51"/>
      <c r="HN148" s="51"/>
      <c r="HO148" s="51"/>
      <c r="HP148" s="51"/>
      <c r="HQ148" s="51"/>
      <c r="HR148" s="51"/>
      <c r="HS148" s="51"/>
      <c r="HT148" s="51"/>
      <c r="HU148" s="51"/>
      <c r="HV148" s="51"/>
      <c r="HW148" s="51"/>
      <c r="HX148" s="51"/>
      <c r="HY148" s="51"/>
      <c r="HZ148" s="51"/>
      <c r="IA148" s="51"/>
      <c r="IB148" s="51"/>
      <c r="IC148" s="51"/>
      <c r="ID148" s="51"/>
      <c r="IE148" s="51"/>
      <c r="IF148" s="51"/>
      <c r="IG148" s="51"/>
      <c r="IH148" s="51"/>
      <c r="II148" s="51"/>
      <c r="IJ148" s="51"/>
      <c r="IK148" s="51"/>
      <c r="IL148" s="51"/>
      <c r="IM148" s="51"/>
      <c r="IN148" s="51"/>
      <c r="IO148" s="51"/>
      <c r="IP148" s="51"/>
      <c r="IQ148" s="51"/>
      <c r="IR148" s="51"/>
      <c r="IS148" s="51"/>
      <c r="IT148" s="51"/>
      <c r="IU148" s="51"/>
      <c r="IV148" s="51"/>
      <c r="IW148" s="51"/>
      <c r="IX148" s="51"/>
      <c r="IY148" s="51"/>
      <c r="IZ148" s="51"/>
      <c r="JA148" s="51"/>
      <c r="JB148" s="51"/>
      <c r="JC148" s="51"/>
      <c r="JD148" s="51"/>
      <c r="JE148" s="51"/>
      <c r="JF148" s="51"/>
      <c r="JG148" s="51"/>
      <c r="JH148" s="51"/>
      <c r="JI148" s="51"/>
      <c r="JJ148" s="51"/>
      <c r="JK148" s="51"/>
      <c r="JL148" s="51"/>
      <c r="JM148" s="51"/>
      <c r="JN148" s="51"/>
      <c r="JO148" s="51"/>
      <c r="JP148" s="51"/>
      <c r="JQ148" s="51"/>
      <c r="JR148" s="51"/>
      <c r="JS148" s="51"/>
      <c r="JT148" s="51"/>
      <c r="JU148" s="51"/>
      <c r="JV148" s="51"/>
      <c r="JW148" s="51"/>
      <c r="JX148" s="51"/>
      <c r="JY148" s="51"/>
      <c r="JZ148" s="51"/>
      <c r="KA148" s="51"/>
      <c r="KB148" s="51"/>
      <c r="KC148" s="51"/>
      <c r="KD148" s="51"/>
      <c r="KE148" s="51"/>
      <c r="KF148" s="51"/>
      <c r="KG148" s="51"/>
      <c r="KH148" s="51"/>
      <c r="KI148" s="51"/>
      <c r="KJ148" s="51"/>
      <c r="KK148" s="51"/>
      <c r="KL148" s="51"/>
      <c r="KM148" s="51"/>
      <c r="KN148" s="51"/>
      <c r="KO148" s="51"/>
      <c r="KP148" s="51"/>
      <c r="KQ148" s="51"/>
      <c r="KR148" s="51"/>
      <c r="KS148" s="51"/>
      <c r="KT148" s="51"/>
      <c r="KU148" s="51"/>
      <c r="KV148" s="51"/>
      <c r="KW148" s="51"/>
      <c r="KX148" s="51"/>
      <c r="KY148" s="51"/>
      <c r="KZ148" s="51"/>
      <c r="LA148" s="51"/>
      <c r="LB148" s="51"/>
      <c r="LC148" s="51"/>
      <c r="LD148" s="51"/>
      <c r="LE148" s="51"/>
      <c r="LF148" s="51"/>
      <c r="LG148" s="51"/>
      <c r="LH148" s="51"/>
      <c r="LI148" s="51"/>
      <c r="LJ148" s="51"/>
      <c r="LK148" s="51"/>
      <c r="LL148" s="51"/>
      <c r="LM148" s="51"/>
      <c r="LN148" s="51"/>
      <c r="LO148" s="51"/>
      <c r="LP148" s="51"/>
      <c r="LQ148" s="51"/>
      <c r="LR148" s="51"/>
      <c r="LS148" s="51"/>
      <c r="LT148" s="51"/>
      <c r="LU148" s="51"/>
      <c r="LV148" s="51"/>
      <c r="LW148" s="51"/>
      <c r="LX148" s="51"/>
      <c r="LY148" s="51"/>
      <c r="LZ148" s="51"/>
      <c r="MA148" s="51"/>
      <c r="MB148" s="51"/>
      <c r="MC148" s="51"/>
      <c r="MD148" s="51"/>
      <c r="ME148" s="51"/>
      <c r="MF148" s="51"/>
      <c r="MG148" s="51"/>
      <c r="MH148" s="51"/>
      <c r="MI148" s="51"/>
      <c r="MJ148" s="51"/>
      <c r="MK148" s="51"/>
      <c r="ML148" s="51"/>
      <c r="MM148" s="51"/>
      <c r="MN148" s="51"/>
      <c r="MO148" s="51"/>
      <c r="MP148" s="51"/>
      <c r="MQ148" s="51"/>
      <c r="MR148" s="51"/>
      <c r="MS148" s="51"/>
      <c r="MT148" s="51"/>
      <c r="MU148" s="51"/>
      <c r="MV148" s="51"/>
      <c r="MW148" s="51"/>
      <c r="MX148" s="51"/>
      <c r="MY148" s="51"/>
      <c r="MZ148" s="51"/>
      <c r="NA148" s="51"/>
      <c r="NB148" s="51"/>
      <c r="NC148" s="51"/>
      <c r="ND148" s="51"/>
      <c r="NE148" s="51"/>
      <c r="NF148" s="51"/>
      <c r="NG148" s="51"/>
      <c r="NH148" s="51"/>
      <c r="NI148" s="51"/>
      <c r="NJ148" s="51"/>
      <c r="NK148" s="51"/>
      <c r="NL148" s="51"/>
      <c r="NM148" s="51"/>
      <c r="NN148" s="51"/>
      <c r="NO148" s="51"/>
      <c r="NP148" s="51"/>
      <c r="NQ148" s="51"/>
      <c r="NR148" s="51"/>
      <c r="NS148" s="51"/>
      <c r="NT148" s="51"/>
      <c r="NU148" s="51"/>
      <c r="NV148" s="51"/>
      <c r="NW148" s="51"/>
      <c r="NX148" s="51"/>
      <c r="NY148" s="51"/>
      <c r="NZ148" s="51"/>
      <c r="OA148" s="51"/>
      <c r="OB148" s="51"/>
      <c r="OC148" s="51"/>
      <c r="OD148" s="51"/>
      <c r="OE148" s="51"/>
      <c r="OF148" s="51"/>
      <c r="OG148" s="51"/>
      <c r="OH148" s="51"/>
      <c r="OI148" s="51"/>
      <c r="OJ148" s="51"/>
      <c r="OK148" s="51"/>
      <c r="OL148" s="51"/>
      <c r="OM148" s="51"/>
      <c r="ON148" s="51"/>
      <c r="OO148" s="51"/>
      <c r="OP148" s="51"/>
      <c r="OQ148" s="51"/>
      <c r="OR148" s="51"/>
      <c r="OS148" s="51"/>
      <c r="OT148" s="51"/>
      <c r="OU148" s="51"/>
      <c r="OV148" s="51"/>
      <c r="OW148" s="51"/>
      <c r="OX148" s="51"/>
      <c r="OY148" s="51"/>
      <c r="OZ148" s="51"/>
      <c r="PA148" s="51"/>
      <c r="PB148" s="51"/>
      <c r="PC148" s="51"/>
      <c r="PD148" s="51"/>
      <c r="PE148" s="51"/>
      <c r="PF148" s="51"/>
      <c r="PG148" s="51"/>
      <c r="PH148" s="51"/>
      <c r="PI148" s="51"/>
      <c r="PJ148" s="51"/>
      <c r="PK148" s="51"/>
      <c r="PL148" s="51"/>
      <c r="PM148" s="51"/>
      <c r="PN148" s="51"/>
      <c r="PO148" s="51"/>
      <c r="PP148" s="51"/>
      <c r="PQ148" s="51"/>
      <c r="PR148" s="51"/>
      <c r="PS148" s="51"/>
      <c r="PT148" s="51"/>
      <c r="PU148" s="51"/>
      <c r="PV148" s="51"/>
      <c r="PW148" s="51"/>
      <c r="PX148" s="51"/>
      <c r="PY148" s="51"/>
      <c r="PZ148" s="51"/>
      <c r="QA148" s="51"/>
      <c r="QB148" s="51"/>
      <c r="QC148" s="51"/>
      <c r="QD148" s="51"/>
      <c r="QE148" s="51"/>
      <c r="QF148" s="51"/>
      <c r="QG148" s="51"/>
      <c r="QH148" s="51"/>
      <c r="QI148" s="51"/>
      <c r="QJ148" s="51"/>
      <c r="QK148" s="51"/>
      <c r="QL148" s="51"/>
      <c r="QM148" s="51"/>
      <c r="QN148" s="51"/>
      <c r="QO148" s="51"/>
      <c r="QP148" s="51"/>
      <c r="QQ148" s="51"/>
      <c r="QR148" s="51"/>
      <c r="QS148" s="51"/>
      <c r="QT148" s="51"/>
      <c r="QU148" s="51"/>
      <c r="QV148" s="51"/>
      <c r="QW148" s="51"/>
      <c r="QX148" s="51"/>
      <c r="QY148" s="51"/>
      <c r="QZ148" s="51"/>
      <c r="RA148" s="51"/>
      <c r="RB148" s="51"/>
      <c r="RC148" s="51"/>
      <c r="RD148" s="51"/>
      <c r="RE148" s="51"/>
      <c r="RF148" s="51"/>
      <c r="RG148" s="51"/>
      <c r="RH148" s="51"/>
      <c r="RI148" s="51"/>
      <c r="RJ148" s="51"/>
      <c r="RK148" s="51"/>
      <c r="RL148" s="51"/>
      <c r="RM148" s="51"/>
      <c r="RN148" s="51"/>
      <c r="RO148" s="51"/>
      <c r="RP148" s="51"/>
      <c r="RQ148" s="51"/>
      <c r="RR148" s="51"/>
      <c r="RS148" s="51"/>
      <c r="RT148" s="51"/>
      <c r="RU148" s="51"/>
      <c r="RV148" s="51"/>
      <c r="RW148" s="51"/>
      <c r="RX148" s="51"/>
      <c r="RY148" s="51"/>
      <c r="RZ148" s="51"/>
      <c r="SA148" s="51"/>
      <c r="SB148" s="51"/>
      <c r="SC148" s="51"/>
      <c r="SD148" s="51"/>
      <c r="SE148" s="51"/>
      <c r="SF148" s="51"/>
      <c r="SG148" s="51"/>
      <c r="SH148" s="51"/>
      <c r="SI148" s="51"/>
      <c r="SJ148" s="51"/>
      <c r="SK148" s="51"/>
      <c r="SL148" s="51"/>
      <c r="SM148" s="51"/>
      <c r="SN148" s="51"/>
      <c r="SO148" s="51"/>
      <c r="SP148" s="51"/>
      <c r="SQ148" s="51"/>
      <c r="SR148" s="51"/>
      <c r="SS148" s="51"/>
      <c r="ST148" s="51"/>
      <c r="SU148" s="51"/>
      <c r="SV148" s="51"/>
      <c r="SW148" s="51"/>
      <c r="SX148" s="51"/>
      <c r="SY148" s="51"/>
      <c r="SZ148" s="51"/>
      <c r="TA148" s="51"/>
      <c r="TB148" s="51"/>
      <c r="TC148" s="51"/>
      <c r="TD148" s="51"/>
      <c r="TE148" s="51"/>
      <c r="TF148" s="51"/>
      <c r="TG148" s="51"/>
      <c r="TH148" s="51"/>
      <c r="TI148" s="51"/>
      <c r="TJ148" s="51"/>
      <c r="TK148" s="51"/>
      <c r="TL148" s="51"/>
      <c r="TM148" s="51"/>
      <c r="TN148" s="51"/>
      <c r="TO148" s="51"/>
      <c r="TP148" s="51"/>
      <c r="TQ148" s="51"/>
      <c r="TR148" s="51"/>
      <c r="TS148" s="51"/>
      <c r="TT148" s="51"/>
      <c r="TU148" s="51"/>
      <c r="TV148" s="51"/>
      <c r="TW148" s="51"/>
      <c r="TX148" s="51"/>
      <c r="TY148" s="51"/>
      <c r="TZ148" s="51"/>
      <c r="UA148" s="51"/>
      <c r="UB148" s="51"/>
      <c r="UC148" s="51"/>
      <c r="UD148" s="51"/>
      <c r="UE148" s="51"/>
      <c r="UF148" s="51"/>
      <c r="UG148" s="51"/>
      <c r="UH148" s="51"/>
      <c r="UI148" s="51"/>
      <c r="UJ148" s="51"/>
      <c r="UK148" s="51"/>
      <c r="UL148" s="51"/>
      <c r="UM148" s="51"/>
      <c r="UN148" s="51"/>
      <c r="UO148" s="51"/>
      <c r="UP148" s="51"/>
      <c r="UQ148" s="51"/>
      <c r="UR148" s="51"/>
      <c r="US148" s="51"/>
      <c r="UT148" s="51"/>
      <c r="UU148" s="51"/>
      <c r="UV148" s="51"/>
      <c r="UW148" s="51"/>
      <c r="UX148" s="51"/>
      <c r="UY148" s="51"/>
      <c r="UZ148" s="51"/>
      <c r="VA148" s="51"/>
      <c r="VB148" s="51"/>
      <c r="VC148" s="51"/>
      <c r="VD148" s="51"/>
      <c r="VE148" s="51"/>
      <c r="VF148" s="51"/>
      <c r="VG148" s="51"/>
      <c r="VH148" s="51"/>
      <c r="VI148" s="51"/>
      <c r="VJ148" s="51"/>
      <c r="VK148" s="51"/>
      <c r="VL148" s="51"/>
      <c r="VM148" s="51"/>
      <c r="VN148" s="51"/>
      <c r="VO148" s="51"/>
      <c r="VP148" s="51"/>
      <c r="VQ148" s="51"/>
      <c r="VR148" s="51"/>
      <c r="VS148" s="51"/>
      <c r="VT148" s="51"/>
      <c r="VU148" s="51"/>
      <c r="VV148" s="51"/>
      <c r="VW148" s="51"/>
      <c r="VX148" s="51"/>
      <c r="VY148" s="51"/>
      <c r="VZ148" s="51"/>
      <c r="WA148" s="51"/>
      <c r="WB148" s="51"/>
      <c r="WC148" s="51"/>
      <c r="WD148" s="51"/>
      <c r="WE148" s="51"/>
      <c r="WF148" s="51"/>
      <c r="WG148" s="51"/>
      <c r="WH148" s="51"/>
      <c r="WI148" s="51"/>
      <c r="WJ148" s="51"/>
      <c r="WK148" s="51"/>
      <c r="WL148" s="51"/>
      <c r="WM148" s="51"/>
      <c r="WN148" s="51"/>
      <c r="WO148" s="51"/>
      <c r="WP148" s="51"/>
      <c r="WQ148" s="51"/>
      <c r="WR148" s="51"/>
      <c r="WS148" s="51"/>
      <c r="WT148" s="51"/>
      <c r="WU148" s="51"/>
      <c r="WV148" s="51"/>
      <c r="WW148" s="51"/>
      <c r="WX148" s="51"/>
      <c r="WY148" s="51"/>
      <c r="WZ148" s="51"/>
      <c r="XA148" s="51"/>
      <c r="XB148" s="51"/>
      <c r="XC148" s="51"/>
      <c r="XD148" s="51"/>
      <c r="XE148" s="51"/>
      <c r="XF148" s="51"/>
      <c r="XG148" s="51"/>
      <c r="XH148" s="51"/>
      <c r="XI148" s="51"/>
      <c r="XJ148" s="51"/>
      <c r="XK148" s="51"/>
      <c r="XL148" s="51"/>
      <c r="XM148" s="51"/>
      <c r="XN148" s="51"/>
      <c r="XO148" s="51"/>
      <c r="XP148" s="51"/>
      <c r="XQ148" s="51"/>
      <c r="XR148" s="51"/>
      <c r="XS148" s="51"/>
      <c r="XT148" s="51"/>
      <c r="XU148" s="51"/>
      <c r="XV148" s="51"/>
      <c r="XW148" s="51"/>
      <c r="XX148" s="51"/>
      <c r="XY148" s="51"/>
      <c r="XZ148" s="51"/>
      <c r="YA148" s="51"/>
      <c r="YB148" s="51"/>
      <c r="YC148" s="51"/>
      <c r="YD148" s="51"/>
      <c r="YE148" s="51"/>
      <c r="YF148" s="51"/>
      <c r="YG148" s="51"/>
      <c r="YH148" s="51"/>
      <c r="YI148" s="51"/>
      <c r="YJ148" s="51"/>
      <c r="YK148" s="51"/>
      <c r="YL148" s="51"/>
      <c r="YM148" s="51"/>
      <c r="YN148" s="51"/>
      <c r="YO148" s="51"/>
      <c r="YP148" s="51"/>
      <c r="YQ148" s="51"/>
      <c r="YR148" s="51"/>
      <c r="YS148" s="51"/>
      <c r="YT148" s="51"/>
      <c r="YU148" s="51"/>
      <c r="YV148" s="51"/>
      <c r="YW148" s="51"/>
      <c r="YX148" s="51"/>
      <c r="YY148" s="51"/>
      <c r="YZ148" s="51"/>
      <c r="ZA148" s="51"/>
      <c r="ZB148" s="51"/>
      <c r="ZC148" s="51"/>
      <c r="ZD148" s="51"/>
      <c r="ZE148" s="51"/>
      <c r="ZF148" s="51"/>
      <c r="ZG148" s="51"/>
      <c r="ZH148" s="51"/>
      <c r="ZI148" s="51"/>
      <c r="ZJ148" s="51"/>
      <c r="ZK148" s="51"/>
      <c r="ZL148" s="51"/>
      <c r="ZM148" s="51"/>
      <c r="ZN148" s="51"/>
      <c r="ZO148" s="51"/>
      <c r="ZP148" s="51"/>
      <c r="ZQ148" s="51"/>
      <c r="ZR148" s="51"/>
      <c r="ZS148" s="51"/>
      <c r="ZT148" s="51"/>
      <c r="ZU148" s="51"/>
      <c r="ZV148" s="51"/>
      <c r="ZW148" s="51"/>
      <c r="ZX148" s="51"/>
      <c r="ZY148" s="51"/>
      <c r="ZZ148" s="51"/>
      <c r="AAA148" s="51"/>
      <c r="AAB148" s="51"/>
      <c r="AAC148" s="51"/>
      <c r="AAD148" s="51"/>
      <c r="AAE148" s="51"/>
      <c r="AAF148" s="51"/>
      <c r="AAG148" s="51"/>
      <c r="AAH148" s="51"/>
      <c r="AAI148" s="51"/>
      <c r="AAJ148" s="51"/>
      <c r="AAK148" s="51"/>
      <c r="AAL148" s="51"/>
      <c r="AAM148" s="51"/>
      <c r="AAN148" s="51"/>
      <c r="AAO148" s="51"/>
      <c r="AAP148" s="51"/>
      <c r="AAQ148" s="51"/>
      <c r="AAR148" s="51"/>
      <c r="AAS148" s="51"/>
      <c r="AAT148" s="51"/>
      <c r="AAU148" s="51"/>
      <c r="AAV148" s="51"/>
      <c r="AAW148" s="51"/>
      <c r="AAX148" s="51"/>
      <c r="AAY148" s="51"/>
      <c r="AAZ148" s="51"/>
      <c r="ABA148" s="51"/>
      <c r="ABB148" s="51"/>
      <c r="ABC148" s="51"/>
      <c r="ABD148" s="51"/>
      <c r="ABE148" s="51"/>
      <c r="ABF148" s="51"/>
      <c r="ABG148" s="51"/>
      <c r="ABH148" s="51"/>
      <c r="ABI148" s="51"/>
      <c r="ABJ148" s="51"/>
      <c r="ABK148" s="51"/>
      <c r="ABL148" s="51"/>
      <c r="ABM148" s="51"/>
      <c r="ABN148" s="51"/>
      <c r="ABO148" s="51"/>
      <c r="ABP148" s="51"/>
      <c r="ABQ148" s="51"/>
      <c r="ABR148" s="51"/>
      <c r="ABS148" s="51"/>
      <c r="ABT148" s="51"/>
      <c r="ABU148" s="51"/>
      <c r="ABV148" s="51"/>
      <c r="ABW148" s="51"/>
      <c r="ABX148" s="51"/>
      <c r="ABY148" s="51"/>
      <c r="ABZ148" s="51"/>
      <c r="ACA148" s="51"/>
      <c r="ACB148" s="51"/>
      <c r="ACC148" s="51"/>
      <c r="ACD148" s="51"/>
      <c r="ACE148" s="51"/>
      <c r="ACF148" s="51"/>
      <c r="ACG148" s="51"/>
      <c r="ACH148" s="51"/>
      <c r="ACI148" s="51"/>
      <c r="ACJ148" s="51"/>
      <c r="ACK148" s="51"/>
      <c r="ACL148" s="51"/>
      <c r="ACM148" s="51"/>
      <c r="ACN148" s="51"/>
      <c r="ACO148" s="51"/>
      <c r="ACP148" s="51"/>
      <c r="ACQ148" s="51"/>
      <c r="ACR148" s="51"/>
      <c r="ACS148" s="51"/>
      <c r="ACT148" s="51"/>
      <c r="ACU148" s="51"/>
      <c r="ACV148" s="51"/>
      <c r="ACW148" s="51"/>
      <c r="ACX148" s="51"/>
      <c r="ACY148" s="51"/>
      <c r="ACZ148" s="51"/>
      <c r="ADA148" s="51"/>
      <c r="ADB148" s="51"/>
      <c r="ADC148" s="51"/>
      <c r="ADD148" s="51"/>
      <c r="ADE148" s="51"/>
      <c r="ADF148" s="51"/>
      <c r="ADG148" s="51"/>
      <c r="ADH148" s="51"/>
      <c r="ADI148" s="51"/>
      <c r="ADJ148" s="51"/>
      <c r="ADK148" s="51"/>
      <c r="ADL148" s="51"/>
      <c r="ADM148" s="51"/>
      <c r="ADN148" s="51"/>
      <c r="ADO148" s="51"/>
      <c r="ADP148" s="51"/>
      <c r="ADQ148" s="51"/>
      <c r="ADR148" s="51"/>
      <c r="ADS148" s="51"/>
      <c r="ADT148" s="51"/>
      <c r="ADU148" s="51"/>
      <c r="ADV148" s="51"/>
      <c r="ADW148" s="51"/>
      <c r="ADX148" s="51"/>
      <c r="ADY148" s="51"/>
      <c r="ADZ148" s="51"/>
      <c r="AEA148" s="51"/>
      <c r="AEB148" s="51"/>
      <c r="AEC148" s="51"/>
      <c r="AED148" s="51"/>
      <c r="AEE148" s="51"/>
      <c r="AEF148" s="51"/>
      <c r="AEG148" s="51"/>
      <c r="AEH148" s="51"/>
      <c r="AEI148" s="51"/>
      <c r="AEJ148" s="51"/>
      <c r="AEK148" s="51"/>
      <c r="AEL148" s="51"/>
      <c r="AEM148" s="51"/>
      <c r="AEN148" s="51"/>
      <c r="AEO148" s="51"/>
      <c r="AEP148" s="51"/>
      <c r="AEQ148" s="51"/>
      <c r="AER148" s="51"/>
      <c r="AES148" s="51"/>
      <c r="AET148" s="51"/>
      <c r="AEU148" s="51"/>
      <c r="AEV148" s="51"/>
      <c r="AEW148" s="51"/>
      <c r="AEX148" s="51"/>
      <c r="AEY148" s="51"/>
      <c r="AEZ148" s="51"/>
      <c r="AFA148" s="51"/>
      <c r="AFB148" s="51"/>
      <c r="AFC148" s="51"/>
      <c r="AFD148" s="51"/>
      <c r="AFE148" s="51"/>
      <c r="AFF148" s="51"/>
      <c r="AFG148" s="51"/>
      <c r="AFH148" s="51"/>
      <c r="AFI148" s="51"/>
      <c r="AFJ148" s="51"/>
      <c r="AFK148" s="51"/>
      <c r="AFL148" s="51"/>
      <c r="AFM148" s="51"/>
      <c r="AFN148" s="51"/>
      <c r="AFO148" s="51"/>
      <c r="AFP148" s="51"/>
      <c r="AFQ148" s="51"/>
      <c r="AFR148" s="51"/>
      <c r="AFS148" s="51"/>
      <c r="AFT148" s="51"/>
      <c r="AFU148" s="51"/>
      <c r="AFV148" s="51"/>
      <c r="AFW148" s="51"/>
      <c r="AFX148" s="51"/>
      <c r="AFY148" s="51"/>
      <c r="AFZ148" s="51"/>
      <c r="AGA148" s="51"/>
      <c r="AGB148" s="51"/>
      <c r="AGC148" s="51"/>
      <c r="AGD148" s="51"/>
      <c r="AGE148" s="51"/>
      <c r="AGF148" s="51"/>
      <c r="AGG148" s="51"/>
      <c r="AGH148" s="51"/>
      <c r="AGI148" s="51"/>
      <c r="AGJ148" s="51"/>
      <c r="AGK148" s="51"/>
      <c r="AGL148" s="51"/>
      <c r="AGM148" s="51"/>
      <c r="AGN148" s="51"/>
      <c r="AGO148" s="51"/>
      <c r="AGP148" s="51"/>
      <c r="AGQ148" s="51"/>
      <c r="AGR148" s="51"/>
      <c r="AGS148" s="51"/>
      <c r="AGT148" s="51"/>
      <c r="AGU148" s="51"/>
      <c r="AGV148" s="51"/>
      <c r="AGW148" s="51"/>
      <c r="AGX148" s="51"/>
      <c r="AGY148" s="51"/>
      <c r="AGZ148" s="51"/>
      <c r="AHA148" s="51"/>
      <c r="AHB148" s="51"/>
      <c r="AHC148" s="51"/>
      <c r="AHD148" s="51"/>
      <c r="AHE148" s="51"/>
      <c r="AHF148" s="51"/>
      <c r="AHG148" s="51"/>
      <c r="AHH148" s="51"/>
      <c r="AHI148" s="51"/>
      <c r="AHJ148" s="51"/>
      <c r="AHK148" s="51"/>
      <c r="AHL148" s="51"/>
      <c r="AHM148" s="51"/>
      <c r="AHN148" s="51"/>
      <c r="AHO148" s="51"/>
      <c r="AHP148" s="51"/>
      <c r="AHQ148" s="51"/>
      <c r="AHR148" s="51"/>
      <c r="AHS148" s="51"/>
      <c r="AHT148" s="51"/>
      <c r="AHU148" s="51"/>
      <c r="AHV148" s="51"/>
      <c r="AHW148" s="51"/>
      <c r="AHX148" s="51"/>
      <c r="AHY148" s="51"/>
      <c r="AHZ148" s="51"/>
      <c r="AIA148" s="51"/>
      <c r="AIB148" s="51"/>
      <c r="AIC148" s="51"/>
      <c r="AID148" s="51"/>
      <c r="AIE148" s="51"/>
      <c r="AIF148" s="51"/>
      <c r="AIG148" s="51"/>
      <c r="AIH148" s="51"/>
      <c r="AII148" s="51"/>
      <c r="AIJ148" s="51"/>
      <c r="AIK148" s="51"/>
      <c r="AIL148" s="51"/>
      <c r="AIM148" s="51"/>
      <c r="AIN148" s="51"/>
      <c r="AIO148" s="51"/>
      <c r="AIP148" s="51"/>
      <c r="AIQ148" s="51"/>
      <c r="AIR148" s="51"/>
      <c r="AIS148" s="51"/>
      <c r="AIT148" s="51"/>
      <c r="AIU148" s="51"/>
      <c r="AIV148" s="51"/>
      <c r="AIW148" s="51"/>
      <c r="AIX148" s="51"/>
      <c r="AIY148" s="51"/>
      <c r="AIZ148" s="51"/>
      <c r="AJA148" s="51"/>
      <c r="AJB148" s="51"/>
      <c r="AJC148" s="51"/>
      <c r="AJD148" s="51"/>
      <c r="AJE148" s="51"/>
      <c r="AJF148" s="51"/>
      <c r="AJG148" s="51"/>
      <c r="AJH148" s="51"/>
      <c r="AJI148" s="51"/>
      <c r="AJJ148" s="51"/>
      <c r="AJK148" s="51"/>
      <c r="AJL148" s="51"/>
      <c r="AJM148" s="51"/>
      <c r="AJN148" s="51"/>
      <c r="AJO148" s="51"/>
      <c r="AJP148" s="51"/>
      <c r="AJQ148" s="51"/>
      <c r="AJR148" s="51"/>
      <c r="AJS148" s="51"/>
      <c r="AJT148" s="51"/>
      <c r="AJU148" s="51"/>
      <c r="AJV148" s="51"/>
      <c r="AJW148" s="51"/>
      <c r="AJX148" s="51"/>
      <c r="AJY148" s="51"/>
      <c r="AJZ148" s="51"/>
      <c r="AKA148" s="51"/>
      <c r="AKB148" s="51"/>
      <c r="AKC148" s="51"/>
      <c r="AKD148" s="51"/>
      <c r="AKE148" s="51"/>
      <c r="AKF148" s="51"/>
      <c r="AKG148" s="51"/>
      <c r="AKH148" s="51"/>
      <c r="AKI148" s="51"/>
      <c r="AKJ148" s="51"/>
      <c r="AKK148" s="51"/>
      <c r="AKL148" s="51"/>
      <c r="AKM148" s="51"/>
      <c r="AKN148" s="51"/>
      <c r="AKO148" s="51"/>
      <c r="AKP148" s="51"/>
      <c r="AKQ148" s="51"/>
      <c r="AKR148" s="51"/>
      <c r="AKS148" s="51"/>
      <c r="AKT148" s="51"/>
      <c r="AKU148" s="51"/>
      <c r="AKV148" s="51"/>
      <c r="AKW148" s="51"/>
      <c r="AKX148" s="51"/>
      <c r="AKY148" s="51"/>
      <c r="AKZ148" s="51"/>
      <c r="ALA148" s="51"/>
      <c r="ALB148" s="51"/>
      <c r="ALC148" s="51"/>
      <c r="ALD148" s="51"/>
      <c r="ALE148" s="51"/>
      <c r="ALF148" s="51"/>
      <c r="ALG148" s="51"/>
      <c r="ALH148" s="51"/>
      <c r="ALI148" s="51"/>
      <c r="ALJ148" s="51"/>
      <c r="ALK148" s="51"/>
      <c r="ALL148" s="51"/>
      <c r="ALM148" s="51"/>
      <c r="ALN148" s="51"/>
      <c r="ALO148" s="51"/>
      <c r="ALP148" s="51"/>
      <c r="ALQ148" s="51"/>
      <c r="ALR148" s="51"/>
      <c r="ALS148" s="51"/>
      <c r="ALT148" s="51"/>
      <c r="ALU148" s="51"/>
      <c r="ALV148" s="51"/>
      <c r="ALW148" s="51"/>
      <c r="ALX148" s="51"/>
      <c r="ALY148" s="51"/>
      <c r="ALZ148" s="51"/>
      <c r="AMA148" s="51"/>
      <c r="AMB148" s="51"/>
      <c r="AMC148" s="51"/>
      <c r="AMD148" s="51"/>
      <c r="AME148" s="51"/>
      <c r="AMF148" s="51"/>
      <c r="AMG148" s="51"/>
      <c r="AMH148" s="51"/>
      <c r="AMI148" s="51"/>
      <c r="AMJ148" s="51"/>
      <c r="AMK148" s="51"/>
      <c r="AML148" s="51"/>
      <c r="AMM148" s="51"/>
      <c r="AMN148" s="51"/>
      <c r="AMO148" s="51"/>
      <c r="AMP148" s="51"/>
      <c r="AMQ148" s="51"/>
      <c r="AMR148" s="51"/>
      <c r="AMS148" s="51"/>
      <c r="AMT148" s="51"/>
      <c r="AMU148" s="51"/>
      <c r="AMV148" s="51"/>
      <c r="AMW148" s="51"/>
      <c r="AMX148" s="51"/>
      <c r="AMY148" s="51"/>
      <c r="AMZ148" s="51"/>
      <c r="ANA148" s="51"/>
      <c r="ANB148" s="51"/>
      <c r="ANC148" s="51"/>
      <c r="AND148" s="51"/>
      <c r="ANE148" s="51"/>
      <c r="ANF148" s="51"/>
      <c r="ANG148" s="51"/>
      <c r="ANH148" s="51"/>
      <c r="ANI148" s="51"/>
      <c r="ANJ148" s="51"/>
      <c r="ANK148" s="51"/>
      <c r="ANL148" s="51"/>
      <c r="ANM148" s="51"/>
      <c r="ANN148" s="51"/>
      <c r="ANO148" s="51"/>
      <c r="ANP148" s="51"/>
      <c r="ANQ148" s="51"/>
      <c r="ANR148" s="51"/>
      <c r="ANS148" s="51"/>
      <c r="ANT148" s="51"/>
      <c r="ANU148" s="51"/>
      <c r="ANV148" s="51"/>
      <c r="ANW148" s="51"/>
      <c r="ANX148" s="51"/>
      <c r="ANY148" s="51"/>
      <c r="ANZ148" s="51"/>
      <c r="AOA148" s="51"/>
      <c r="AOB148" s="51"/>
      <c r="AOC148" s="51"/>
      <c r="AOD148" s="51"/>
      <c r="AOE148" s="51"/>
      <c r="AOF148" s="51"/>
      <c r="AOG148" s="51"/>
      <c r="AOH148" s="51"/>
      <c r="AOI148" s="51"/>
      <c r="AOJ148" s="51"/>
      <c r="AOK148" s="51"/>
      <c r="AOL148" s="51"/>
      <c r="AOM148" s="51"/>
      <c r="AON148" s="51"/>
      <c r="AOO148" s="51"/>
      <c r="AOP148" s="51"/>
      <c r="AOQ148" s="51"/>
      <c r="AOR148" s="51"/>
      <c r="AOS148" s="51"/>
      <c r="AOT148" s="51"/>
      <c r="AOU148" s="51"/>
      <c r="AOV148" s="51"/>
      <c r="AOW148" s="51"/>
      <c r="AOX148" s="51"/>
      <c r="AOY148" s="51"/>
      <c r="AOZ148" s="51"/>
      <c r="APA148" s="51"/>
      <c r="APB148" s="51"/>
      <c r="APC148" s="51"/>
      <c r="APD148" s="51"/>
      <c r="APE148" s="51"/>
      <c r="APF148" s="51"/>
      <c r="APG148" s="51"/>
      <c r="APH148" s="51"/>
      <c r="API148" s="51"/>
      <c r="APJ148" s="51"/>
      <c r="APK148" s="51"/>
      <c r="APL148" s="51"/>
      <c r="APM148" s="51"/>
      <c r="APN148" s="51"/>
      <c r="APO148" s="51"/>
      <c r="APP148" s="51"/>
      <c r="APQ148" s="51"/>
      <c r="APR148" s="51"/>
      <c r="APS148" s="51"/>
      <c r="APT148" s="51"/>
      <c r="APU148" s="51"/>
      <c r="APV148" s="51"/>
      <c r="APW148" s="51"/>
      <c r="APX148" s="51"/>
      <c r="APY148" s="51"/>
      <c r="APZ148" s="51"/>
      <c r="AQA148" s="51"/>
      <c r="AQB148" s="51"/>
      <c r="AQC148" s="51"/>
      <c r="AQD148" s="51"/>
      <c r="AQE148" s="51"/>
      <c r="AQF148" s="51"/>
      <c r="AQG148" s="51"/>
      <c r="AQH148" s="51"/>
      <c r="AQI148" s="51"/>
      <c r="AQJ148" s="51"/>
      <c r="AQK148" s="51"/>
      <c r="AQL148" s="51"/>
      <c r="AQM148" s="51"/>
      <c r="AQN148" s="51"/>
      <c r="AQO148" s="51"/>
      <c r="AQP148" s="51"/>
      <c r="AQQ148" s="51"/>
      <c r="AQR148" s="51"/>
      <c r="AQS148" s="51"/>
      <c r="AQT148" s="51"/>
      <c r="AQU148" s="51"/>
      <c r="AQV148" s="51"/>
      <c r="AQW148" s="51"/>
      <c r="AQX148" s="51"/>
      <c r="AQY148" s="51"/>
      <c r="AQZ148" s="51"/>
      <c r="ARA148" s="51"/>
      <c r="ARB148" s="51"/>
      <c r="ARC148" s="51"/>
      <c r="ARD148" s="51"/>
      <c r="ARE148" s="51"/>
      <c r="ARF148" s="51"/>
      <c r="ARG148" s="51"/>
      <c r="ARH148" s="51"/>
      <c r="ARI148" s="51"/>
      <c r="ARJ148" s="51"/>
      <c r="ARK148" s="51"/>
      <c r="ARL148" s="51"/>
      <c r="ARM148" s="51"/>
      <c r="ARN148" s="51"/>
      <c r="ARO148" s="51"/>
      <c r="ARP148" s="51"/>
      <c r="ARQ148" s="51"/>
      <c r="ARR148" s="51"/>
      <c r="ARS148" s="51"/>
      <c r="ART148" s="51"/>
      <c r="ARU148" s="51"/>
      <c r="ARV148" s="51"/>
      <c r="ARW148" s="51"/>
      <c r="ARX148" s="51"/>
      <c r="ARY148" s="51"/>
      <c r="ARZ148" s="51"/>
      <c r="ASA148" s="51"/>
      <c r="ASB148" s="51"/>
      <c r="ASC148" s="51"/>
      <c r="ASD148" s="51"/>
      <c r="ASE148" s="51"/>
      <c r="ASF148" s="51"/>
      <c r="ASG148" s="51"/>
      <c r="ASH148" s="51"/>
      <c r="ASI148" s="51"/>
      <c r="ASJ148" s="51"/>
      <c r="ASK148" s="51"/>
      <c r="ASL148" s="51"/>
      <c r="ASM148" s="51"/>
      <c r="ASN148" s="51"/>
      <c r="ASO148" s="51"/>
      <c r="ASP148" s="51"/>
      <c r="ASQ148" s="51"/>
      <c r="ASR148" s="51"/>
      <c r="ASS148" s="51"/>
      <c r="AST148" s="51"/>
      <c r="ASU148" s="51"/>
      <c r="ASV148" s="51"/>
      <c r="ASW148" s="51"/>
      <c r="ASX148" s="51"/>
      <c r="ASY148" s="51"/>
      <c r="ASZ148" s="51"/>
      <c r="ATA148" s="51"/>
      <c r="ATB148" s="51"/>
      <c r="ATC148" s="51"/>
      <c r="ATD148" s="51"/>
      <c r="ATE148" s="51"/>
      <c r="ATF148" s="51"/>
      <c r="ATG148" s="51"/>
      <c r="ATH148" s="51"/>
      <c r="ATI148" s="51"/>
      <c r="ATJ148" s="51"/>
      <c r="ATK148" s="51"/>
      <c r="ATL148" s="51"/>
      <c r="ATM148" s="51"/>
      <c r="ATN148" s="51"/>
      <c r="ATO148" s="51"/>
      <c r="ATP148" s="51"/>
      <c r="ATQ148" s="51"/>
      <c r="ATR148" s="51"/>
      <c r="ATS148" s="51"/>
      <c r="ATT148" s="51"/>
      <c r="ATU148" s="51"/>
      <c r="ATV148" s="51"/>
      <c r="ATW148" s="51"/>
      <c r="ATX148" s="51"/>
      <c r="ATY148" s="51"/>
      <c r="ATZ148" s="51"/>
      <c r="AUA148" s="51"/>
      <c r="AUB148" s="51"/>
      <c r="AUC148" s="51"/>
      <c r="AUD148" s="51"/>
      <c r="AUE148" s="51"/>
      <c r="AUF148" s="51"/>
      <c r="AUG148" s="51"/>
      <c r="AUH148" s="51"/>
      <c r="AUI148" s="51"/>
      <c r="AUJ148" s="51"/>
      <c r="AUK148" s="51"/>
      <c r="AUL148" s="51"/>
      <c r="AUM148" s="51"/>
      <c r="AUN148" s="51"/>
      <c r="AUO148" s="51"/>
      <c r="AUP148" s="51"/>
      <c r="AUQ148" s="51"/>
      <c r="AUR148" s="51"/>
      <c r="AUS148" s="51"/>
      <c r="AUT148" s="51"/>
      <c r="AUU148" s="51"/>
      <c r="AUV148" s="51"/>
      <c r="AUW148" s="51"/>
      <c r="AUX148" s="51"/>
      <c r="AUY148" s="51"/>
      <c r="AUZ148" s="51"/>
      <c r="AVA148" s="51"/>
      <c r="AVB148" s="51"/>
      <c r="AVC148" s="51"/>
      <c r="AVD148" s="51"/>
      <c r="AVE148" s="51"/>
      <c r="AVF148" s="51"/>
      <c r="AVG148" s="51"/>
      <c r="AVH148" s="51"/>
      <c r="AVI148" s="51"/>
      <c r="AVJ148" s="51"/>
      <c r="AVK148" s="51"/>
      <c r="AVL148" s="51"/>
      <c r="AVM148" s="51"/>
      <c r="AVN148" s="51"/>
      <c r="AVO148" s="51"/>
      <c r="AVP148" s="51"/>
      <c r="AVQ148" s="51"/>
      <c r="AVR148" s="51"/>
      <c r="AVS148" s="51"/>
      <c r="AVT148" s="51"/>
      <c r="AVU148" s="51"/>
      <c r="AVV148" s="51"/>
      <c r="AVW148" s="51"/>
      <c r="AVX148" s="51"/>
      <c r="AVY148" s="51"/>
      <c r="AVZ148" s="51"/>
      <c r="AWA148" s="51"/>
      <c r="AWB148" s="51"/>
      <c r="AWC148" s="51"/>
      <c r="AWD148" s="51"/>
      <c r="AWE148" s="51"/>
      <c r="AWF148" s="51"/>
      <c r="AWG148" s="51"/>
      <c r="AWH148" s="51"/>
      <c r="AWI148" s="51"/>
      <c r="AWJ148" s="51"/>
      <c r="AWK148" s="51"/>
      <c r="AWL148" s="51"/>
      <c r="AWM148" s="51"/>
      <c r="AWN148" s="51"/>
      <c r="AWO148" s="51"/>
      <c r="AWP148" s="51"/>
      <c r="AWQ148" s="51"/>
      <c r="AWR148" s="51"/>
      <c r="AWS148" s="51"/>
      <c r="AWT148" s="51"/>
      <c r="AWU148" s="51"/>
      <c r="AWV148" s="51"/>
      <c r="AWW148" s="51"/>
      <c r="AWX148" s="51"/>
      <c r="AWY148" s="51"/>
      <c r="AWZ148" s="51"/>
      <c r="AXA148" s="51"/>
      <c r="AXB148" s="51"/>
      <c r="AXC148" s="51"/>
      <c r="AXD148" s="51"/>
      <c r="AXE148" s="51"/>
      <c r="AXF148" s="51"/>
      <c r="AXG148" s="51"/>
      <c r="AXH148" s="51"/>
      <c r="AXI148" s="51"/>
      <c r="AXJ148" s="51"/>
      <c r="AXK148" s="51"/>
      <c r="AXL148" s="51"/>
      <c r="AXM148" s="51"/>
      <c r="AXN148" s="51"/>
      <c r="AXO148" s="51"/>
      <c r="AXP148" s="51"/>
      <c r="AXQ148" s="51"/>
      <c r="AXR148" s="51"/>
      <c r="AXS148" s="51"/>
      <c r="AXT148" s="51"/>
      <c r="AXU148" s="51"/>
      <c r="AXV148" s="51"/>
    </row>
    <row r="149" spans="1:1322" s="87" customFormat="1" ht="12.75">
      <c r="A149" s="88"/>
      <c r="C149" s="89"/>
      <c r="D149" s="90"/>
      <c r="E149" s="91"/>
      <c r="F149" s="91"/>
      <c r="I149" s="89"/>
      <c r="K149" s="89"/>
      <c r="L149" s="89"/>
      <c r="M149" s="89"/>
      <c r="N149" s="89"/>
      <c r="O149" s="89"/>
      <c r="P149" s="89"/>
      <c r="Q149" s="89"/>
      <c r="R149" s="89"/>
    </row>
    <row r="150" spans="1:1322" s="89" customFormat="1" ht="12.75">
      <c r="A150" s="92"/>
      <c r="B150" s="87"/>
      <c r="D150" s="90"/>
      <c r="E150" s="91"/>
      <c r="F150" s="91"/>
      <c r="G150" s="87"/>
      <c r="H150" s="87"/>
      <c r="J150" s="87"/>
    </row>
    <row r="151" spans="1:1322" s="87" customFormat="1" ht="12.75">
      <c r="A151" s="89"/>
      <c r="C151" s="89"/>
      <c r="D151" s="90"/>
      <c r="E151" s="91"/>
      <c r="F151" s="91"/>
      <c r="I151" s="89"/>
      <c r="K151" s="89"/>
      <c r="L151" s="89"/>
      <c r="M151" s="89"/>
      <c r="N151" s="89"/>
      <c r="O151" s="89"/>
      <c r="P151" s="89"/>
      <c r="Q151" s="89"/>
      <c r="R151" s="89"/>
    </row>
    <row r="152" spans="1:1322" s="87" customFormat="1" ht="12.75">
      <c r="A152" s="89"/>
      <c r="C152" s="89"/>
      <c r="D152" s="90"/>
      <c r="E152" s="91"/>
      <c r="F152" s="91"/>
      <c r="I152" s="89"/>
      <c r="K152" s="89"/>
      <c r="L152" s="89"/>
      <c r="M152" s="89"/>
      <c r="N152" s="89"/>
      <c r="O152" s="89"/>
      <c r="P152" s="89"/>
      <c r="Q152" s="89"/>
      <c r="R152" s="89"/>
    </row>
    <row r="153" spans="1:1322" s="89" customFormat="1" ht="12.75">
      <c r="A153" s="92"/>
      <c r="B153" s="87"/>
      <c r="D153" s="90"/>
      <c r="E153" s="91"/>
      <c r="F153" s="91"/>
      <c r="G153" s="87"/>
      <c r="H153" s="87"/>
      <c r="J153" s="87"/>
    </row>
    <row r="155" spans="1:1322" s="89" customFormat="1" ht="12.75">
      <c r="B155" s="87" t="s">
        <v>290</v>
      </c>
      <c r="D155" s="90"/>
      <c r="E155" s="91"/>
      <c r="F155" s="91"/>
      <c r="G155" s="87"/>
      <c r="H155" s="87"/>
      <c r="J155" s="87"/>
    </row>
    <row r="156" spans="1:1322" s="89" customFormat="1" ht="12.75">
      <c r="A156" s="88"/>
      <c r="B156" s="87"/>
      <c r="D156" s="90"/>
      <c r="E156" s="91"/>
      <c r="F156" s="91"/>
      <c r="G156" s="87"/>
      <c r="H156" s="87"/>
      <c r="J156" s="87"/>
    </row>
    <row r="157" spans="1:1322" s="89" customFormat="1" ht="12.75">
      <c r="A157" s="88"/>
      <c r="B157" s="87"/>
      <c r="D157" s="90"/>
      <c r="E157" s="91"/>
      <c r="F157" s="91"/>
      <c r="G157" s="87"/>
      <c r="H157" s="87"/>
      <c r="J157" s="87"/>
    </row>
    <row r="158" spans="1:1322" s="89" customFormat="1" ht="12.75">
      <c r="A158" s="88"/>
      <c r="B158" s="87"/>
      <c r="D158" s="90"/>
      <c r="E158" s="91"/>
      <c r="F158" s="91"/>
      <c r="G158" s="87"/>
      <c r="H158" s="87"/>
      <c r="J158" s="87"/>
    </row>
    <row r="159" spans="1:1322" s="89" customFormat="1" ht="12.75">
      <c r="A159" s="88"/>
      <c r="B159" s="87"/>
      <c r="D159" s="90"/>
      <c r="E159" s="91"/>
      <c r="F159" s="91"/>
      <c r="G159" s="87"/>
      <c r="H159" s="87"/>
      <c r="J159" s="87"/>
    </row>
    <row r="160" spans="1:1322" s="89" customFormat="1" ht="12.75">
      <c r="A160" s="88"/>
      <c r="B160" s="87"/>
      <c r="D160" s="90"/>
      <c r="E160" s="91"/>
      <c r="F160" s="91"/>
      <c r="G160" s="87"/>
      <c r="H160" s="87"/>
      <c r="J160" s="87"/>
    </row>
    <row r="161" spans="1:18" s="89" customFormat="1" ht="12.75">
      <c r="A161" s="88"/>
      <c r="B161" s="87"/>
      <c r="D161" s="90"/>
      <c r="E161" s="91"/>
      <c r="F161" s="91"/>
      <c r="G161" s="87"/>
      <c r="H161" s="87"/>
      <c r="J161" s="87"/>
    </row>
    <row r="162" spans="1:18" s="89" customFormat="1" ht="12.75">
      <c r="A162" s="88"/>
      <c r="B162" s="87"/>
      <c r="D162" s="90"/>
      <c r="E162" s="91"/>
      <c r="F162" s="91"/>
      <c r="G162" s="87"/>
      <c r="H162" s="87"/>
      <c r="J162" s="87"/>
    </row>
    <row r="163" spans="1:18" s="89" customFormat="1" ht="12.75">
      <c r="A163" s="88"/>
      <c r="B163" s="87"/>
      <c r="D163" s="90"/>
      <c r="E163" s="91"/>
      <c r="F163" s="91"/>
      <c r="G163" s="87"/>
      <c r="H163" s="87"/>
      <c r="J163" s="87"/>
    </row>
    <row r="164" spans="1:18" s="89" customFormat="1" ht="12.75">
      <c r="A164" s="88"/>
      <c r="B164" s="87"/>
      <c r="D164" s="90"/>
      <c r="E164" s="91"/>
      <c r="F164" s="91"/>
      <c r="G164" s="87"/>
      <c r="H164" s="87"/>
      <c r="J164" s="87"/>
    </row>
    <row r="165" spans="1:18" s="89" customFormat="1" ht="12.75">
      <c r="A165" s="88"/>
      <c r="B165" s="87"/>
      <c r="D165" s="90"/>
      <c r="E165" s="91"/>
      <c r="F165" s="91"/>
      <c r="G165" s="87"/>
      <c r="H165" s="87"/>
      <c r="J165" s="87"/>
    </row>
    <row r="166" spans="1:18" s="89" customFormat="1" ht="12.75">
      <c r="A166" s="88"/>
      <c r="B166" s="87"/>
      <c r="D166" s="90"/>
      <c r="E166" s="91"/>
      <c r="F166" s="91"/>
      <c r="G166" s="87"/>
      <c r="H166" s="87"/>
      <c r="J166" s="87"/>
    </row>
    <row r="167" spans="1:18" s="89" customFormat="1" ht="12.75">
      <c r="A167" s="88"/>
      <c r="B167" s="87"/>
      <c r="D167" s="90"/>
      <c r="E167" s="91"/>
      <c r="F167" s="91"/>
      <c r="G167" s="87"/>
      <c r="H167" s="87"/>
      <c r="J167" s="87"/>
    </row>
    <row r="168" spans="1:18" s="89" customFormat="1" ht="12.75">
      <c r="A168" s="88"/>
      <c r="B168" s="87"/>
      <c r="D168" s="90"/>
      <c r="E168" s="91"/>
      <c r="F168" s="91"/>
      <c r="G168" s="87"/>
      <c r="H168" s="87"/>
      <c r="J168" s="87"/>
    </row>
    <row r="169" spans="1:18" s="89" customFormat="1" ht="12.75">
      <c r="A169" s="88"/>
      <c r="B169" s="87"/>
      <c r="D169" s="90"/>
      <c r="E169" s="91"/>
      <c r="F169" s="91"/>
      <c r="G169" s="87"/>
      <c r="H169" s="87"/>
      <c r="J169" s="87"/>
    </row>
    <row r="170" spans="1:18" s="87" customFormat="1" ht="12.75">
      <c r="A170" s="88"/>
      <c r="C170" s="89"/>
      <c r="D170" s="90"/>
      <c r="E170" s="91"/>
      <c r="F170" s="91"/>
      <c r="I170" s="89"/>
      <c r="K170" s="89"/>
      <c r="L170" s="89"/>
      <c r="M170" s="89"/>
      <c r="N170" s="89"/>
      <c r="O170" s="89"/>
      <c r="P170" s="89"/>
      <c r="Q170" s="89"/>
      <c r="R170" s="89"/>
    </row>
    <row r="171" spans="1:18" s="87" customFormat="1" ht="12.75">
      <c r="A171" s="93"/>
      <c r="C171" s="89"/>
      <c r="D171" s="90"/>
      <c r="E171" s="91"/>
      <c r="F171" s="91"/>
      <c r="I171" s="89"/>
      <c r="K171" s="89"/>
      <c r="L171" s="89"/>
      <c r="M171" s="89"/>
      <c r="N171" s="89"/>
      <c r="O171" s="89"/>
      <c r="P171" s="89"/>
      <c r="Q171" s="89"/>
      <c r="R171" s="89"/>
    </row>
    <row r="172" spans="1:18" s="87" customFormat="1" ht="12.75">
      <c r="A172" s="88"/>
      <c r="C172" s="89"/>
      <c r="D172" s="90"/>
      <c r="E172" s="91"/>
      <c r="F172" s="91"/>
      <c r="I172" s="89"/>
      <c r="K172" s="89"/>
      <c r="L172" s="89"/>
      <c r="M172" s="89"/>
      <c r="N172" s="89"/>
      <c r="O172" s="89"/>
      <c r="P172" s="89"/>
      <c r="Q172" s="89"/>
      <c r="R172" s="89"/>
    </row>
    <row r="173" spans="1:18" s="87" customFormat="1" ht="12.75">
      <c r="A173" s="88"/>
      <c r="C173" s="89"/>
      <c r="D173" s="90"/>
      <c r="E173" s="91"/>
      <c r="F173" s="91"/>
      <c r="I173" s="89"/>
      <c r="K173" s="89"/>
      <c r="L173" s="89"/>
      <c r="M173" s="89"/>
      <c r="N173" s="89"/>
      <c r="O173" s="89"/>
      <c r="P173" s="89"/>
      <c r="Q173" s="89"/>
      <c r="R173" s="89"/>
    </row>
    <row r="174" spans="1:18" s="87" customFormat="1" ht="12.75">
      <c r="A174" s="93"/>
      <c r="C174" s="89"/>
      <c r="D174" s="90"/>
      <c r="E174" s="91"/>
      <c r="F174" s="91"/>
      <c r="I174" s="89"/>
      <c r="K174" s="89"/>
      <c r="L174" s="89"/>
      <c r="M174" s="89"/>
      <c r="N174" s="89"/>
      <c r="O174" s="89"/>
      <c r="P174" s="89"/>
      <c r="Q174" s="89"/>
      <c r="R174" s="89"/>
    </row>
    <row r="175" spans="1:18" s="87" customFormat="1" ht="12.75">
      <c r="A175" s="93"/>
      <c r="C175" s="89"/>
      <c r="D175" s="90"/>
      <c r="E175" s="91"/>
      <c r="F175" s="91"/>
      <c r="I175" s="89"/>
      <c r="K175" s="89"/>
      <c r="L175" s="89"/>
      <c r="M175" s="89"/>
      <c r="N175" s="89"/>
      <c r="O175" s="89"/>
      <c r="P175" s="89"/>
      <c r="Q175" s="89"/>
      <c r="R175" s="89"/>
    </row>
    <row r="176" spans="1:18" s="87" customFormat="1" ht="12.75">
      <c r="A176" s="88"/>
      <c r="C176" s="89"/>
      <c r="D176" s="90"/>
      <c r="E176" s="91"/>
      <c r="F176" s="91"/>
      <c r="I176" s="89"/>
      <c r="K176" s="89"/>
      <c r="L176" s="89"/>
      <c r="M176" s="89"/>
      <c r="N176" s="89"/>
      <c r="O176" s="89"/>
      <c r="P176" s="89"/>
      <c r="Q176" s="89"/>
      <c r="R176" s="89"/>
    </row>
    <row r="177" spans="1:1760" s="87" customFormat="1" ht="12.75">
      <c r="A177" s="88"/>
      <c r="C177" s="89"/>
      <c r="D177" s="90"/>
      <c r="E177" s="91"/>
      <c r="F177" s="91"/>
      <c r="I177" s="89"/>
      <c r="K177" s="89"/>
      <c r="L177" s="89"/>
      <c r="M177" s="89"/>
      <c r="N177" s="89"/>
      <c r="O177" s="89"/>
      <c r="P177" s="89"/>
      <c r="Q177" s="89"/>
      <c r="R177" s="89"/>
    </row>
    <row r="178" spans="1:1760" s="87" customFormat="1" ht="12.75">
      <c r="A178" s="88"/>
      <c r="C178" s="89"/>
      <c r="D178" s="90"/>
      <c r="E178" s="91"/>
      <c r="F178" s="91"/>
      <c r="I178" s="89"/>
      <c r="K178" s="89"/>
      <c r="L178" s="89"/>
      <c r="M178" s="89"/>
      <c r="N178" s="89"/>
      <c r="O178" s="89"/>
      <c r="P178" s="89"/>
      <c r="Q178" s="89"/>
      <c r="R178" s="89"/>
    </row>
    <row r="179" spans="1:1760" s="87" customFormat="1" ht="12.75">
      <c r="A179" s="88"/>
      <c r="C179" s="89"/>
      <c r="D179" s="90"/>
      <c r="E179" s="91"/>
      <c r="F179" s="91"/>
      <c r="I179" s="89"/>
      <c r="K179" s="89"/>
      <c r="L179" s="89"/>
      <c r="M179" s="89"/>
      <c r="N179" s="89"/>
      <c r="O179" s="89"/>
      <c r="P179" s="89"/>
      <c r="Q179" s="89"/>
      <c r="R179" s="89"/>
    </row>
    <row r="180" spans="1:1760" s="87" customFormat="1" ht="12.75">
      <c r="A180" s="94"/>
      <c r="C180" s="89"/>
      <c r="D180" s="90"/>
      <c r="E180" s="91"/>
      <c r="F180" s="91"/>
      <c r="I180" s="89"/>
      <c r="K180" s="89"/>
      <c r="L180" s="89"/>
      <c r="M180" s="89"/>
      <c r="N180" s="89"/>
      <c r="O180" s="89"/>
      <c r="P180" s="89"/>
      <c r="Q180" s="89"/>
      <c r="R180" s="89"/>
    </row>
    <row r="181" spans="1:1760" s="87" customFormat="1" ht="12.75">
      <c r="A181" s="88"/>
      <c r="C181" s="89"/>
      <c r="D181" s="90"/>
      <c r="E181" s="91"/>
      <c r="F181" s="91"/>
      <c r="I181" s="89"/>
      <c r="K181" s="89"/>
      <c r="L181" s="89"/>
      <c r="M181" s="89"/>
      <c r="N181" s="89"/>
      <c r="O181" s="89"/>
      <c r="P181" s="89"/>
      <c r="Q181" s="89"/>
      <c r="R181" s="89"/>
    </row>
    <row r="182" spans="1:1760" s="87" customFormat="1" ht="12.75">
      <c r="A182" s="95"/>
      <c r="C182" s="89"/>
      <c r="D182" s="90"/>
      <c r="E182" s="91"/>
      <c r="F182" s="91"/>
      <c r="I182" s="89"/>
      <c r="K182" s="89"/>
      <c r="L182" s="89"/>
      <c r="M182" s="89"/>
      <c r="N182" s="89"/>
      <c r="O182" s="89"/>
      <c r="P182" s="89"/>
      <c r="Q182" s="89"/>
      <c r="R182" s="89"/>
    </row>
    <row r="183" spans="1:1760" s="84" customFormat="1" ht="12.75">
      <c r="A183" s="95"/>
      <c r="B183" s="87"/>
      <c r="C183" s="89"/>
      <c r="D183" s="90"/>
      <c r="E183" s="91"/>
      <c r="F183" s="91"/>
      <c r="G183" s="87"/>
      <c r="H183" s="87"/>
      <c r="I183" s="89"/>
      <c r="J183" s="87"/>
      <c r="K183" s="89"/>
      <c r="L183" s="89"/>
      <c r="M183" s="89"/>
      <c r="N183" s="89"/>
      <c r="O183" s="89"/>
      <c r="P183" s="89"/>
      <c r="Q183" s="89"/>
      <c r="R183" s="89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  <c r="BM183" s="87"/>
      <c r="BN183" s="87"/>
      <c r="BO183" s="87"/>
      <c r="BP183" s="87"/>
      <c r="BQ183" s="87"/>
      <c r="BR183" s="87"/>
      <c r="BS183" s="87"/>
      <c r="BT183" s="87"/>
      <c r="BU183" s="87"/>
      <c r="BV183" s="87"/>
      <c r="BW183" s="87"/>
      <c r="BX183" s="87"/>
      <c r="BY183" s="87"/>
      <c r="BZ183" s="87"/>
      <c r="CA183" s="87"/>
      <c r="CB183" s="87"/>
      <c r="CC183" s="87"/>
      <c r="CD183" s="87"/>
      <c r="CE183" s="87"/>
      <c r="CF183" s="87"/>
      <c r="CG183" s="87"/>
      <c r="CH183" s="87"/>
      <c r="CI183" s="87"/>
      <c r="CJ183" s="87"/>
      <c r="CK183" s="87"/>
      <c r="CL183" s="87"/>
      <c r="CM183" s="87"/>
      <c r="CN183" s="87"/>
      <c r="CO183" s="87"/>
      <c r="CP183" s="87"/>
      <c r="CQ183" s="87"/>
      <c r="CR183" s="87"/>
      <c r="CS183" s="87"/>
      <c r="CT183" s="87"/>
      <c r="CU183" s="87"/>
      <c r="CV183" s="87"/>
      <c r="CW183" s="87"/>
      <c r="CX183" s="87"/>
      <c r="CY183" s="87"/>
      <c r="CZ183" s="87"/>
      <c r="DA183" s="87"/>
      <c r="DB183" s="87"/>
      <c r="DC183" s="87"/>
      <c r="DD183" s="87"/>
      <c r="DE183" s="87"/>
      <c r="DF183" s="87"/>
      <c r="DG183" s="87"/>
      <c r="DH183" s="87"/>
      <c r="DI183" s="87"/>
      <c r="DJ183" s="87"/>
      <c r="DK183" s="87"/>
      <c r="DL183" s="87"/>
      <c r="DM183" s="87"/>
      <c r="DN183" s="87"/>
      <c r="DO183" s="87"/>
      <c r="DP183" s="87"/>
      <c r="DQ183" s="87"/>
      <c r="DR183" s="87"/>
      <c r="DS183" s="87"/>
      <c r="DT183" s="87"/>
      <c r="DU183" s="87"/>
      <c r="DV183" s="87"/>
      <c r="DW183" s="87"/>
      <c r="DX183" s="87"/>
      <c r="DY183" s="87"/>
      <c r="DZ183" s="87"/>
      <c r="EA183" s="87"/>
      <c r="EB183" s="87"/>
      <c r="EC183" s="87"/>
      <c r="ED183" s="87"/>
      <c r="EE183" s="87"/>
      <c r="EF183" s="87"/>
      <c r="EG183" s="87"/>
      <c r="EH183" s="87"/>
      <c r="EI183" s="87"/>
      <c r="EJ183" s="87"/>
      <c r="EK183" s="87"/>
      <c r="EL183" s="87"/>
      <c r="EM183" s="87"/>
      <c r="EN183" s="87"/>
      <c r="EO183" s="87"/>
      <c r="EP183" s="87"/>
      <c r="EQ183" s="87"/>
      <c r="ER183" s="87"/>
      <c r="ES183" s="87"/>
      <c r="ET183" s="87"/>
      <c r="EU183" s="87"/>
      <c r="EV183" s="87"/>
      <c r="EW183" s="87"/>
      <c r="EX183" s="87"/>
      <c r="EY183" s="87"/>
      <c r="EZ183" s="87"/>
      <c r="FA183" s="87"/>
      <c r="FB183" s="87"/>
      <c r="FC183" s="87"/>
      <c r="FD183" s="87"/>
      <c r="FE183" s="87"/>
      <c r="FF183" s="87"/>
      <c r="FG183" s="87"/>
      <c r="FH183" s="87"/>
      <c r="FI183" s="87"/>
      <c r="FJ183" s="87"/>
      <c r="FK183" s="87"/>
      <c r="FL183" s="87"/>
      <c r="FM183" s="87"/>
      <c r="FN183" s="87"/>
      <c r="FO183" s="87"/>
      <c r="FP183" s="87"/>
      <c r="FQ183" s="87"/>
      <c r="FR183" s="87"/>
      <c r="FS183" s="87"/>
      <c r="FT183" s="87"/>
      <c r="FU183" s="87"/>
      <c r="FV183" s="87"/>
      <c r="FW183" s="87"/>
      <c r="FX183" s="87"/>
      <c r="FY183" s="87"/>
      <c r="FZ183" s="87"/>
      <c r="GA183" s="87"/>
      <c r="GB183" s="87"/>
      <c r="GC183" s="87"/>
      <c r="GD183" s="87"/>
      <c r="GE183" s="87"/>
      <c r="GF183" s="87"/>
      <c r="GG183" s="87"/>
      <c r="GH183" s="87"/>
      <c r="GI183" s="87"/>
      <c r="GJ183" s="87"/>
      <c r="GK183" s="87"/>
      <c r="GL183" s="87"/>
      <c r="GM183" s="87"/>
      <c r="GN183" s="87"/>
      <c r="GO183" s="87"/>
      <c r="GP183" s="87"/>
      <c r="GQ183" s="87"/>
      <c r="GR183" s="87"/>
      <c r="GS183" s="87"/>
      <c r="GT183" s="87"/>
      <c r="GU183" s="87"/>
      <c r="GV183" s="87"/>
      <c r="GW183" s="87"/>
      <c r="GX183" s="87"/>
      <c r="GY183" s="87"/>
      <c r="GZ183" s="87"/>
      <c r="HA183" s="87"/>
      <c r="HB183" s="87"/>
      <c r="HC183" s="87"/>
      <c r="HD183" s="87"/>
      <c r="HE183" s="87"/>
      <c r="HF183" s="87"/>
      <c r="HG183" s="87"/>
      <c r="HH183" s="87"/>
      <c r="HI183" s="87"/>
      <c r="HJ183" s="87"/>
      <c r="HK183" s="87"/>
      <c r="HL183" s="87"/>
      <c r="HM183" s="87"/>
      <c r="HN183" s="87"/>
      <c r="HO183" s="87"/>
      <c r="HP183" s="87"/>
      <c r="HQ183" s="87"/>
      <c r="HR183" s="87"/>
      <c r="HS183" s="87"/>
      <c r="HT183" s="87"/>
      <c r="HU183" s="87"/>
      <c r="HV183" s="87"/>
      <c r="HW183" s="87"/>
      <c r="HX183" s="87"/>
      <c r="HY183" s="87"/>
      <c r="HZ183" s="87"/>
      <c r="IA183" s="87"/>
      <c r="IB183" s="87"/>
      <c r="IC183" s="87"/>
      <c r="ID183" s="87"/>
      <c r="IE183" s="87"/>
      <c r="IF183" s="87"/>
      <c r="IG183" s="87"/>
      <c r="IH183" s="87"/>
      <c r="II183" s="87"/>
      <c r="IJ183" s="87"/>
      <c r="IK183" s="87"/>
      <c r="IL183" s="87"/>
      <c r="IM183" s="87"/>
      <c r="IN183" s="87"/>
      <c r="IO183" s="87"/>
      <c r="IP183" s="87"/>
      <c r="IQ183" s="87"/>
      <c r="IR183" s="87"/>
      <c r="IS183" s="87"/>
      <c r="IT183" s="87"/>
      <c r="IU183" s="87"/>
      <c r="IV183" s="87"/>
      <c r="IW183" s="87"/>
      <c r="IX183" s="87"/>
      <c r="IY183" s="87"/>
      <c r="IZ183" s="87"/>
      <c r="JA183" s="87"/>
      <c r="JB183" s="87"/>
      <c r="JC183" s="87"/>
      <c r="JD183" s="87"/>
      <c r="JE183" s="87"/>
      <c r="JF183" s="87"/>
      <c r="JG183" s="87"/>
      <c r="JH183" s="87"/>
      <c r="JI183" s="87"/>
      <c r="JJ183" s="87"/>
      <c r="JK183" s="87"/>
      <c r="JL183" s="87"/>
      <c r="JM183" s="87"/>
      <c r="JN183" s="87"/>
      <c r="JO183" s="87"/>
      <c r="JP183" s="87"/>
      <c r="JQ183" s="87"/>
      <c r="JR183" s="87"/>
      <c r="JS183" s="87"/>
      <c r="JT183" s="87"/>
      <c r="JU183" s="87"/>
      <c r="JV183" s="87"/>
      <c r="JW183" s="87"/>
      <c r="JX183" s="87"/>
      <c r="JY183" s="87"/>
      <c r="JZ183" s="87"/>
      <c r="KA183" s="87"/>
      <c r="KB183" s="87"/>
      <c r="KC183" s="87"/>
      <c r="KD183" s="87"/>
      <c r="KE183" s="87"/>
      <c r="KF183" s="87"/>
      <c r="KG183" s="87"/>
      <c r="KH183" s="87"/>
      <c r="KI183" s="87"/>
      <c r="KJ183" s="87"/>
      <c r="KK183" s="87"/>
      <c r="KL183" s="87"/>
      <c r="KM183" s="87"/>
      <c r="KN183" s="87"/>
      <c r="KO183" s="87"/>
      <c r="KP183" s="87"/>
      <c r="KQ183" s="87"/>
      <c r="KR183" s="87"/>
      <c r="KS183" s="87"/>
      <c r="KT183" s="87"/>
      <c r="KU183" s="87"/>
      <c r="KV183" s="87"/>
      <c r="KW183" s="87"/>
      <c r="KX183" s="87"/>
      <c r="KY183" s="87"/>
      <c r="KZ183" s="87"/>
      <c r="LA183" s="87"/>
      <c r="LB183" s="87"/>
      <c r="LC183" s="87"/>
      <c r="LD183" s="87"/>
      <c r="LE183" s="87"/>
      <c r="LF183" s="87"/>
      <c r="LG183" s="87"/>
      <c r="LH183" s="87"/>
      <c r="LI183" s="87"/>
      <c r="LJ183" s="87"/>
      <c r="LK183" s="87"/>
      <c r="LL183" s="87"/>
      <c r="LM183" s="87"/>
      <c r="LN183" s="87"/>
      <c r="LO183" s="87"/>
      <c r="LP183" s="87"/>
      <c r="LQ183" s="87"/>
      <c r="LR183" s="87"/>
      <c r="LS183" s="87"/>
      <c r="LT183" s="87"/>
      <c r="LU183" s="87"/>
      <c r="LV183" s="87"/>
      <c r="LW183" s="87"/>
      <c r="LX183" s="87"/>
      <c r="LY183" s="87"/>
      <c r="LZ183" s="87"/>
      <c r="MA183" s="87"/>
      <c r="MB183" s="87"/>
      <c r="MC183" s="87"/>
      <c r="MD183" s="87"/>
      <c r="ME183" s="87"/>
      <c r="MF183" s="87"/>
      <c r="MG183" s="87"/>
      <c r="MH183" s="87"/>
      <c r="MI183" s="87"/>
      <c r="MJ183" s="87"/>
      <c r="MK183" s="87"/>
      <c r="ML183" s="87"/>
      <c r="MM183" s="87"/>
      <c r="MN183" s="87"/>
      <c r="MO183" s="87"/>
      <c r="MP183" s="87"/>
      <c r="MQ183" s="87"/>
      <c r="MR183" s="87"/>
      <c r="MS183" s="87"/>
      <c r="MT183" s="87"/>
      <c r="MU183" s="87"/>
      <c r="MV183" s="87"/>
      <c r="MW183" s="87"/>
      <c r="MX183" s="87"/>
      <c r="MY183" s="87"/>
      <c r="MZ183" s="87"/>
      <c r="NA183" s="87"/>
      <c r="NB183" s="87"/>
      <c r="NC183" s="87"/>
      <c r="ND183" s="87"/>
      <c r="NE183" s="87"/>
      <c r="NF183" s="87"/>
      <c r="NG183" s="87"/>
      <c r="NH183" s="87"/>
      <c r="NI183" s="87"/>
      <c r="NJ183" s="87"/>
      <c r="NK183" s="87"/>
      <c r="NL183" s="87"/>
      <c r="NM183" s="87"/>
      <c r="NN183" s="87"/>
      <c r="NO183" s="87"/>
      <c r="NP183" s="87"/>
      <c r="NQ183" s="87"/>
      <c r="NR183" s="87"/>
      <c r="NS183" s="87"/>
      <c r="NT183" s="87"/>
      <c r="NU183" s="87"/>
      <c r="NV183" s="87"/>
      <c r="NW183" s="87"/>
      <c r="NX183" s="87"/>
      <c r="NY183" s="87"/>
      <c r="NZ183" s="87"/>
      <c r="OA183" s="87"/>
      <c r="OB183" s="87"/>
      <c r="OC183" s="87"/>
      <c r="OD183" s="87"/>
      <c r="OE183" s="87"/>
      <c r="OF183" s="87"/>
      <c r="OG183" s="87"/>
      <c r="OH183" s="87"/>
      <c r="OI183" s="87"/>
      <c r="OJ183" s="87"/>
      <c r="OK183" s="87"/>
      <c r="OL183" s="87"/>
      <c r="OM183" s="87"/>
      <c r="ON183" s="87"/>
      <c r="OO183" s="87"/>
      <c r="OP183" s="87"/>
      <c r="OQ183" s="87"/>
      <c r="OR183" s="87"/>
      <c r="OS183" s="87"/>
      <c r="OT183" s="87"/>
      <c r="OU183" s="87"/>
      <c r="OV183" s="87"/>
      <c r="OW183" s="87"/>
      <c r="OX183" s="87"/>
      <c r="OY183" s="87"/>
      <c r="OZ183" s="87"/>
      <c r="PA183" s="87"/>
      <c r="PB183" s="87"/>
      <c r="PC183" s="87"/>
      <c r="PD183" s="87"/>
      <c r="PE183" s="87"/>
      <c r="PF183" s="87"/>
      <c r="PG183" s="87"/>
      <c r="PH183" s="87"/>
      <c r="PI183" s="87"/>
      <c r="PJ183" s="87"/>
      <c r="PK183" s="87"/>
      <c r="PL183" s="87"/>
      <c r="PM183" s="87"/>
      <c r="PN183" s="87"/>
      <c r="PO183" s="87"/>
      <c r="PP183" s="87"/>
      <c r="PQ183" s="87"/>
      <c r="PR183" s="87"/>
      <c r="PS183" s="87"/>
      <c r="PT183" s="87"/>
      <c r="PU183" s="87"/>
      <c r="PV183" s="87"/>
      <c r="PW183" s="87"/>
      <c r="PX183" s="87"/>
      <c r="PY183" s="87"/>
      <c r="PZ183" s="87"/>
      <c r="QA183" s="87"/>
      <c r="QB183" s="87"/>
      <c r="QC183" s="87"/>
      <c r="QD183" s="87"/>
      <c r="QE183" s="87"/>
      <c r="QF183" s="87"/>
      <c r="QG183" s="87"/>
      <c r="QH183" s="87"/>
      <c r="QI183" s="87"/>
      <c r="QJ183" s="87"/>
      <c r="QK183" s="87"/>
      <c r="QL183" s="87"/>
      <c r="QM183" s="87"/>
      <c r="QN183" s="87"/>
      <c r="QO183" s="87"/>
      <c r="QP183" s="87"/>
      <c r="QQ183" s="87"/>
      <c r="QR183" s="87"/>
      <c r="QS183" s="87"/>
      <c r="QT183" s="87"/>
      <c r="QU183" s="87"/>
      <c r="QV183" s="87"/>
      <c r="QW183" s="87"/>
      <c r="QX183" s="87"/>
      <c r="QY183" s="87"/>
      <c r="QZ183" s="87"/>
      <c r="RA183" s="87"/>
      <c r="RB183" s="87"/>
      <c r="RC183" s="87"/>
      <c r="RD183" s="87"/>
      <c r="RE183" s="87"/>
      <c r="RF183" s="87"/>
      <c r="RG183" s="87"/>
      <c r="RH183" s="87"/>
      <c r="RI183" s="87"/>
      <c r="RJ183" s="87"/>
      <c r="RK183" s="87"/>
      <c r="RL183" s="87"/>
      <c r="RM183" s="87"/>
      <c r="RN183" s="87"/>
      <c r="RO183" s="87"/>
      <c r="RP183" s="87"/>
      <c r="RQ183" s="87"/>
      <c r="RR183" s="87"/>
      <c r="RS183" s="87"/>
      <c r="RT183" s="87"/>
      <c r="RU183" s="87"/>
      <c r="RV183" s="87"/>
      <c r="RW183" s="87"/>
      <c r="RX183" s="87"/>
      <c r="RY183" s="87"/>
      <c r="RZ183" s="87"/>
      <c r="SA183" s="87"/>
      <c r="SB183" s="87"/>
      <c r="SC183" s="87"/>
      <c r="SD183" s="87"/>
      <c r="SE183" s="87"/>
      <c r="SF183" s="87"/>
      <c r="SG183" s="87"/>
      <c r="SH183" s="87"/>
      <c r="SI183" s="87"/>
      <c r="SJ183" s="87"/>
      <c r="SK183" s="87"/>
      <c r="SL183" s="87"/>
      <c r="SM183" s="87"/>
      <c r="SN183" s="87"/>
      <c r="SO183" s="87"/>
      <c r="SP183" s="87"/>
      <c r="SQ183" s="87"/>
      <c r="SR183" s="87"/>
      <c r="SS183" s="87"/>
      <c r="ST183" s="87"/>
      <c r="SU183" s="87"/>
      <c r="SV183" s="87"/>
      <c r="SW183" s="87"/>
      <c r="SX183" s="87"/>
      <c r="SY183" s="87"/>
      <c r="SZ183" s="87"/>
      <c r="TA183" s="87"/>
      <c r="TB183" s="87"/>
      <c r="TC183" s="87"/>
      <c r="TD183" s="87"/>
      <c r="TE183" s="87"/>
      <c r="TF183" s="87"/>
      <c r="TG183" s="87"/>
      <c r="TH183" s="87"/>
      <c r="TI183" s="87"/>
      <c r="TJ183" s="87"/>
      <c r="TK183" s="87"/>
      <c r="TL183" s="87"/>
      <c r="TM183" s="87"/>
      <c r="TN183" s="87"/>
      <c r="TO183" s="87"/>
      <c r="TP183" s="87"/>
      <c r="TQ183" s="87"/>
      <c r="TR183" s="87"/>
      <c r="TS183" s="87"/>
      <c r="TT183" s="87"/>
      <c r="TU183" s="87"/>
      <c r="TV183" s="87"/>
      <c r="TW183" s="87"/>
      <c r="TX183" s="87"/>
      <c r="TY183" s="87"/>
      <c r="TZ183" s="87"/>
      <c r="UA183" s="87"/>
      <c r="UB183" s="87"/>
      <c r="UC183" s="87"/>
      <c r="UD183" s="87"/>
      <c r="UE183" s="87"/>
      <c r="UF183" s="87"/>
      <c r="UG183" s="87"/>
      <c r="UH183" s="87"/>
      <c r="UI183" s="87"/>
      <c r="UJ183" s="87"/>
      <c r="UK183" s="87"/>
      <c r="UL183" s="87"/>
      <c r="UM183" s="87"/>
      <c r="UN183" s="87"/>
      <c r="UO183" s="87"/>
      <c r="UP183" s="87"/>
      <c r="UQ183" s="87"/>
      <c r="UR183" s="87"/>
      <c r="US183" s="87"/>
      <c r="UT183" s="87"/>
      <c r="UU183" s="87"/>
      <c r="UV183" s="87"/>
      <c r="UW183" s="87"/>
      <c r="UX183" s="87"/>
      <c r="UY183" s="87"/>
      <c r="UZ183" s="87"/>
      <c r="VA183" s="87"/>
      <c r="VB183" s="87"/>
      <c r="VC183" s="87"/>
      <c r="VD183" s="87"/>
      <c r="VE183" s="87"/>
      <c r="VF183" s="87"/>
      <c r="VG183" s="87"/>
      <c r="VH183" s="87"/>
      <c r="VI183" s="87"/>
      <c r="VJ183" s="87"/>
      <c r="VK183" s="87"/>
      <c r="VL183" s="87"/>
      <c r="VM183" s="87"/>
      <c r="VN183" s="87"/>
      <c r="VO183" s="87"/>
      <c r="VP183" s="87"/>
      <c r="VQ183" s="87"/>
      <c r="VR183" s="87"/>
      <c r="VS183" s="87"/>
      <c r="VT183" s="87"/>
      <c r="VU183" s="87"/>
      <c r="VV183" s="87"/>
      <c r="VW183" s="87"/>
      <c r="VX183" s="87"/>
      <c r="VY183" s="87"/>
      <c r="VZ183" s="87"/>
      <c r="WA183" s="87"/>
      <c r="WB183" s="87"/>
      <c r="WC183" s="87"/>
      <c r="WD183" s="87"/>
      <c r="WE183" s="87"/>
      <c r="WF183" s="87"/>
      <c r="WG183" s="87"/>
      <c r="WH183" s="87"/>
      <c r="WI183" s="87"/>
      <c r="WJ183" s="87"/>
      <c r="WK183" s="87"/>
      <c r="WL183" s="87"/>
      <c r="WM183" s="87"/>
      <c r="WN183" s="87"/>
      <c r="WO183" s="87"/>
      <c r="WP183" s="87"/>
      <c r="WQ183" s="87"/>
      <c r="WR183" s="87"/>
      <c r="WS183" s="87"/>
      <c r="WT183" s="87"/>
      <c r="WU183" s="87"/>
      <c r="WV183" s="87"/>
      <c r="WW183" s="87"/>
      <c r="WX183" s="87"/>
      <c r="WY183" s="87"/>
      <c r="WZ183" s="87"/>
      <c r="XA183" s="87"/>
      <c r="XB183" s="87"/>
      <c r="XC183" s="87"/>
      <c r="XD183" s="87"/>
      <c r="XE183" s="87"/>
      <c r="XF183" s="87"/>
      <c r="XG183" s="87"/>
      <c r="XH183" s="87"/>
      <c r="XI183" s="87"/>
      <c r="XJ183" s="87"/>
      <c r="XK183" s="87"/>
      <c r="XL183" s="87"/>
      <c r="XM183" s="87"/>
      <c r="XN183" s="87"/>
      <c r="XO183" s="87"/>
      <c r="XP183" s="87"/>
      <c r="XQ183" s="87"/>
      <c r="XR183" s="87"/>
      <c r="XS183" s="87"/>
      <c r="XT183" s="87"/>
      <c r="XU183" s="87"/>
      <c r="XV183" s="87"/>
      <c r="XW183" s="87"/>
      <c r="XX183" s="87"/>
      <c r="XY183" s="87"/>
      <c r="XZ183" s="87"/>
      <c r="YA183" s="87"/>
      <c r="YB183" s="87"/>
      <c r="YC183" s="87"/>
      <c r="YD183" s="87"/>
      <c r="YE183" s="87"/>
      <c r="YF183" s="87"/>
      <c r="YG183" s="87"/>
      <c r="YH183" s="87"/>
      <c r="YI183" s="87"/>
      <c r="YJ183" s="87"/>
      <c r="YK183" s="87"/>
      <c r="YL183" s="87"/>
      <c r="YM183" s="87"/>
      <c r="YN183" s="87"/>
      <c r="YO183" s="87"/>
      <c r="YP183" s="87"/>
      <c r="YQ183" s="87"/>
      <c r="YR183" s="87"/>
      <c r="YS183" s="87"/>
      <c r="YT183" s="87"/>
      <c r="YU183" s="87"/>
      <c r="YV183" s="87"/>
      <c r="YW183" s="87"/>
      <c r="YX183" s="87"/>
      <c r="YY183" s="87"/>
      <c r="YZ183" s="87"/>
      <c r="ZA183" s="87"/>
      <c r="ZB183" s="87"/>
      <c r="ZC183" s="87"/>
      <c r="ZD183" s="87"/>
      <c r="ZE183" s="87"/>
      <c r="ZF183" s="87"/>
      <c r="ZG183" s="87"/>
      <c r="ZH183" s="87"/>
      <c r="ZI183" s="87"/>
      <c r="ZJ183" s="87"/>
      <c r="ZK183" s="87"/>
      <c r="ZL183" s="87"/>
      <c r="ZM183" s="87"/>
      <c r="ZN183" s="87"/>
      <c r="ZO183" s="87"/>
      <c r="ZP183" s="87"/>
      <c r="ZQ183" s="87"/>
      <c r="ZR183" s="87"/>
      <c r="ZS183" s="87"/>
      <c r="ZT183" s="87"/>
      <c r="ZU183" s="87"/>
      <c r="ZV183" s="87"/>
      <c r="ZW183" s="87"/>
      <c r="ZX183" s="87"/>
      <c r="ZY183" s="87"/>
      <c r="ZZ183" s="87"/>
      <c r="AAA183" s="87"/>
      <c r="AAB183" s="87"/>
      <c r="AAC183" s="87"/>
      <c r="AAD183" s="87"/>
      <c r="AAE183" s="87"/>
      <c r="AAF183" s="87"/>
      <c r="AAG183" s="87"/>
      <c r="AAH183" s="87"/>
      <c r="AAI183" s="87"/>
      <c r="AAJ183" s="87"/>
      <c r="AAK183" s="87"/>
      <c r="AAL183" s="87"/>
      <c r="AAM183" s="87"/>
      <c r="AAN183" s="87"/>
      <c r="AAO183" s="87"/>
      <c r="AAP183" s="87"/>
      <c r="AAQ183" s="87"/>
      <c r="AAR183" s="87"/>
      <c r="AAS183" s="87"/>
      <c r="AAT183" s="87"/>
      <c r="AAU183" s="87"/>
      <c r="AAV183" s="87"/>
      <c r="AAW183" s="87"/>
      <c r="AAX183" s="87"/>
      <c r="AAY183" s="87"/>
      <c r="AAZ183" s="87"/>
      <c r="ABA183" s="87"/>
      <c r="ABB183" s="87"/>
      <c r="ABC183" s="87"/>
      <c r="ABD183" s="87"/>
      <c r="ABE183" s="87"/>
      <c r="ABF183" s="87"/>
      <c r="ABG183" s="87"/>
      <c r="ABH183" s="87"/>
      <c r="ABI183" s="87"/>
      <c r="ABJ183" s="87"/>
      <c r="ABK183" s="87"/>
      <c r="ABL183" s="87"/>
      <c r="ABM183" s="87"/>
      <c r="ABN183" s="87"/>
      <c r="ABO183" s="87"/>
      <c r="ABP183" s="87"/>
      <c r="ABQ183" s="87"/>
      <c r="ABR183" s="87"/>
      <c r="ABS183" s="87"/>
      <c r="ABT183" s="87"/>
      <c r="ABU183" s="87"/>
      <c r="ABV183" s="87"/>
      <c r="ABW183" s="87"/>
      <c r="ABX183" s="87"/>
      <c r="ABY183" s="87"/>
      <c r="ABZ183" s="87"/>
      <c r="ACA183" s="87"/>
      <c r="ACB183" s="87"/>
      <c r="ACC183" s="87"/>
      <c r="ACD183" s="87"/>
      <c r="ACE183" s="87"/>
      <c r="ACF183" s="87"/>
      <c r="ACG183" s="87"/>
      <c r="ACH183" s="87"/>
      <c r="ACI183" s="87"/>
      <c r="ACJ183" s="87"/>
      <c r="ACK183" s="87"/>
      <c r="ACL183" s="87"/>
      <c r="ACM183" s="87"/>
      <c r="ACN183" s="87"/>
      <c r="ACO183" s="87"/>
      <c r="ACP183" s="87"/>
      <c r="ACQ183" s="87"/>
      <c r="ACR183" s="87"/>
      <c r="ACS183" s="87"/>
      <c r="ACT183" s="87"/>
      <c r="ACU183" s="87"/>
      <c r="ACV183" s="87"/>
      <c r="ACW183" s="87"/>
      <c r="ACX183" s="87"/>
      <c r="ACY183" s="87"/>
      <c r="ACZ183" s="87"/>
      <c r="ADA183" s="87"/>
      <c r="ADB183" s="87"/>
      <c r="ADC183" s="87"/>
      <c r="ADD183" s="87"/>
      <c r="ADE183" s="87"/>
      <c r="ADF183" s="87"/>
      <c r="ADG183" s="87"/>
      <c r="ADH183" s="87"/>
      <c r="ADI183" s="87"/>
      <c r="ADJ183" s="87"/>
      <c r="ADK183" s="87"/>
      <c r="ADL183" s="87"/>
      <c r="ADM183" s="87"/>
      <c r="ADN183" s="87"/>
      <c r="ADO183" s="87"/>
      <c r="ADP183" s="87"/>
      <c r="ADQ183" s="87"/>
      <c r="ADR183" s="87"/>
      <c r="ADS183" s="87"/>
      <c r="ADT183" s="87"/>
      <c r="ADU183" s="87"/>
      <c r="ADV183" s="87"/>
      <c r="ADW183" s="87"/>
      <c r="ADX183" s="87"/>
      <c r="ADY183" s="87"/>
      <c r="ADZ183" s="87"/>
      <c r="AEA183" s="87"/>
      <c r="AEB183" s="87"/>
      <c r="AEC183" s="87"/>
      <c r="AED183" s="87"/>
      <c r="AEE183" s="87"/>
      <c r="AEF183" s="87"/>
      <c r="AEG183" s="87"/>
      <c r="AEH183" s="87"/>
      <c r="AEI183" s="87"/>
      <c r="AEJ183" s="87"/>
      <c r="AEK183" s="87"/>
      <c r="AEL183" s="87"/>
      <c r="AEM183" s="87"/>
      <c r="AEN183" s="87"/>
      <c r="AEO183" s="87"/>
      <c r="AEP183" s="87"/>
      <c r="AEQ183" s="87"/>
      <c r="AER183" s="87"/>
      <c r="AES183" s="87"/>
      <c r="AET183" s="87"/>
      <c r="AEU183" s="87"/>
      <c r="AEV183" s="87"/>
      <c r="AEW183" s="87"/>
      <c r="AEX183" s="87"/>
      <c r="AEY183" s="87"/>
      <c r="AEZ183" s="87"/>
      <c r="AFA183" s="87"/>
      <c r="AFB183" s="87"/>
      <c r="AFC183" s="87"/>
      <c r="AFD183" s="87"/>
      <c r="AFE183" s="87"/>
      <c r="AFF183" s="87"/>
      <c r="AFG183" s="87"/>
      <c r="AFH183" s="87"/>
      <c r="AFI183" s="87"/>
      <c r="AFJ183" s="87"/>
      <c r="AFK183" s="87"/>
      <c r="AFL183" s="87"/>
      <c r="AFM183" s="87"/>
      <c r="AFN183" s="87"/>
      <c r="AFO183" s="87"/>
      <c r="AFP183" s="87"/>
      <c r="AFQ183" s="87"/>
      <c r="AFR183" s="87"/>
      <c r="AFS183" s="87"/>
      <c r="AFT183" s="87"/>
      <c r="AFU183" s="87"/>
      <c r="AFV183" s="87"/>
      <c r="AFW183" s="87"/>
      <c r="AFX183" s="87"/>
      <c r="AFY183" s="87"/>
      <c r="AFZ183" s="87"/>
      <c r="AGA183" s="87"/>
      <c r="AGB183" s="87"/>
      <c r="AGC183" s="87"/>
      <c r="AGD183" s="87"/>
      <c r="AGE183" s="87"/>
      <c r="AGF183" s="87"/>
      <c r="AGG183" s="87"/>
      <c r="AGH183" s="87"/>
      <c r="AGI183" s="87"/>
      <c r="AGJ183" s="87"/>
      <c r="AGK183" s="87"/>
      <c r="AGL183" s="87"/>
      <c r="AGM183" s="87"/>
      <c r="AGN183" s="87"/>
      <c r="AGO183" s="87"/>
      <c r="AGP183" s="87"/>
      <c r="AGQ183" s="87"/>
      <c r="AGR183" s="87"/>
      <c r="AGS183" s="87"/>
      <c r="AGT183" s="87"/>
      <c r="AGU183" s="87"/>
      <c r="AGV183" s="87"/>
      <c r="AGW183" s="87"/>
      <c r="AGX183" s="87"/>
      <c r="AGY183" s="87"/>
      <c r="AGZ183" s="87"/>
      <c r="AHA183" s="87"/>
      <c r="AHB183" s="87"/>
      <c r="AHC183" s="87"/>
      <c r="AHD183" s="87"/>
      <c r="AHE183" s="87"/>
      <c r="AHF183" s="87"/>
      <c r="AHG183" s="87"/>
      <c r="AHH183" s="87"/>
      <c r="AHI183" s="87"/>
      <c r="AHJ183" s="87"/>
      <c r="AHK183" s="87"/>
      <c r="AHL183" s="87"/>
      <c r="AHM183" s="87"/>
      <c r="AHN183" s="87"/>
      <c r="AHO183" s="87"/>
      <c r="AHP183" s="87"/>
      <c r="AHQ183" s="87"/>
      <c r="AHR183" s="87"/>
      <c r="AHS183" s="87"/>
      <c r="AHT183" s="87"/>
      <c r="AHU183" s="87"/>
      <c r="AHV183" s="87"/>
      <c r="AHW183" s="87"/>
      <c r="AHX183" s="87"/>
      <c r="AHY183" s="87"/>
      <c r="AHZ183" s="87"/>
      <c r="AIA183" s="87"/>
      <c r="AIB183" s="87"/>
      <c r="AIC183" s="87"/>
      <c r="AID183" s="87"/>
      <c r="AIE183" s="87"/>
      <c r="AIF183" s="87"/>
      <c r="AIG183" s="87"/>
      <c r="AIH183" s="87"/>
      <c r="AII183" s="87"/>
      <c r="AIJ183" s="87"/>
      <c r="AIK183" s="87"/>
      <c r="AIL183" s="87"/>
      <c r="AIM183" s="87"/>
      <c r="AIN183" s="87"/>
      <c r="AIO183" s="87"/>
      <c r="AIP183" s="87"/>
      <c r="AIQ183" s="87"/>
      <c r="AIR183" s="87"/>
      <c r="AIS183" s="87"/>
      <c r="AIT183" s="87"/>
      <c r="AIU183" s="87"/>
      <c r="AIV183" s="87"/>
      <c r="AIW183" s="87"/>
      <c r="AIX183" s="87"/>
      <c r="AIY183" s="87"/>
      <c r="AIZ183" s="87"/>
      <c r="AJA183" s="87"/>
      <c r="AJB183" s="87"/>
      <c r="AJC183" s="87"/>
      <c r="AJD183" s="87"/>
      <c r="AJE183" s="87"/>
      <c r="AJF183" s="87"/>
      <c r="AJG183" s="87"/>
      <c r="AJH183" s="87"/>
      <c r="AJI183" s="87"/>
      <c r="AJJ183" s="87"/>
      <c r="AJK183" s="87"/>
      <c r="AJL183" s="87"/>
      <c r="AJM183" s="87"/>
      <c r="AJN183" s="87"/>
      <c r="AJO183" s="87"/>
      <c r="AJP183" s="87"/>
      <c r="AJQ183" s="87"/>
      <c r="AJR183" s="87"/>
      <c r="AJS183" s="87"/>
      <c r="AJT183" s="87"/>
      <c r="AJU183" s="87"/>
      <c r="AJV183" s="87"/>
      <c r="AJW183" s="87"/>
      <c r="AJX183" s="87"/>
      <c r="AJY183" s="87"/>
      <c r="AJZ183" s="87"/>
      <c r="AKA183" s="87"/>
      <c r="AKB183" s="87"/>
      <c r="AKC183" s="87"/>
      <c r="AKD183" s="87"/>
      <c r="AKE183" s="87"/>
      <c r="AKF183" s="87"/>
      <c r="AKG183" s="87"/>
      <c r="AKH183" s="87"/>
      <c r="AKI183" s="87"/>
      <c r="AKJ183" s="87"/>
      <c r="AKK183" s="87"/>
      <c r="AKL183" s="87"/>
      <c r="AKM183" s="87"/>
      <c r="AKN183" s="87"/>
      <c r="AKO183" s="87"/>
      <c r="AKP183" s="87"/>
      <c r="AKQ183" s="87"/>
      <c r="AKR183" s="87"/>
      <c r="AKS183" s="87"/>
      <c r="AKT183" s="87"/>
      <c r="AKU183" s="87"/>
      <c r="AKV183" s="87"/>
      <c r="AKW183" s="87"/>
      <c r="AKX183" s="87"/>
      <c r="AKY183" s="87"/>
      <c r="AKZ183" s="87"/>
      <c r="ALA183" s="87"/>
      <c r="ALB183" s="87"/>
      <c r="ALC183" s="87"/>
      <c r="ALD183" s="87"/>
      <c r="ALE183" s="87"/>
      <c r="ALF183" s="87"/>
      <c r="ALG183" s="87"/>
      <c r="ALH183" s="87"/>
      <c r="ALI183" s="87"/>
      <c r="ALJ183" s="87"/>
      <c r="ALK183" s="87"/>
      <c r="ALL183" s="87"/>
      <c r="ALM183" s="87"/>
      <c r="ALN183" s="87"/>
      <c r="ALO183" s="87"/>
      <c r="ALP183" s="87"/>
      <c r="ALQ183" s="87"/>
      <c r="ALR183" s="87"/>
      <c r="ALS183" s="87"/>
      <c r="ALT183" s="87"/>
      <c r="ALU183" s="87"/>
      <c r="ALV183" s="87"/>
      <c r="ALW183" s="87"/>
      <c r="ALX183" s="87"/>
      <c r="ALY183" s="87"/>
      <c r="ALZ183" s="87"/>
      <c r="AMA183" s="87"/>
      <c r="AMB183" s="87"/>
      <c r="AMC183" s="87"/>
      <c r="AMD183" s="87"/>
      <c r="AME183" s="87"/>
      <c r="AMF183" s="87"/>
      <c r="AMG183" s="87"/>
      <c r="AMH183" s="87"/>
      <c r="AMI183" s="87"/>
      <c r="AMJ183" s="87"/>
      <c r="AMK183" s="87"/>
      <c r="AML183" s="87"/>
      <c r="AMM183" s="87"/>
      <c r="AMN183" s="87"/>
      <c r="AMO183" s="87"/>
      <c r="AMP183" s="87"/>
      <c r="AMQ183" s="87"/>
      <c r="AMR183" s="87"/>
      <c r="AMS183" s="87"/>
      <c r="AMT183" s="87"/>
      <c r="AMU183" s="87"/>
      <c r="AMV183" s="87"/>
      <c r="AMW183" s="87"/>
      <c r="AMX183" s="87"/>
      <c r="AMY183" s="87"/>
      <c r="AMZ183" s="87"/>
      <c r="ANA183" s="87"/>
      <c r="ANB183" s="87"/>
      <c r="ANC183" s="87"/>
      <c r="AND183" s="87"/>
      <c r="ANE183" s="87"/>
      <c r="ANF183" s="87"/>
      <c r="ANG183" s="87"/>
      <c r="ANH183" s="87"/>
      <c r="ANI183" s="87"/>
      <c r="ANJ183" s="87"/>
      <c r="ANK183" s="87"/>
      <c r="ANL183" s="87"/>
      <c r="ANM183" s="87"/>
      <c r="ANN183" s="87"/>
      <c r="ANO183" s="87"/>
      <c r="ANP183" s="87"/>
      <c r="ANQ183" s="87"/>
      <c r="ANR183" s="87"/>
      <c r="ANS183" s="87"/>
      <c r="ANT183" s="87"/>
      <c r="ANU183" s="87"/>
      <c r="ANV183" s="87"/>
      <c r="ANW183" s="87"/>
      <c r="ANX183" s="87"/>
      <c r="ANY183" s="87"/>
      <c r="ANZ183" s="87"/>
      <c r="AOA183" s="87"/>
      <c r="AOB183" s="87"/>
      <c r="AOC183" s="87"/>
      <c r="AOD183" s="87"/>
      <c r="AOE183" s="87"/>
      <c r="AOF183" s="87"/>
      <c r="AOG183" s="87"/>
      <c r="AOH183" s="87"/>
      <c r="AOI183" s="87"/>
      <c r="AOJ183" s="87"/>
      <c r="AOK183" s="87"/>
      <c r="AOL183" s="87"/>
      <c r="AOM183" s="87"/>
      <c r="AON183" s="87"/>
      <c r="AOO183" s="87"/>
      <c r="AOP183" s="87"/>
      <c r="AOQ183" s="87"/>
      <c r="AOR183" s="87"/>
      <c r="AOS183" s="87"/>
      <c r="AOT183" s="87"/>
      <c r="AOU183" s="87"/>
      <c r="AOV183" s="87"/>
      <c r="AOW183" s="87"/>
      <c r="AOX183" s="87"/>
      <c r="AOY183" s="87"/>
      <c r="AOZ183" s="87"/>
      <c r="APA183" s="87"/>
      <c r="APB183" s="87"/>
      <c r="APC183" s="87"/>
      <c r="APD183" s="87"/>
      <c r="APE183" s="87"/>
      <c r="APF183" s="87"/>
      <c r="APG183" s="87"/>
      <c r="APH183" s="87"/>
      <c r="API183" s="87"/>
      <c r="APJ183" s="87"/>
      <c r="APK183" s="87"/>
      <c r="APL183" s="87"/>
      <c r="APM183" s="87"/>
      <c r="APN183" s="87"/>
      <c r="APO183" s="87"/>
      <c r="APP183" s="87"/>
      <c r="APQ183" s="87"/>
      <c r="APR183" s="87"/>
      <c r="APS183" s="87"/>
      <c r="APT183" s="87"/>
      <c r="APU183" s="87"/>
      <c r="APV183" s="87"/>
      <c r="APW183" s="87"/>
      <c r="APX183" s="87"/>
      <c r="APY183" s="87"/>
      <c r="APZ183" s="87"/>
      <c r="AQA183" s="87"/>
      <c r="AQB183" s="87"/>
      <c r="AQC183" s="87"/>
      <c r="AQD183" s="87"/>
      <c r="AQE183" s="87"/>
      <c r="AQF183" s="87"/>
      <c r="AQG183" s="87"/>
      <c r="AQH183" s="87"/>
      <c r="AQI183" s="87"/>
      <c r="AQJ183" s="87"/>
      <c r="AQK183" s="87"/>
      <c r="AQL183" s="87"/>
      <c r="AQM183" s="87"/>
      <c r="AQN183" s="87"/>
      <c r="AQO183" s="87"/>
      <c r="AQP183" s="87"/>
      <c r="AQQ183" s="87"/>
      <c r="AQR183" s="87"/>
      <c r="AQS183" s="87"/>
      <c r="AQT183" s="87"/>
      <c r="AQU183" s="87"/>
      <c r="AQV183" s="87"/>
      <c r="AQW183" s="87"/>
      <c r="AQX183" s="87"/>
      <c r="AQY183" s="87"/>
      <c r="AQZ183" s="87"/>
      <c r="ARA183" s="87"/>
      <c r="ARB183" s="87"/>
      <c r="ARC183" s="87"/>
      <c r="ARD183" s="87"/>
      <c r="ARE183" s="87"/>
      <c r="ARF183" s="87"/>
      <c r="ARG183" s="87"/>
      <c r="ARH183" s="87"/>
      <c r="ARI183" s="87"/>
      <c r="ARJ183" s="87"/>
      <c r="ARK183" s="87"/>
      <c r="ARL183" s="87"/>
      <c r="ARM183" s="87"/>
      <c r="ARN183" s="87"/>
      <c r="ARO183" s="87"/>
      <c r="ARP183" s="87"/>
      <c r="ARQ183" s="87"/>
      <c r="ARR183" s="87"/>
      <c r="ARS183" s="87"/>
      <c r="ART183" s="87"/>
      <c r="ARU183" s="87"/>
      <c r="ARV183" s="87"/>
      <c r="ARW183" s="87"/>
      <c r="ARX183" s="87"/>
      <c r="ARY183" s="87"/>
      <c r="ARZ183" s="87"/>
      <c r="ASA183" s="87"/>
      <c r="ASB183" s="87"/>
      <c r="ASC183" s="87"/>
      <c r="ASD183" s="87"/>
      <c r="ASE183" s="87"/>
      <c r="ASF183" s="87"/>
      <c r="ASG183" s="87"/>
      <c r="ASH183" s="87"/>
      <c r="ASI183" s="87"/>
      <c r="ASJ183" s="87"/>
      <c r="ASK183" s="87"/>
      <c r="ASL183" s="87"/>
      <c r="ASM183" s="87"/>
      <c r="ASN183" s="87"/>
      <c r="ASO183" s="87"/>
      <c r="ASP183" s="87"/>
      <c r="ASQ183" s="87"/>
      <c r="ASR183" s="87"/>
      <c r="ASS183" s="87"/>
      <c r="AST183" s="87"/>
      <c r="ASU183" s="87"/>
      <c r="ASV183" s="87"/>
      <c r="ASW183" s="87"/>
      <c r="ASX183" s="87"/>
      <c r="ASY183" s="87"/>
      <c r="ASZ183" s="87"/>
      <c r="ATA183" s="87"/>
      <c r="ATB183" s="87"/>
      <c r="ATC183" s="87"/>
      <c r="ATD183" s="87"/>
      <c r="ATE183" s="87"/>
      <c r="ATF183" s="87"/>
      <c r="ATG183" s="87"/>
      <c r="ATH183" s="87"/>
      <c r="ATI183" s="87"/>
      <c r="ATJ183" s="87"/>
      <c r="ATK183" s="87"/>
      <c r="ATL183" s="87"/>
      <c r="ATM183" s="87"/>
      <c r="ATN183" s="87"/>
      <c r="ATO183" s="87"/>
      <c r="ATP183" s="87"/>
      <c r="ATQ183" s="87"/>
      <c r="ATR183" s="87"/>
      <c r="ATS183" s="87"/>
      <c r="ATT183" s="87"/>
      <c r="ATU183" s="87"/>
      <c r="ATV183" s="87"/>
      <c r="ATW183" s="87"/>
      <c r="ATX183" s="87"/>
      <c r="ATY183" s="87"/>
      <c r="ATZ183" s="87"/>
      <c r="AUA183" s="87"/>
      <c r="AUB183" s="87"/>
      <c r="AUC183" s="87"/>
      <c r="AUD183" s="87"/>
      <c r="AUE183" s="87"/>
      <c r="AUF183" s="87"/>
      <c r="AUG183" s="87"/>
      <c r="AUH183" s="87"/>
      <c r="AUI183" s="87"/>
      <c r="AUJ183" s="87"/>
      <c r="AUK183" s="87"/>
      <c r="AUL183" s="87"/>
      <c r="AUM183" s="87"/>
      <c r="AUN183" s="87"/>
      <c r="AUO183" s="87"/>
      <c r="AUP183" s="87"/>
      <c r="AUQ183" s="87"/>
      <c r="AUR183" s="87"/>
      <c r="AUS183" s="87"/>
      <c r="AUT183" s="87"/>
      <c r="AUU183" s="87"/>
      <c r="AUV183" s="87"/>
      <c r="AUW183" s="87"/>
      <c r="AUX183" s="87"/>
      <c r="AUY183" s="87"/>
      <c r="AUZ183" s="87"/>
      <c r="AVA183" s="87"/>
      <c r="AVB183" s="87"/>
      <c r="AVC183" s="87"/>
      <c r="AVD183" s="87"/>
      <c r="AVE183" s="87"/>
      <c r="AVF183" s="87"/>
      <c r="AVG183" s="87"/>
      <c r="AVH183" s="87"/>
      <c r="AVI183" s="87"/>
      <c r="AVJ183" s="87"/>
      <c r="AVK183" s="87"/>
      <c r="AVL183" s="87"/>
      <c r="AVM183" s="87"/>
      <c r="AVN183" s="87"/>
      <c r="AVO183" s="87"/>
      <c r="AVP183" s="87"/>
      <c r="AVQ183" s="87"/>
      <c r="AVR183" s="87"/>
      <c r="AVS183" s="87"/>
      <c r="AVT183" s="87"/>
      <c r="AVU183" s="87"/>
      <c r="AVV183" s="87"/>
      <c r="AVW183" s="87"/>
      <c r="AVX183" s="87"/>
      <c r="AVY183" s="87"/>
      <c r="AVZ183" s="87"/>
      <c r="AWA183" s="87"/>
      <c r="AWB183" s="87"/>
      <c r="AWC183" s="87"/>
      <c r="AWD183" s="87"/>
      <c r="AWE183" s="87"/>
      <c r="AWF183" s="87"/>
      <c r="AWG183" s="87"/>
      <c r="AWH183" s="87"/>
      <c r="AWI183" s="87"/>
      <c r="AWJ183" s="87"/>
      <c r="AWK183" s="87"/>
      <c r="AWL183" s="87"/>
      <c r="AWM183" s="87"/>
      <c r="AWN183" s="87"/>
      <c r="AWO183" s="87"/>
      <c r="AWP183" s="87"/>
      <c r="AWQ183" s="87"/>
      <c r="AWR183" s="87"/>
      <c r="AWS183" s="87"/>
      <c r="AWT183" s="87"/>
      <c r="AWU183" s="87"/>
      <c r="AWV183" s="87"/>
      <c r="AWW183" s="87"/>
      <c r="AWX183" s="87"/>
      <c r="AWY183" s="87"/>
      <c r="AWZ183" s="87"/>
      <c r="AXA183" s="87"/>
      <c r="AXB183" s="87"/>
      <c r="AXC183" s="87"/>
      <c r="AXD183" s="87"/>
      <c r="AXE183" s="87"/>
      <c r="AXF183" s="87"/>
      <c r="AXG183" s="87"/>
      <c r="AXH183" s="87"/>
      <c r="AXI183" s="87"/>
      <c r="AXJ183" s="87"/>
      <c r="AXK183" s="87"/>
      <c r="AXL183" s="87"/>
      <c r="AXM183" s="87"/>
      <c r="AXN183" s="87"/>
      <c r="AXO183" s="87"/>
      <c r="AXP183" s="87"/>
      <c r="AXQ183" s="87"/>
      <c r="AXR183" s="87"/>
      <c r="AXS183" s="87"/>
      <c r="AXT183" s="87"/>
      <c r="AXU183" s="87"/>
      <c r="AXV183" s="87"/>
      <c r="AXW183" s="87"/>
      <c r="AXX183" s="87"/>
      <c r="AXY183" s="87"/>
      <c r="AXZ183" s="87"/>
      <c r="AYA183" s="87"/>
      <c r="AYB183" s="87"/>
      <c r="AYC183" s="87"/>
      <c r="AYD183" s="87"/>
      <c r="AYE183" s="87"/>
      <c r="AYF183" s="87"/>
      <c r="AYG183" s="87"/>
      <c r="AYH183" s="87"/>
      <c r="AYI183" s="87"/>
      <c r="AYJ183" s="87"/>
      <c r="AYK183" s="87"/>
      <c r="AYL183" s="87"/>
      <c r="AYM183" s="87"/>
      <c r="AYN183" s="87"/>
      <c r="AYO183" s="87"/>
      <c r="AYP183" s="87"/>
      <c r="AYQ183" s="87"/>
      <c r="AYR183" s="87"/>
      <c r="AYS183" s="87"/>
      <c r="AYT183" s="87"/>
      <c r="AYU183" s="87"/>
      <c r="AYV183" s="87"/>
      <c r="AYW183" s="87"/>
      <c r="AYX183" s="87"/>
      <c r="AYY183" s="87"/>
      <c r="AYZ183" s="87"/>
      <c r="AZA183" s="87"/>
      <c r="AZB183" s="87"/>
      <c r="AZC183" s="87"/>
      <c r="AZD183" s="87"/>
      <c r="AZE183" s="87"/>
      <c r="AZF183" s="87"/>
      <c r="AZG183" s="87"/>
      <c r="AZH183" s="87"/>
      <c r="AZI183" s="87"/>
      <c r="AZJ183" s="87"/>
      <c r="AZK183" s="87"/>
      <c r="AZL183" s="87"/>
      <c r="AZM183" s="87"/>
      <c r="AZN183" s="87"/>
      <c r="AZO183" s="87"/>
      <c r="AZP183" s="87"/>
      <c r="AZQ183" s="87"/>
      <c r="AZR183" s="87"/>
      <c r="AZS183" s="87"/>
      <c r="AZT183" s="87"/>
      <c r="AZU183" s="87"/>
      <c r="AZV183" s="87"/>
      <c r="AZW183" s="87"/>
      <c r="AZX183" s="87"/>
      <c r="AZY183" s="87"/>
      <c r="AZZ183" s="87"/>
      <c r="BAA183" s="87"/>
      <c r="BAB183" s="87"/>
      <c r="BAC183" s="87"/>
      <c r="BAD183" s="87"/>
      <c r="BAE183" s="87"/>
      <c r="BAF183" s="87"/>
      <c r="BAG183" s="87"/>
      <c r="BAH183" s="87"/>
      <c r="BAI183" s="87"/>
      <c r="BAJ183" s="87"/>
      <c r="BAK183" s="87"/>
      <c r="BAL183" s="87"/>
      <c r="BAM183" s="87"/>
      <c r="BAN183" s="87"/>
      <c r="BAO183" s="87"/>
      <c r="BAP183" s="87"/>
      <c r="BAQ183" s="87"/>
      <c r="BAR183" s="87"/>
      <c r="BAS183" s="87"/>
      <c r="BAT183" s="87"/>
      <c r="BAU183" s="87"/>
      <c r="BAV183" s="87"/>
      <c r="BAW183" s="87"/>
      <c r="BAX183" s="87"/>
      <c r="BAY183" s="87"/>
      <c r="BAZ183" s="87"/>
      <c r="BBA183" s="87"/>
      <c r="BBB183" s="87"/>
      <c r="BBC183" s="87"/>
      <c r="BBD183" s="87"/>
      <c r="BBE183" s="87"/>
      <c r="BBF183" s="87"/>
      <c r="BBG183" s="87"/>
      <c r="BBH183" s="87"/>
      <c r="BBI183" s="87"/>
      <c r="BBJ183" s="87"/>
      <c r="BBK183" s="87"/>
      <c r="BBL183" s="87"/>
      <c r="BBM183" s="87"/>
      <c r="BBN183" s="87"/>
      <c r="BBO183" s="87"/>
      <c r="BBP183" s="87"/>
      <c r="BBQ183" s="87"/>
      <c r="BBR183" s="87"/>
      <c r="BBS183" s="87"/>
      <c r="BBT183" s="87"/>
      <c r="BBU183" s="87"/>
      <c r="BBV183" s="87"/>
      <c r="BBW183" s="87"/>
      <c r="BBX183" s="87"/>
      <c r="BBY183" s="87"/>
      <c r="BBZ183" s="87"/>
      <c r="BCA183" s="87"/>
      <c r="BCB183" s="87"/>
      <c r="BCC183" s="87"/>
      <c r="BCD183" s="87"/>
      <c r="BCE183" s="87"/>
      <c r="BCF183" s="87"/>
      <c r="BCG183" s="87"/>
      <c r="BCH183" s="87"/>
      <c r="BCI183" s="87"/>
      <c r="BCJ183" s="87"/>
      <c r="BCK183" s="87"/>
      <c r="BCL183" s="87"/>
      <c r="BCM183" s="87"/>
      <c r="BCN183" s="87"/>
      <c r="BCO183" s="87"/>
      <c r="BCP183" s="87"/>
      <c r="BCQ183" s="87"/>
      <c r="BCR183" s="87"/>
      <c r="BCS183" s="87"/>
      <c r="BCT183" s="87"/>
      <c r="BCU183" s="87"/>
      <c r="BCV183" s="87"/>
      <c r="BCW183" s="87"/>
      <c r="BCX183" s="87"/>
      <c r="BCY183" s="87"/>
      <c r="BCZ183" s="87"/>
      <c r="BDA183" s="87"/>
      <c r="BDB183" s="87"/>
      <c r="BDC183" s="87"/>
      <c r="BDD183" s="87"/>
      <c r="BDE183" s="87"/>
      <c r="BDF183" s="87"/>
      <c r="BDG183" s="87"/>
      <c r="BDH183" s="87"/>
      <c r="BDI183" s="87"/>
      <c r="BDJ183" s="87"/>
      <c r="BDK183" s="87"/>
      <c r="BDL183" s="87"/>
      <c r="BDM183" s="87"/>
      <c r="BDN183" s="87"/>
      <c r="BDO183" s="87"/>
      <c r="BDP183" s="87"/>
      <c r="BDQ183" s="87"/>
      <c r="BDR183" s="87"/>
      <c r="BDS183" s="87"/>
      <c r="BDT183" s="87"/>
      <c r="BDU183" s="87"/>
      <c r="BDV183" s="87"/>
      <c r="BDW183" s="87"/>
      <c r="BDX183" s="87"/>
      <c r="BDY183" s="87"/>
      <c r="BDZ183" s="87"/>
      <c r="BEA183" s="87"/>
      <c r="BEB183" s="87"/>
      <c r="BEC183" s="87"/>
      <c r="BED183" s="87"/>
      <c r="BEE183" s="87"/>
      <c r="BEF183" s="87"/>
      <c r="BEG183" s="87"/>
      <c r="BEH183" s="87"/>
      <c r="BEI183" s="87"/>
      <c r="BEJ183" s="87"/>
      <c r="BEK183" s="87"/>
      <c r="BEL183" s="87"/>
      <c r="BEM183" s="87"/>
      <c r="BEN183" s="87"/>
      <c r="BEO183" s="87"/>
      <c r="BEP183" s="87"/>
      <c r="BEQ183" s="87"/>
      <c r="BER183" s="87"/>
      <c r="BES183" s="87"/>
      <c r="BET183" s="87"/>
      <c r="BEU183" s="87"/>
      <c r="BEV183" s="87"/>
      <c r="BEW183" s="87"/>
      <c r="BEX183" s="87"/>
      <c r="BEY183" s="87"/>
      <c r="BEZ183" s="87"/>
      <c r="BFA183" s="87"/>
      <c r="BFB183" s="87"/>
      <c r="BFC183" s="87"/>
      <c r="BFD183" s="87"/>
      <c r="BFE183" s="87"/>
      <c r="BFF183" s="87"/>
      <c r="BFG183" s="87"/>
      <c r="BFH183" s="87"/>
      <c r="BFI183" s="87"/>
      <c r="BFJ183" s="87"/>
      <c r="BFK183" s="87"/>
      <c r="BFL183" s="87"/>
      <c r="BFM183" s="87"/>
      <c r="BFN183" s="87"/>
      <c r="BFO183" s="87"/>
      <c r="BFP183" s="87"/>
      <c r="BFQ183" s="87"/>
      <c r="BFR183" s="87"/>
      <c r="BFS183" s="87"/>
      <c r="BFT183" s="87"/>
      <c r="BFU183" s="87"/>
      <c r="BFV183" s="87"/>
      <c r="BFW183" s="87"/>
      <c r="BFX183" s="87"/>
      <c r="BFY183" s="87"/>
      <c r="BFZ183" s="87"/>
      <c r="BGA183" s="87"/>
      <c r="BGB183" s="87"/>
      <c r="BGC183" s="87"/>
      <c r="BGD183" s="87"/>
      <c r="BGE183" s="87"/>
      <c r="BGF183" s="87"/>
      <c r="BGG183" s="87"/>
      <c r="BGH183" s="87"/>
      <c r="BGI183" s="87"/>
      <c r="BGJ183" s="87"/>
      <c r="BGK183" s="87"/>
      <c r="BGL183" s="87"/>
      <c r="BGM183" s="87"/>
      <c r="BGN183" s="87"/>
      <c r="BGO183" s="87"/>
      <c r="BGP183" s="87"/>
      <c r="BGQ183" s="87"/>
      <c r="BGR183" s="87"/>
      <c r="BGS183" s="87"/>
      <c r="BGT183" s="87"/>
      <c r="BGU183" s="87"/>
      <c r="BGV183" s="87"/>
      <c r="BGW183" s="87"/>
      <c r="BGX183" s="87"/>
      <c r="BGY183" s="87"/>
      <c r="BGZ183" s="87"/>
      <c r="BHA183" s="87"/>
      <c r="BHB183" s="87"/>
      <c r="BHC183" s="87"/>
      <c r="BHD183" s="87"/>
      <c r="BHE183" s="87"/>
      <c r="BHF183" s="87"/>
      <c r="BHG183" s="87"/>
      <c r="BHH183" s="87"/>
      <c r="BHI183" s="87"/>
      <c r="BHJ183" s="87"/>
      <c r="BHK183" s="87"/>
      <c r="BHL183" s="87"/>
      <c r="BHM183" s="87"/>
      <c r="BHN183" s="87"/>
      <c r="BHO183" s="87"/>
      <c r="BHP183" s="87"/>
      <c r="BHQ183" s="87"/>
      <c r="BHR183" s="87"/>
      <c r="BHS183" s="87"/>
      <c r="BHT183" s="87"/>
      <c r="BHU183" s="87"/>
      <c r="BHV183" s="87"/>
      <c r="BHW183" s="87"/>
      <c r="BHX183" s="87"/>
      <c r="BHY183" s="87"/>
      <c r="BHZ183" s="87"/>
      <c r="BIA183" s="87"/>
      <c r="BIB183" s="87"/>
      <c r="BIC183" s="87"/>
      <c r="BID183" s="87"/>
      <c r="BIE183" s="87"/>
      <c r="BIF183" s="87"/>
      <c r="BIG183" s="87"/>
      <c r="BIH183" s="87"/>
      <c r="BII183" s="87"/>
      <c r="BIJ183" s="87"/>
      <c r="BIK183" s="87"/>
      <c r="BIL183" s="87"/>
      <c r="BIM183" s="87"/>
      <c r="BIN183" s="87"/>
      <c r="BIO183" s="87"/>
      <c r="BIP183" s="87"/>
      <c r="BIQ183" s="87"/>
      <c r="BIR183" s="87"/>
      <c r="BIS183" s="87"/>
      <c r="BIT183" s="87"/>
      <c r="BIU183" s="87"/>
      <c r="BIV183" s="87"/>
      <c r="BIW183" s="87"/>
      <c r="BIX183" s="87"/>
      <c r="BIY183" s="87"/>
      <c r="BIZ183" s="87"/>
      <c r="BJA183" s="87"/>
      <c r="BJB183" s="87"/>
      <c r="BJC183" s="87"/>
      <c r="BJD183" s="87"/>
      <c r="BJE183" s="87"/>
      <c r="BJF183" s="87"/>
      <c r="BJG183" s="87"/>
      <c r="BJH183" s="87"/>
      <c r="BJI183" s="87"/>
      <c r="BJJ183" s="87"/>
      <c r="BJK183" s="87"/>
      <c r="BJL183" s="87"/>
      <c r="BJM183" s="87"/>
      <c r="BJN183" s="87"/>
      <c r="BJO183" s="87"/>
      <c r="BJP183" s="87"/>
      <c r="BJQ183" s="87"/>
      <c r="BJR183" s="87"/>
      <c r="BJS183" s="87"/>
      <c r="BJT183" s="87"/>
      <c r="BJU183" s="87"/>
      <c r="BJV183" s="87"/>
      <c r="BJW183" s="87"/>
      <c r="BJX183" s="87"/>
      <c r="BJY183" s="87"/>
      <c r="BJZ183" s="87"/>
      <c r="BKA183" s="87"/>
      <c r="BKB183" s="87"/>
      <c r="BKC183" s="87"/>
      <c r="BKD183" s="87"/>
      <c r="BKE183" s="87"/>
      <c r="BKF183" s="87"/>
      <c r="BKG183" s="87"/>
      <c r="BKH183" s="87"/>
      <c r="BKI183" s="87"/>
      <c r="BKJ183" s="87"/>
      <c r="BKK183" s="87"/>
      <c r="BKL183" s="87"/>
      <c r="BKM183" s="87"/>
      <c r="BKN183" s="87"/>
      <c r="BKO183" s="87"/>
      <c r="BKP183" s="87"/>
      <c r="BKQ183" s="87"/>
      <c r="BKR183" s="87"/>
      <c r="BKS183" s="87"/>
      <c r="BKT183" s="87"/>
      <c r="BKU183" s="87"/>
      <c r="BKV183" s="87"/>
      <c r="BKW183" s="87"/>
      <c r="BKX183" s="87"/>
      <c r="BKY183" s="87"/>
      <c r="BKZ183" s="87"/>
      <c r="BLA183" s="87"/>
      <c r="BLB183" s="87"/>
      <c r="BLC183" s="87"/>
      <c r="BLD183" s="87"/>
      <c r="BLE183" s="87"/>
      <c r="BLF183" s="87"/>
      <c r="BLG183" s="87"/>
      <c r="BLH183" s="87"/>
      <c r="BLI183" s="87"/>
      <c r="BLJ183" s="87"/>
      <c r="BLK183" s="87"/>
      <c r="BLL183" s="87"/>
      <c r="BLM183" s="87"/>
      <c r="BLN183" s="87"/>
      <c r="BLO183" s="87"/>
      <c r="BLP183" s="87"/>
      <c r="BLQ183" s="87"/>
      <c r="BLR183" s="87"/>
      <c r="BLS183" s="87"/>
      <c r="BLT183" s="87"/>
      <c r="BLU183" s="87"/>
      <c r="BLV183" s="87"/>
      <c r="BLW183" s="87"/>
      <c r="BLX183" s="87"/>
      <c r="BLY183" s="87"/>
      <c r="BLZ183" s="87"/>
      <c r="BMA183" s="87"/>
      <c r="BMB183" s="87"/>
      <c r="BMC183" s="87"/>
      <c r="BMD183" s="87"/>
      <c r="BME183" s="87"/>
      <c r="BMF183" s="87"/>
      <c r="BMG183" s="87"/>
      <c r="BMH183" s="87"/>
      <c r="BMI183" s="87"/>
      <c r="BMJ183" s="87"/>
      <c r="BMK183" s="87"/>
      <c r="BML183" s="87"/>
      <c r="BMM183" s="87"/>
      <c r="BMN183" s="87"/>
      <c r="BMO183" s="87"/>
      <c r="BMP183" s="87"/>
      <c r="BMQ183" s="87"/>
      <c r="BMR183" s="87"/>
      <c r="BMS183" s="87"/>
      <c r="BMT183" s="87"/>
      <c r="BMU183" s="87"/>
      <c r="BMV183" s="87"/>
      <c r="BMW183" s="87"/>
      <c r="BMX183" s="87"/>
      <c r="BMY183" s="87"/>
      <c r="BMZ183" s="87"/>
      <c r="BNA183" s="87"/>
      <c r="BNB183" s="87"/>
      <c r="BNC183" s="87"/>
      <c r="BND183" s="87"/>
      <c r="BNE183" s="87"/>
      <c r="BNF183" s="87"/>
      <c r="BNG183" s="87"/>
      <c r="BNH183" s="87"/>
      <c r="BNI183" s="87"/>
      <c r="BNJ183" s="87"/>
      <c r="BNK183" s="87"/>
      <c r="BNL183" s="87"/>
      <c r="BNM183" s="87"/>
      <c r="BNN183" s="87"/>
      <c r="BNO183" s="87"/>
      <c r="BNP183" s="87"/>
      <c r="BNQ183" s="87"/>
      <c r="BNR183" s="87"/>
      <c r="BNS183" s="87"/>
      <c r="BNT183" s="87"/>
      <c r="BNU183" s="87"/>
      <c r="BNV183" s="87"/>
      <c r="BNW183" s="87"/>
      <c r="BNX183" s="87"/>
      <c r="BNY183" s="87"/>
      <c r="BNZ183" s="87"/>
      <c r="BOA183" s="87"/>
      <c r="BOB183" s="87"/>
      <c r="BOC183" s="87"/>
      <c r="BOD183" s="87"/>
      <c r="BOE183" s="87"/>
      <c r="BOF183" s="87"/>
      <c r="BOG183" s="87"/>
      <c r="BOH183" s="87"/>
      <c r="BOI183" s="87"/>
      <c r="BOJ183" s="87"/>
      <c r="BOK183" s="87"/>
      <c r="BOL183" s="87"/>
      <c r="BOM183" s="87"/>
      <c r="BON183" s="87"/>
      <c r="BOO183" s="87"/>
      <c r="BOP183" s="87"/>
      <c r="BOQ183" s="87"/>
      <c r="BOR183" s="87"/>
    </row>
    <row r="184" spans="1:1760" s="84" customFormat="1" ht="11.25">
      <c r="A184" s="96"/>
      <c r="C184" s="83"/>
      <c r="D184" s="85"/>
      <c r="E184" s="86"/>
      <c r="F184" s="86"/>
      <c r="I184" s="83"/>
      <c r="K184" s="83"/>
      <c r="L184" s="83"/>
      <c r="M184" s="83"/>
      <c r="N184" s="83"/>
      <c r="O184" s="83"/>
      <c r="P184" s="83"/>
      <c r="Q184" s="83"/>
      <c r="R184" s="83"/>
    </row>
    <row r="185" spans="1:1760" s="84" customFormat="1" ht="11.25">
      <c r="A185" s="97"/>
      <c r="C185" s="83"/>
      <c r="D185" s="85"/>
      <c r="E185" s="86"/>
      <c r="F185" s="86"/>
      <c r="I185" s="83"/>
      <c r="K185" s="83"/>
      <c r="L185" s="83"/>
      <c r="M185" s="83"/>
      <c r="N185" s="83"/>
      <c r="O185" s="83"/>
      <c r="P185" s="83"/>
      <c r="Q185" s="83"/>
      <c r="R185" s="83"/>
    </row>
    <row r="186" spans="1:1760" s="84" customFormat="1" ht="11.25">
      <c r="A186" s="98"/>
      <c r="C186" s="83"/>
      <c r="D186" s="85"/>
      <c r="E186" s="86"/>
      <c r="F186" s="86"/>
      <c r="I186" s="83"/>
      <c r="K186" s="83"/>
      <c r="L186" s="83"/>
      <c r="M186" s="83"/>
      <c r="N186" s="83"/>
      <c r="O186" s="83"/>
      <c r="P186" s="83"/>
      <c r="Q186" s="83"/>
      <c r="R186" s="83"/>
    </row>
    <row r="187" spans="1:1760" s="84" customFormat="1" ht="11.25">
      <c r="A187" s="99"/>
      <c r="C187" s="83"/>
      <c r="D187" s="85"/>
      <c r="E187" s="86"/>
      <c r="F187" s="86"/>
      <c r="I187" s="83"/>
      <c r="K187" s="83"/>
      <c r="L187" s="83"/>
      <c r="M187" s="83"/>
      <c r="N187" s="83"/>
      <c r="O187" s="83"/>
      <c r="P187" s="83"/>
      <c r="Q187" s="83"/>
      <c r="R187" s="83"/>
    </row>
    <row r="188" spans="1:1760" s="84" customFormat="1" ht="11.25">
      <c r="A188" s="96"/>
      <c r="C188" s="83"/>
      <c r="D188" s="85"/>
      <c r="E188" s="86"/>
      <c r="F188" s="86"/>
      <c r="I188" s="83"/>
      <c r="K188" s="83"/>
      <c r="L188" s="83"/>
      <c r="M188" s="83"/>
      <c r="N188" s="83"/>
      <c r="O188" s="83"/>
      <c r="P188" s="83"/>
      <c r="Q188" s="83"/>
      <c r="R188" s="83"/>
    </row>
    <row r="189" spans="1:1760" s="84" customFormat="1" ht="11.25">
      <c r="A189" s="96"/>
      <c r="C189" s="83"/>
      <c r="D189" s="85"/>
      <c r="E189" s="86"/>
      <c r="F189" s="86"/>
      <c r="I189" s="83"/>
      <c r="K189" s="83"/>
      <c r="L189" s="83"/>
      <c r="M189" s="83"/>
      <c r="N189" s="83"/>
      <c r="O189" s="83"/>
      <c r="P189" s="83"/>
      <c r="Q189" s="83"/>
      <c r="R189" s="83"/>
    </row>
    <row r="190" spans="1:1760" s="84" customFormat="1" ht="11.25">
      <c r="A190" s="96"/>
      <c r="C190" s="83"/>
      <c r="D190" s="85"/>
      <c r="E190" s="86"/>
      <c r="F190" s="86"/>
      <c r="I190" s="83"/>
      <c r="K190" s="83"/>
      <c r="L190" s="83"/>
      <c r="M190" s="83"/>
      <c r="N190" s="83"/>
      <c r="O190" s="83"/>
      <c r="P190" s="83"/>
      <c r="Q190" s="83"/>
      <c r="R190" s="83"/>
    </row>
    <row r="191" spans="1:1760" s="84" customFormat="1" ht="11.25">
      <c r="A191" s="96"/>
      <c r="C191" s="83"/>
      <c r="D191" s="85"/>
      <c r="E191" s="86"/>
      <c r="F191" s="86"/>
      <c r="I191" s="83"/>
      <c r="K191" s="83"/>
      <c r="L191" s="83"/>
      <c r="M191" s="83"/>
      <c r="N191" s="83"/>
      <c r="O191" s="83"/>
      <c r="P191" s="83"/>
      <c r="Q191" s="83"/>
      <c r="R191" s="83"/>
    </row>
    <row r="192" spans="1:1760" s="84" customFormat="1" ht="11.25">
      <c r="A192" s="96"/>
      <c r="C192" s="83"/>
      <c r="D192" s="85"/>
      <c r="E192" s="86"/>
      <c r="F192" s="86"/>
      <c r="I192" s="83"/>
      <c r="K192" s="83"/>
      <c r="L192" s="83"/>
      <c r="M192" s="83"/>
      <c r="N192" s="83"/>
      <c r="O192" s="83"/>
      <c r="P192" s="83"/>
      <c r="Q192" s="83"/>
      <c r="R192" s="83"/>
    </row>
    <row r="193" spans="1:18" s="84" customFormat="1" ht="11.25">
      <c r="A193" s="96"/>
      <c r="C193" s="83"/>
      <c r="D193" s="85"/>
      <c r="E193" s="86"/>
      <c r="F193" s="86"/>
      <c r="I193" s="83"/>
      <c r="K193" s="83"/>
      <c r="L193" s="83"/>
      <c r="M193" s="83"/>
      <c r="N193" s="83"/>
      <c r="O193" s="83"/>
      <c r="P193" s="83"/>
      <c r="Q193" s="83"/>
      <c r="R193" s="83"/>
    </row>
    <row r="194" spans="1:18" s="84" customFormat="1" ht="11.25">
      <c r="A194" s="96"/>
      <c r="C194" s="83"/>
      <c r="D194" s="85"/>
      <c r="E194" s="86"/>
      <c r="F194" s="86"/>
      <c r="I194" s="83"/>
      <c r="K194" s="83"/>
      <c r="L194" s="83"/>
      <c r="M194" s="83"/>
      <c r="N194" s="83"/>
      <c r="O194" s="83"/>
      <c r="P194" s="83"/>
      <c r="Q194" s="83"/>
      <c r="R194" s="83"/>
    </row>
    <row r="195" spans="1:18" s="84" customFormat="1" ht="11.25">
      <c r="A195" s="96"/>
      <c r="C195" s="83"/>
      <c r="D195" s="85"/>
      <c r="E195" s="86"/>
      <c r="F195" s="86"/>
      <c r="I195" s="83"/>
      <c r="K195" s="83"/>
      <c r="L195" s="83"/>
      <c r="M195" s="83"/>
      <c r="N195" s="83"/>
      <c r="O195" s="83"/>
      <c r="P195" s="83"/>
      <c r="Q195" s="83"/>
      <c r="R195" s="83"/>
    </row>
    <row r="196" spans="1:18" s="84" customFormat="1" ht="11.25">
      <c r="A196" s="96"/>
      <c r="C196" s="83"/>
      <c r="D196" s="85"/>
      <c r="E196" s="86"/>
      <c r="F196" s="86"/>
      <c r="I196" s="83"/>
      <c r="K196" s="83"/>
      <c r="L196" s="83"/>
      <c r="M196" s="83"/>
      <c r="N196" s="83"/>
      <c r="O196" s="83"/>
      <c r="P196" s="83"/>
      <c r="Q196" s="83"/>
      <c r="R196" s="83"/>
    </row>
    <row r="197" spans="1:18" s="84" customFormat="1" ht="11.25">
      <c r="A197" s="96"/>
      <c r="C197" s="83"/>
      <c r="D197" s="85"/>
      <c r="E197" s="86"/>
      <c r="F197" s="86"/>
      <c r="I197" s="83"/>
      <c r="K197" s="83"/>
      <c r="L197" s="83"/>
      <c r="M197" s="83"/>
      <c r="N197" s="83"/>
      <c r="O197" s="83"/>
      <c r="P197" s="83"/>
      <c r="Q197" s="83"/>
      <c r="R197" s="83"/>
    </row>
    <row r="198" spans="1:18" s="84" customFormat="1" ht="11.25">
      <c r="A198" s="96"/>
      <c r="C198" s="83"/>
      <c r="D198" s="85"/>
      <c r="E198" s="86"/>
      <c r="F198" s="86"/>
      <c r="I198" s="83"/>
      <c r="K198" s="83"/>
      <c r="L198" s="83"/>
      <c r="M198" s="83"/>
      <c r="N198" s="83"/>
      <c r="O198" s="83"/>
      <c r="P198" s="83"/>
      <c r="Q198" s="83"/>
      <c r="R198" s="83"/>
    </row>
    <row r="199" spans="1:18" s="84" customFormat="1" ht="11.25">
      <c r="A199" s="96"/>
      <c r="C199" s="83"/>
      <c r="D199" s="85"/>
      <c r="E199" s="86"/>
      <c r="F199" s="86"/>
      <c r="I199" s="83"/>
      <c r="K199" s="83"/>
      <c r="L199" s="83"/>
      <c r="M199" s="83"/>
      <c r="N199" s="83"/>
      <c r="O199" s="83"/>
      <c r="P199" s="83"/>
      <c r="Q199" s="83"/>
      <c r="R199" s="83"/>
    </row>
    <row r="200" spans="1:18" s="84" customFormat="1" ht="11.25">
      <c r="A200" s="96"/>
      <c r="C200" s="83"/>
      <c r="D200" s="85"/>
      <c r="E200" s="86"/>
      <c r="F200" s="86"/>
      <c r="I200" s="83"/>
      <c r="K200" s="83"/>
      <c r="L200" s="83"/>
      <c r="M200" s="83"/>
      <c r="N200" s="83"/>
      <c r="O200" s="83"/>
      <c r="P200" s="83"/>
      <c r="Q200" s="83"/>
      <c r="R200" s="83"/>
    </row>
    <row r="201" spans="1:18" s="84" customFormat="1" ht="11.25">
      <c r="A201" s="96"/>
      <c r="C201" s="83"/>
      <c r="D201" s="85"/>
      <c r="E201" s="86"/>
      <c r="F201" s="86"/>
      <c r="I201" s="83"/>
      <c r="K201" s="83"/>
      <c r="L201" s="83"/>
      <c r="M201" s="83"/>
      <c r="N201" s="83"/>
      <c r="O201" s="83"/>
      <c r="P201" s="83"/>
      <c r="Q201" s="83"/>
      <c r="R201" s="83"/>
    </row>
    <row r="202" spans="1:18" s="84" customFormat="1" ht="11.25">
      <c r="A202" s="96"/>
      <c r="C202" s="83"/>
      <c r="D202" s="85"/>
      <c r="E202" s="86"/>
      <c r="F202" s="86"/>
      <c r="I202" s="83"/>
      <c r="K202" s="83"/>
      <c r="L202" s="83"/>
      <c r="M202" s="83"/>
      <c r="N202" s="83"/>
      <c r="O202" s="83"/>
      <c r="P202" s="83"/>
      <c r="Q202" s="83"/>
      <c r="R202" s="83"/>
    </row>
    <row r="203" spans="1:18" s="84" customFormat="1" ht="11.25">
      <c r="A203" s="96"/>
      <c r="C203" s="83"/>
      <c r="D203" s="85"/>
      <c r="E203" s="86"/>
      <c r="F203" s="86"/>
      <c r="I203" s="83"/>
      <c r="K203" s="83"/>
      <c r="L203" s="83"/>
      <c r="M203" s="83"/>
      <c r="N203" s="83"/>
      <c r="O203" s="83"/>
      <c r="P203" s="83"/>
      <c r="Q203" s="83"/>
      <c r="R203" s="83"/>
    </row>
    <row r="204" spans="1:18" s="84" customFormat="1" ht="11.25">
      <c r="A204" s="96"/>
      <c r="C204" s="83"/>
      <c r="D204" s="85"/>
      <c r="E204" s="86"/>
      <c r="F204" s="86"/>
      <c r="I204" s="83"/>
      <c r="K204" s="83"/>
      <c r="L204" s="83"/>
      <c r="M204" s="83"/>
      <c r="N204" s="83"/>
      <c r="O204" s="83"/>
      <c r="P204" s="83"/>
      <c r="Q204" s="83"/>
      <c r="R204" s="83"/>
    </row>
    <row r="205" spans="1:18" s="84" customFormat="1" ht="11.25">
      <c r="A205" s="96"/>
      <c r="C205" s="83"/>
      <c r="D205" s="85"/>
      <c r="E205" s="86"/>
      <c r="F205" s="86"/>
      <c r="I205" s="83"/>
      <c r="K205" s="83"/>
      <c r="L205" s="83"/>
      <c r="M205" s="83"/>
      <c r="N205" s="83"/>
      <c r="O205" s="83"/>
      <c r="P205" s="83"/>
      <c r="Q205" s="83"/>
      <c r="R205" s="83"/>
    </row>
    <row r="206" spans="1:18" s="84" customFormat="1" ht="11.25">
      <c r="A206" s="96"/>
      <c r="C206" s="83"/>
      <c r="D206" s="85"/>
      <c r="E206" s="86"/>
      <c r="F206" s="86"/>
      <c r="I206" s="83"/>
      <c r="K206" s="83"/>
      <c r="L206" s="83"/>
      <c r="M206" s="83"/>
      <c r="N206" s="83"/>
      <c r="O206" s="83"/>
      <c r="P206" s="83"/>
      <c r="Q206" s="83"/>
      <c r="R206" s="83"/>
    </row>
    <row r="207" spans="1:18" s="84" customFormat="1" ht="11.25">
      <c r="A207" s="96"/>
      <c r="C207" s="83"/>
      <c r="D207" s="85"/>
      <c r="E207" s="86"/>
      <c r="F207" s="86"/>
      <c r="I207" s="83"/>
      <c r="K207" s="83"/>
      <c r="L207" s="83"/>
      <c r="M207" s="83"/>
      <c r="N207" s="83"/>
      <c r="O207" s="83"/>
      <c r="P207" s="83"/>
      <c r="Q207" s="83"/>
      <c r="R207" s="83"/>
    </row>
    <row r="208" spans="1:18" s="84" customFormat="1" ht="11.25">
      <c r="A208" s="96"/>
      <c r="C208" s="83"/>
      <c r="D208" s="85"/>
      <c r="E208" s="86"/>
      <c r="F208" s="86"/>
      <c r="I208" s="83"/>
      <c r="K208" s="83"/>
      <c r="L208" s="83"/>
      <c r="M208" s="83"/>
      <c r="N208" s="83"/>
      <c r="O208" s="83"/>
      <c r="P208" s="83"/>
      <c r="Q208" s="83"/>
      <c r="R208" s="83"/>
    </row>
    <row r="209" spans="1:18" s="84" customFormat="1" ht="11.25">
      <c r="A209" s="96"/>
      <c r="C209" s="83"/>
      <c r="D209" s="85"/>
      <c r="E209" s="86"/>
      <c r="F209" s="86"/>
      <c r="I209" s="83"/>
      <c r="K209" s="83"/>
      <c r="L209" s="83"/>
      <c r="M209" s="83"/>
      <c r="N209" s="83"/>
      <c r="O209" s="83"/>
      <c r="P209" s="83"/>
      <c r="Q209" s="83"/>
      <c r="R209" s="83"/>
    </row>
    <row r="210" spans="1:18" s="84" customFormat="1" ht="11.25">
      <c r="A210" s="96"/>
      <c r="C210" s="83"/>
      <c r="D210" s="85"/>
      <c r="E210" s="86"/>
      <c r="F210" s="86"/>
      <c r="I210" s="83"/>
      <c r="K210" s="83"/>
      <c r="L210" s="83"/>
      <c r="M210" s="83"/>
      <c r="N210" s="83"/>
      <c r="O210" s="83"/>
      <c r="P210" s="83"/>
      <c r="Q210" s="83"/>
      <c r="R210" s="83"/>
    </row>
    <row r="211" spans="1:18" s="84" customFormat="1" ht="11.25">
      <c r="A211" s="96"/>
      <c r="C211" s="83"/>
      <c r="D211" s="85"/>
      <c r="E211" s="86"/>
      <c r="F211" s="86"/>
      <c r="I211" s="83"/>
      <c r="K211" s="83"/>
      <c r="L211" s="83"/>
      <c r="M211" s="83"/>
      <c r="N211" s="83"/>
      <c r="O211" s="83"/>
      <c r="P211" s="83"/>
      <c r="Q211" s="83"/>
      <c r="R211" s="83"/>
    </row>
    <row r="212" spans="1:18" s="84" customFormat="1" ht="11.25">
      <c r="A212" s="96"/>
      <c r="C212" s="83"/>
      <c r="D212" s="85"/>
      <c r="E212" s="86"/>
      <c r="F212" s="86"/>
      <c r="I212" s="83"/>
      <c r="K212" s="83"/>
      <c r="L212" s="83"/>
      <c r="M212" s="83"/>
      <c r="N212" s="83"/>
      <c r="O212" s="83"/>
      <c r="P212" s="83"/>
      <c r="Q212" s="83"/>
      <c r="R212" s="83"/>
    </row>
    <row r="213" spans="1:18" s="84" customFormat="1" ht="11.25">
      <c r="A213" s="96"/>
      <c r="C213" s="83"/>
      <c r="D213" s="85"/>
      <c r="E213" s="86"/>
      <c r="F213" s="86"/>
      <c r="I213" s="83"/>
      <c r="K213" s="83"/>
      <c r="L213" s="83"/>
      <c r="M213" s="83"/>
      <c r="N213" s="83"/>
      <c r="O213" s="83"/>
      <c r="P213" s="83"/>
      <c r="Q213" s="83"/>
      <c r="R213" s="83"/>
    </row>
    <row r="214" spans="1:18" s="84" customFormat="1" ht="11.25">
      <c r="A214" s="96"/>
      <c r="C214" s="83"/>
      <c r="D214" s="85"/>
      <c r="E214" s="86"/>
      <c r="F214" s="86"/>
      <c r="I214" s="83"/>
      <c r="K214" s="83"/>
      <c r="L214" s="83"/>
      <c r="M214" s="83"/>
      <c r="N214" s="83"/>
      <c r="O214" s="83"/>
      <c r="P214" s="83"/>
      <c r="Q214" s="83"/>
      <c r="R214" s="83"/>
    </row>
    <row r="215" spans="1:18" s="84" customFormat="1" ht="11.25">
      <c r="A215" s="96"/>
      <c r="C215" s="83"/>
      <c r="D215" s="85"/>
      <c r="E215" s="86"/>
      <c r="F215" s="86"/>
      <c r="I215" s="83"/>
      <c r="K215" s="83"/>
      <c r="L215" s="83"/>
      <c r="M215" s="83"/>
      <c r="N215" s="83"/>
      <c r="O215" s="83"/>
      <c r="P215" s="83"/>
      <c r="Q215" s="83"/>
      <c r="R215" s="83"/>
    </row>
    <row r="216" spans="1:18" s="84" customFormat="1" ht="11.25">
      <c r="A216" s="96"/>
      <c r="C216" s="83"/>
      <c r="D216" s="85"/>
      <c r="E216" s="86"/>
      <c r="F216" s="86"/>
      <c r="I216" s="83"/>
      <c r="K216" s="83"/>
      <c r="L216" s="83"/>
      <c r="M216" s="83"/>
      <c r="N216" s="83"/>
      <c r="O216" s="83"/>
      <c r="P216" s="83"/>
      <c r="Q216" s="83"/>
      <c r="R216" s="83"/>
    </row>
    <row r="217" spans="1:18" s="84" customFormat="1" ht="11.25">
      <c r="A217" s="96"/>
      <c r="C217" s="83"/>
      <c r="D217" s="85"/>
      <c r="E217" s="86"/>
      <c r="F217" s="86"/>
      <c r="I217" s="83"/>
      <c r="K217" s="83"/>
      <c r="L217" s="83"/>
      <c r="M217" s="83"/>
      <c r="N217" s="83"/>
      <c r="O217" s="83"/>
      <c r="P217" s="83"/>
      <c r="Q217" s="83"/>
      <c r="R217" s="83"/>
    </row>
    <row r="218" spans="1:18" s="84" customFormat="1" ht="11.25">
      <c r="A218" s="96"/>
      <c r="C218" s="83"/>
      <c r="D218" s="85"/>
      <c r="E218" s="86"/>
      <c r="F218" s="86"/>
      <c r="I218" s="83"/>
      <c r="K218" s="83"/>
      <c r="L218" s="83"/>
      <c r="M218" s="83"/>
      <c r="N218" s="83"/>
      <c r="O218" s="83"/>
      <c r="P218" s="83"/>
      <c r="Q218" s="83"/>
      <c r="R218" s="83"/>
    </row>
    <row r="219" spans="1:18" s="84" customFormat="1" ht="11.25">
      <c r="A219" s="96"/>
      <c r="C219" s="83"/>
      <c r="D219" s="85"/>
      <c r="E219" s="86"/>
      <c r="F219" s="86"/>
      <c r="I219" s="83"/>
      <c r="K219" s="83"/>
      <c r="L219" s="83"/>
      <c r="M219" s="83"/>
      <c r="N219" s="83"/>
      <c r="O219" s="83"/>
      <c r="P219" s="83"/>
      <c r="Q219" s="83"/>
      <c r="R219" s="83"/>
    </row>
    <row r="220" spans="1:18" s="84" customFormat="1" ht="11.25">
      <c r="A220" s="96"/>
      <c r="C220" s="83"/>
      <c r="D220" s="85"/>
      <c r="E220" s="86"/>
      <c r="F220" s="86"/>
      <c r="I220" s="83"/>
      <c r="K220" s="83"/>
      <c r="L220" s="83"/>
      <c r="M220" s="83"/>
      <c r="N220" s="83"/>
      <c r="O220" s="83"/>
      <c r="P220" s="83"/>
      <c r="Q220" s="83"/>
      <c r="R220" s="83"/>
    </row>
    <row r="221" spans="1:18" s="84" customFormat="1" ht="11.25">
      <c r="A221" s="96"/>
      <c r="C221" s="83"/>
      <c r="D221" s="85"/>
      <c r="E221" s="86"/>
      <c r="F221" s="86"/>
      <c r="I221" s="83"/>
      <c r="K221" s="83"/>
      <c r="L221" s="83"/>
      <c r="M221" s="83"/>
      <c r="N221" s="83"/>
      <c r="O221" s="83"/>
      <c r="P221" s="83"/>
      <c r="Q221" s="83"/>
      <c r="R221" s="83"/>
    </row>
    <row r="222" spans="1:18" s="84" customFormat="1" ht="11.25">
      <c r="A222" s="96"/>
      <c r="C222" s="83"/>
      <c r="D222" s="85"/>
      <c r="E222" s="86"/>
      <c r="F222" s="86"/>
      <c r="I222" s="83"/>
      <c r="K222" s="83"/>
      <c r="L222" s="83"/>
      <c r="M222" s="83"/>
      <c r="N222" s="83"/>
      <c r="O222" s="83"/>
      <c r="P222" s="83"/>
      <c r="Q222" s="83"/>
      <c r="R222" s="83"/>
    </row>
    <row r="223" spans="1:18" s="84" customFormat="1" ht="11.25">
      <c r="A223" s="96"/>
      <c r="C223" s="83"/>
      <c r="D223" s="85"/>
      <c r="E223" s="86"/>
      <c r="F223" s="86"/>
      <c r="I223" s="83"/>
      <c r="K223" s="83"/>
      <c r="L223" s="83"/>
      <c r="M223" s="83"/>
      <c r="N223" s="83"/>
      <c r="O223" s="83"/>
      <c r="P223" s="83"/>
      <c r="Q223" s="83"/>
      <c r="R223" s="83"/>
    </row>
    <row r="224" spans="1:18" s="84" customFormat="1" ht="11.25">
      <c r="A224" s="96"/>
      <c r="C224" s="83"/>
      <c r="D224" s="85"/>
      <c r="E224" s="86"/>
      <c r="F224" s="86"/>
      <c r="I224" s="83"/>
      <c r="K224" s="83"/>
      <c r="L224" s="83"/>
      <c r="M224" s="83"/>
      <c r="N224" s="83"/>
      <c r="O224" s="83"/>
      <c r="P224" s="83"/>
      <c r="Q224" s="83"/>
      <c r="R224" s="83"/>
    </row>
    <row r="225" spans="1:18" s="84" customFormat="1" ht="11.25">
      <c r="A225" s="96"/>
      <c r="C225" s="83"/>
      <c r="D225" s="85"/>
      <c r="E225" s="86"/>
      <c r="F225" s="86"/>
      <c r="I225" s="83"/>
      <c r="K225" s="83"/>
      <c r="L225" s="83"/>
      <c r="M225" s="83"/>
      <c r="N225" s="83"/>
      <c r="O225" s="83"/>
      <c r="P225" s="83"/>
      <c r="Q225" s="83"/>
      <c r="R225" s="83"/>
    </row>
    <row r="226" spans="1:18" s="84" customFormat="1" ht="11.25">
      <c r="A226" s="96"/>
      <c r="C226" s="83"/>
      <c r="D226" s="85"/>
      <c r="E226" s="86"/>
      <c r="F226" s="86"/>
      <c r="I226" s="83"/>
      <c r="K226" s="83"/>
      <c r="L226" s="83"/>
      <c r="M226" s="83"/>
      <c r="N226" s="83"/>
      <c r="O226" s="83"/>
      <c r="P226" s="83"/>
      <c r="Q226" s="83"/>
      <c r="R226" s="83"/>
    </row>
    <row r="227" spans="1:18" s="84" customFormat="1" ht="11.25">
      <c r="A227" s="96"/>
      <c r="C227" s="83"/>
      <c r="D227" s="85"/>
      <c r="E227" s="86"/>
      <c r="F227" s="86"/>
      <c r="I227" s="83"/>
      <c r="K227" s="83"/>
      <c r="L227" s="83"/>
      <c r="M227" s="83"/>
      <c r="N227" s="83"/>
      <c r="O227" s="83"/>
      <c r="P227" s="83"/>
      <c r="Q227" s="83"/>
      <c r="R227" s="83"/>
    </row>
    <row r="228" spans="1:18" s="84" customFormat="1" ht="11.25">
      <c r="A228" s="96"/>
      <c r="C228" s="83"/>
      <c r="D228" s="85"/>
      <c r="E228" s="86"/>
      <c r="F228" s="86"/>
      <c r="I228" s="83"/>
      <c r="K228" s="83"/>
      <c r="L228" s="83"/>
      <c r="M228" s="83"/>
      <c r="N228" s="83"/>
      <c r="O228" s="83"/>
      <c r="P228" s="83"/>
      <c r="Q228" s="83"/>
      <c r="R228" s="83"/>
    </row>
    <row r="229" spans="1:18" s="84" customFormat="1" ht="11.25">
      <c r="A229" s="96"/>
      <c r="C229" s="83"/>
      <c r="D229" s="85"/>
      <c r="E229" s="86"/>
      <c r="F229" s="86"/>
      <c r="I229" s="83"/>
      <c r="K229" s="83"/>
      <c r="L229" s="83"/>
      <c r="M229" s="83"/>
      <c r="N229" s="83"/>
      <c r="O229" s="83"/>
      <c r="P229" s="83"/>
      <c r="Q229" s="83"/>
      <c r="R229" s="83"/>
    </row>
    <row r="230" spans="1:18" s="84" customFormat="1" ht="11.25">
      <c r="A230" s="96"/>
      <c r="C230" s="83"/>
      <c r="D230" s="85"/>
      <c r="E230" s="86"/>
      <c r="F230" s="86"/>
      <c r="I230" s="83"/>
      <c r="K230" s="83"/>
      <c r="L230" s="83"/>
      <c r="M230" s="83"/>
      <c r="N230" s="83"/>
      <c r="O230" s="83"/>
      <c r="P230" s="83"/>
      <c r="Q230" s="83"/>
      <c r="R230" s="83"/>
    </row>
    <row r="231" spans="1:18" s="84" customFormat="1" ht="11.25">
      <c r="A231" s="96"/>
      <c r="C231" s="83"/>
      <c r="D231" s="85"/>
      <c r="E231" s="86"/>
      <c r="F231" s="86"/>
      <c r="I231" s="83"/>
      <c r="K231" s="83"/>
      <c r="L231" s="83"/>
      <c r="M231" s="83"/>
      <c r="N231" s="83"/>
      <c r="O231" s="83"/>
      <c r="P231" s="83"/>
      <c r="Q231" s="83"/>
      <c r="R231" s="83"/>
    </row>
    <row r="232" spans="1:18" s="84" customFormat="1" ht="11.25">
      <c r="A232" s="96"/>
      <c r="C232" s="83"/>
      <c r="D232" s="85"/>
      <c r="E232" s="86"/>
      <c r="F232" s="86"/>
      <c r="I232" s="83"/>
      <c r="K232" s="83"/>
      <c r="L232" s="83"/>
      <c r="M232" s="83"/>
      <c r="N232" s="83"/>
      <c r="O232" s="83"/>
      <c r="P232" s="83"/>
      <c r="Q232" s="83"/>
      <c r="R232" s="83"/>
    </row>
    <row r="233" spans="1:18" s="84" customFormat="1" ht="11.25">
      <c r="A233" s="96"/>
      <c r="C233" s="83"/>
      <c r="D233" s="85"/>
      <c r="E233" s="86"/>
      <c r="F233" s="86"/>
      <c r="I233" s="83"/>
      <c r="K233" s="83"/>
      <c r="L233" s="83"/>
      <c r="M233" s="83"/>
      <c r="N233" s="83"/>
      <c r="O233" s="83"/>
      <c r="P233" s="83"/>
      <c r="Q233" s="83"/>
      <c r="R233" s="83"/>
    </row>
    <row r="234" spans="1:18" s="84" customFormat="1" ht="11.25">
      <c r="A234" s="96"/>
      <c r="C234" s="83"/>
      <c r="D234" s="85"/>
      <c r="E234" s="86"/>
      <c r="F234" s="86"/>
      <c r="I234" s="83"/>
      <c r="K234" s="83"/>
      <c r="L234" s="83"/>
      <c r="M234" s="83"/>
      <c r="N234" s="83"/>
      <c r="O234" s="83"/>
      <c r="P234" s="83"/>
      <c r="Q234" s="83"/>
      <c r="R234" s="83"/>
    </row>
    <row r="235" spans="1:18" s="84" customFormat="1" ht="11.25">
      <c r="A235" s="96"/>
      <c r="C235" s="83"/>
      <c r="D235" s="85"/>
      <c r="E235" s="86"/>
      <c r="F235" s="86"/>
      <c r="I235" s="83"/>
      <c r="K235" s="83"/>
      <c r="L235" s="83"/>
      <c r="M235" s="83"/>
      <c r="N235" s="83"/>
      <c r="O235" s="83"/>
      <c r="P235" s="83"/>
      <c r="Q235" s="83"/>
      <c r="R235" s="83"/>
    </row>
    <row r="236" spans="1:18" s="84" customFormat="1" ht="11.25">
      <c r="A236" s="96"/>
      <c r="C236" s="83"/>
      <c r="D236" s="85"/>
      <c r="E236" s="86"/>
      <c r="F236" s="86"/>
      <c r="I236" s="83"/>
      <c r="K236" s="83"/>
      <c r="L236" s="83"/>
      <c r="M236" s="83"/>
      <c r="N236" s="83"/>
      <c r="O236" s="83"/>
      <c r="P236" s="83"/>
      <c r="Q236" s="83"/>
      <c r="R236" s="83"/>
    </row>
    <row r="237" spans="1:18" s="84" customFormat="1" ht="11.25">
      <c r="A237" s="96"/>
      <c r="C237" s="83"/>
      <c r="D237" s="85"/>
      <c r="E237" s="86"/>
      <c r="F237" s="86"/>
      <c r="I237" s="83"/>
      <c r="K237" s="83"/>
      <c r="L237" s="83"/>
      <c r="M237" s="83"/>
      <c r="N237" s="83"/>
      <c r="O237" s="83"/>
      <c r="P237" s="83"/>
      <c r="Q237" s="83"/>
      <c r="R237" s="83"/>
    </row>
    <row r="238" spans="1:18" s="84" customFormat="1" ht="11.25">
      <c r="A238" s="96"/>
      <c r="C238" s="83"/>
      <c r="D238" s="85"/>
      <c r="E238" s="86"/>
      <c r="F238" s="86"/>
      <c r="I238" s="83"/>
      <c r="K238" s="83"/>
      <c r="L238" s="83"/>
      <c r="M238" s="83"/>
      <c r="N238" s="83"/>
      <c r="O238" s="83"/>
      <c r="P238" s="83"/>
      <c r="Q238" s="83"/>
      <c r="R238" s="83"/>
    </row>
    <row r="239" spans="1:18" s="84" customFormat="1" ht="11.25">
      <c r="A239" s="96"/>
      <c r="C239" s="83"/>
      <c r="D239" s="85"/>
      <c r="E239" s="86"/>
      <c r="F239" s="86"/>
      <c r="I239" s="83"/>
      <c r="K239" s="83"/>
      <c r="L239" s="83"/>
      <c r="M239" s="83"/>
      <c r="N239" s="83"/>
      <c r="O239" s="83"/>
      <c r="P239" s="83"/>
      <c r="Q239" s="83"/>
      <c r="R239" s="83"/>
    </row>
    <row r="240" spans="1:18" s="84" customFormat="1" ht="11.25">
      <c r="A240" s="96"/>
      <c r="C240" s="83"/>
      <c r="D240" s="85"/>
      <c r="E240" s="86"/>
      <c r="F240" s="86"/>
      <c r="I240" s="83"/>
      <c r="K240" s="83"/>
      <c r="L240" s="83"/>
      <c r="M240" s="83"/>
      <c r="N240" s="83"/>
      <c r="O240" s="83"/>
      <c r="P240" s="83"/>
      <c r="Q240" s="83"/>
      <c r="R240" s="83"/>
    </row>
    <row r="241" spans="1:18" s="84" customFormat="1" ht="11.25">
      <c r="A241" s="96"/>
      <c r="C241" s="83"/>
      <c r="D241" s="85"/>
      <c r="E241" s="86"/>
      <c r="F241" s="86"/>
      <c r="I241" s="83"/>
      <c r="K241" s="83"/>
      <c r="L241" s="83"/>
      <c r="M241" s="83"/>
      <c r="N241" s="83"/>
      <c r="O241" s="83"/>
      <c r="P241" s="83"/>
      <c r="Q241" s="83"/>
      <c r="R241" s="83"/>
    </row>
    <row r="242" spans="1:18" s="84" customFormat="1" ht="11.25">
      <c r="A242" s="96"/>
      <c r="C242" s="83"/>
      <c r="D242" s="85"/>
      <c r="E242" s="86"/>
      <c r="F242" s="86"/>
      <c r="I242" s="83"/>
      <c r="K242" s="83"/>
      <c r="L242" s="83"/>
      <c r="M242" s="83"/>
      <c r="N242" s="83"/>
      <c r="O242" s="83"/>
      <c r="P242" s="83"/>
      <c r="Q242" s="83"/>
      <c r="R242" s="83"/>
    </row>
    <row r="243" spans="1:18" s="84" customFormat="1" ht="11.25">
      <c r="A243" s="96"/>
      <c r="C243" s="83"/>
      <c r="D243" s="85"/>
      <c r="E243" s="86"/>
      <c r="F243" s="86"/>
      <c r="I243" s="83"/>
      <c r="K243" s="83"/>
      <c r="L243" s="83"/>
      <c r="M243" s="83"/>
      <c r="N243" s="83"/>
      <c r="O243" s="83"/>
      <c r="P243" s="83"/>
      <c r="Q243" s="83"/>
      <c r="R243" s="83"/>
    </row>
    <row r="244" spans="1:18" s="84" customFormat="1" ht="11.25">
      <c r="A244" s="96"/>
      <c r="C244" s="83"/>
      <c r="D244" s="85"/>
      <c r="E244" s="86"/>
      <c r="F244" s="86"/>
      <c r="I244" s="83"/>
      <c r="K244" s="83"/>
      <c r="L244" s="83"/>
      <c r="M244" s="83"/>
      <c r="N244" s="83"/>
      <c r="O244" s="83"/>
      <c r="P244" s="83"/>
      <c r="Q244" s="83"/>
      <c r="R244" s="83"/>
    </row>
    <row r="245" spans="1:18" s="84" customFormat="1" ht="11.25">
      <c r="A245" s="96"/>
      <c r="C245" s="83"/>
      <c r="D245" s="85"/>
      <c r="E245" s="86"/>
      <c r="F245" s="86"/>
      <c r="I245" s="83"/>
      <c r="K245" s="83"/>
      <c r="L245" s="83"/>
      <c r="M245" s="83"/>
      <c r="N245" s="83"/>
      <c r="O245" s="83"/>
      <c r="P245" s="83"/>
      <c r="Q245" s="83"/>
      <c r="R245" s="83"/>
    </row>
    <row r="246" spans="1:18" s="84" customFormat="1" ht="11.25">
      <c r="A246" s="96"/>
      <c r="C246" s="83"/>
      <c r="D246" s="85"/>
      <c r="E246" s="86"/>
      <c r="F246" s="86"/>
      <c r="I246" s="83"/>
      <c r="K246" s="83"/>
      <c r="L246" s="83"/>
      <c r="M246" s="83"/>
      <c r="N246" s="83"/>
      <c r="O246" s="83"/>
      <c r="P246" s="83"/>
      <c r="Q246" s="83"/>
      <c r="R246" s="83"/>
    </row>
    <row r="247" spans="1:18" s="84" customFormat="1" ht="11.25">
      <c r="A247" s="96"/>
      <c r="C247" s="83"/>
      <c r="D247" s="85"/>
      <c r="E247" s="86"/>
      <c r="F247" s="86"/>
      <c r="I247" s="83"/>
      <c r="K247" s="83"/>
      <c r="L247" s="83"/>
      <c r="M247" s="83"/>
      <c r="N247" s="83"/>
      <c r="O247" s="83"/>
      <c r="P247" s="83"/>
      <c r="Q247" s="83"/>
      <c r="R247" s="83"/>
    </row>
    <row r="248" spans="1:18" s="84" customFormat="1" ht="11.25">
      <c r="A248" s="96"/>
      <c r="C248" s="83"/>
      <c r="D248" s="85"/>
      <c r="E248" s="86"/>
      <c r="F248" s="86"/>
      <c r="I248" s="83"/>
      <c r="K248" s="83"/>
      <c r="L248" s="83"/>
      <c r="M248" s="83"/>
      <c r="N248" s="83"/>
      <c r="O248" s="83"/>
      <c r="P248" s="83"/>
      <c r="Q248" s="83"/>
      <c r="R248" s="83"/>
    </row>
    <row r="249" spans="1:18" s="84" customFormat="1" ht="11.25">
      <c r="A249" s="96"/>
      <c r="C249" s="83"/>
      <c r="D249" s="85"/>
      <c r="E249" s="86"/>
      <c r="F249" s="86"/>
      <c r="I249" s="83"/>
      <c r="K249" s="83"/>
      <c r="L249" s="83"/>
      <c r="M249" s="83"/>
      <c r="N249" s="83"/>
      <c r="O249" s="83"/>
      <c r="P249" s="83"/>
      <c r="Q249" s="83"/>
      <c r="R249" s="83"/>
    </row>
    <row r="250" spans="1:18" s="84" customFormat="1" ht="11.25">
      <c r="A250" s="99"/>
      <c r="C250" s="83"/>
      <c r="D250" s="85"/>
      <c r="E250" s="86"/>
      <c r="F250" s="86"/>
      <c r="I250" s="83"/>
      <c r="K250" s="83"/>
      <c r="L250" s="83"/>
      <c r="M250" s="83"/>
      <c r="N250" s="83"/>
      <c r="O250" s="83"/>
      <c r="P250" s="83"/>
      <c r="Q250" s="83"/>
      <c r="R250" s="83"/>
    </row>
    <row r="251" spans="1:18" s="84" customFormat="1" ht="11.25">
      <c r="A251" s="96"/>
      <c r="C251" s="83"/>
      <c r="D251" s="85"/>
      <c r="E251" s="86"/>
      <c r="F251" s="86"/>
      <c r="I251" s="83"/>
      <c r="K251" s="83"/>
      <c r="L251" s="83"/>
      <c r="M251" s="83"/>
      <c r="N251" s="83"/>
      <c r="O251" s="83"/>
      <c r="P251" s="83"/>
      <c r="Q251" s="83"/>
      <c r="R251" s="83"/>
    </row>
    <row r="252" spans="1:18" s="84" customFormat="1" ht="11.25">
      <c r="A252" s="96"/>
      <c r="C252" s="83"/>
      <c r="D252" s="85"/>
      <c r="E252" s="86"/>
      <c r="F252" s="86"/>
      <c r="I252" s="83"/>
      <c r="K252" s="83"/>
      <c r="L252" s="83"/>
      <c r="M252" s="83"/>
      <c r="N252" s="83"/>
      <c r="O252" s="83"/>
      <c r="P252" s="83"/>
      <c r="Q252" s="83"/>
      <c r="R252" s="83"/>
    </row>
    <row r="253" spans="1:18" s="84" customFormat="1" ht="11.25">
      <c r="A253" s="99"/>
      <c r="C253" s="83"/>
      <c r="D253" s="85"/>
      <c r="E253" s="86"/>
      <c r="F253" s="86"/>
      <c r="I253" s="83"/>
      <c r="K253" s="83"/>
      <c r="L253" s="83"/>
      <c r="M253" s="83"/>
      <c r="N253" s="83"/>
      <c r="O253" s="83"/>
      <c r="P253" s="83"/>
      <c r="Q253" s="83"/>
      <c r="R253" s="83"/>
    </row>
    <row r="254" spans="1:18" s="84" customFormat="1" ht="11.25">
      <c r="A254" s="99"/>
      <c r="C254" s="83"/>
      <c r="D254" s="85"/>
      <c r="E254" s="86"/>
      <c r="F254" s="86"/>
      <c r="I254" s="83"/>
      <c r="K254" s="83"/>
      <c r="L254" s="83"/>
      <c r="M254" s="83"/>
      <c r="N254" s="83"/>
      <c r="O254" s="83"/>
      <c r="P254" s="83"/>
      <c r="Q254" s="83"/>
      <c r="R254" s="83"/>
    </row>
    <row r="255" spans="1:18" s="84" customFormat="1" ht="11.25">
      <c r="A255" s="96"/>
      <c r="C255" s="83"/>
      <c r="D255" s="85"/>
      <c r="E255" s="86"/>
      <c r="F255" s="86"/>
      <c r="I255" s="83"/>
      <c r="K255" s="83"/>
      <c r="L255" s="83"/>
      <c r="M255" s="83"/>
      <c r="N255" s="83"/>
      <c r="O255" s="83"/>
      <c r="P255" s="83"/>
      <c r="Q255" s="83"/>
      <c r="R255" s="83"/>
    </row>
    <row r="256" spans="1:18" s="84" customFormat="1" ht="11.25">
      <c r="A256" s="96"/>
      <c r="C256" s="83"/>
      <c r="D256" s="85"/>
      <c r="E256" s="86"/>
      <c r="F256" s="86"/>
      <c r="I256" s="83"/>
      <c r="K256" s="83"/>
      <c r="L256" s="83"/>
      <c r="M256" s="83"/>
      <c r="N256" s="83"/>
      <c r="O256" s="83"/>
      <c r="P256" s="83"/>
      <c r="Q256" s="83"/>
      <c r="R256" s="83"/>
    </row>
    <row r="257" spans="1:18" s="84" customFormat="1" ht="11.25">
      <c r="A257" s="96"/>
      <c r="C257" s="83"/>
      <c r="D257" s="85"/>
      <c r="E257" s="86"/>
      <c r="F257" s="86"/>
      <c r="I257" s="83"/>
      <c r="K257" s="83"/>
      <c r="L257" s="83"/>
      <c r="M257" s="83"/>
      <c r="N257" s="83"/>
      <c r="O257" s="83"/>
      <c r="P257" s="83"/>
      <c r="Q257" s="83"/>
      <c r="R257" s="83"/>
    </row>
    <row r="258" spans="1:18" s="84" customFormat="1" ht="11.25">
      <c r="A258" s="96"/>
      <c r="C258" s="83"/>
      <c r="D258" s="85"/>
      <c r="E258" s="86"/>
      <c r="F258" s="86"/>
      <c r="I258" s="83"/>
      <c r="K258" s="83"/>
      <c r="L258" s="83"/>
      <c r="M258" s="83"/>
      <c r="N258" s="83"/>
      <c r="O258" s="83"/>
      <c r="P258" s="83"/>
      <c r="Q258" s="83"/>
      <c r="R258" s="83"/>
    </row>
    <row r="259" spans="1:18" s="84" customFormat="1" ht="11.25">
      <c r="A259" s="100"/>
      <c r="C259" s="83"/>
      <c r="D259" s="85"/>
      <c r="E259" s="86"/>
      <c r="F259" s="86"/>
      <c r="I259" s="83"/>
      <c r="K259" s="83"/>
      <c r="L259" s="83"/>
      <c r="M259" s="83"/>
      <c r="N259" s="83"/>
      <c r="O259" s="83"/>
      <c r="P259" s="83"/>
      <c r="Q259" s="83"/>
      <c r="R259" s="83"/>
    </row>
    <row r="260" spans="1:18" s="84" customFormat="1" ht="11.25">
      <c r="A260" s="96"/>
      <c r="C260" s="83"/>
      <c r="D260" s="85"/>
      <c r="E260" s="86"/>
      <c r="F260" s="86"/>
      <c r="I260" s="83"/>
      <c r="K260" s="83"/>
      <c r="L260" s="83"/>
      <c r="M260" s="83"/>
      <c r="N260" s="83"/>
      <c r="O260" s="83"/>
      <c r="P260" s="83"/>
      <c r="Q260" s="83"/>
      <c r="R260" s="83"/>
    </row>
    <row r="261" spans="1:18" s="84" customFormat="1" ht="11.25">
      <c r="A261" s="97"/>
      <c r="C261" s="83"/>
      <c r="D261" s="85"/>
      <c r="E261" s="86"/>
      <c r="F261" s="86"/>
      <c r="I261" s="83"/>
      <c r="K261" s="83"/>
      <c r="L261" s="83"/>
      <c r="M261" s="83"/>
      <c r="N261" s="83"/>
      <c r="O261" s="83"/>
      <c r="P261" s="83"/>
      <c r="Q261" s="83"/>
      <c r="R261" s="83"/>
    </row>
    <row r="262" spans="1:18" s="84" customFormat="1" ht="11.25">
      <c r="A262" s="97"/>
      <c r="C262" s="83"/>
      <c r="D262" s="85"/>
      <c r="E262" s="86"/>
      <c r="F262" s="86"/>
      <c r="I262" s="83"/>
      <c r="K262" s="83"/>
      <c r="L262" s="83"/>
      <c r="M262" s="83"/>
      <c r="N262" s="83"/>
      <c r="O262" s="83"/>
      <c r="P262" s="83"/>
      <c r="Q262" s="83"/>
      <c r="R262" s="83"/>
    </row>
    <row r="263" spans="1:18" s="84" customFormat="1" ht="11.25">
      <c r="A263" s="96"/>
      <c r="C263" s="83"/>
      <c r="D263" s="85"/>
      <c r="E263" s="86"/>
      <c r="F263" s="86"/>
      <c r="I263" s="83"/>
      <c r="K263" s="83"/>
      <c r="L263" s="83"/>
      <c r="M263" s="83"/>
      <c r="N263" s="83"/>
      <c r="O263" s="83"/>
      <c r="P263" s="83"/>
      <c r="Q263" s="83"/>
      <c r="R263" s="83"/>
    </row>
    <row r="264" spans="1:18" s="84" customFormat="1" ht="11.25">
      <c r="A264" s="97"/>
      <c r="C264" s="83"/>
      <c r="D264" s="85"/>
      <c r="E264" s="86"/>
      <c r="F264" s="86"/>
      <c r="I264" s="83"/>
      <c r="K264" s="83"/>
      <c r="L264" s="83"/>
      <c r="M264" s="83"/>
      <c r="N264" s="83"/>
      <c r="O264" s="83"/>
      <c r="P264" s="83"/>
      <c r="Q264" s="83"/>
      <c r="R264" s="83"/>
    </row>
    <row r="265" spans="1:18" s="84" customFormat="1" ht="11.25">
      <c r="A265" s="98"/>
      <c r="C265" s="83"/>
      <c r="D265" s="85"/>
      <c r="E265" s="86"/>
      <c r="F265" s="86"/>
      <c r="I265" s="83"/>
      <c r="K265" s="83"/>
      <c r="L265" s="83"/>
      <c r="M265" s="83"/>
      <c r="N265" s="83"/>
      <c r="O265" s="83"/>
      <c r="P265" s="83"/>
      <c r="Q265" s="83"/>
      <c r="R265" s="83"/>
    </row>
    <row r="266" spans="1:18" s="84" customFormat="1" ht="11.25">
      <c r="A266" s="98"/>
      <c r="C266" s="83"/>
      <c r="D266" s="85"/>
      <c r="E266" s="86"/>
      <c r="F266" s="86"/>
      <c r="I266" s="83"/>
      <c r="K266" s="83"/>
      <c r="L266" s="83"/>
      <c r="M266" s="83"/>
      <c r="N266" s="83"/>
      <c r="O266" s="83"/>
      <c r="P266" s="83"/>
      <c r="Q266" s="83"/>
      <c r="R266" s="83"/>
    </row>
    <row r="267" spans="1:18" s="84" customFormat="1" ht="11.25">
      <c r="A267" s="96"/>
      <c r="C267" s="83"/>
      <c r="D267" s="85"/>
      <c r="E267" s="86"/>
      <c r="F267" s="86"/>
      <c r="I267" s="83"/>
      <c r="K267" s="83"/>
      <c r="L267" s="83"/>
      <c r="M267" s="83"/>
      <c r="N267" s="83"/>
      <c r="O267" s="83"/>
      <c r="P267" s="83"/>
      <c r="Q267" s="83"/>
      <c r="R267" s="83"/>
    </row>
    <row r="268" spans="1:18" s="84" customFormat="1" ht="11.25">
      <c r="A268" s="101"/>
      <c r="C268" s="83"/>
      <c r="D268" s="85"/>
      <c r="E268" s="86"/>
      <c r="F268" s="86"/>
      <c r="I268" s="83"/>
      <c r="K268" s="83"/>
      <c r="L268" s="83"/>
      <c r="M268" s="83"/>
      <c r="N268" s="83"/>
      <c r="O268" s="83"/>
      <c r="P268" s="83"/>
      <c r="Q268" s="83"/>
      <c r="R268" s="83"/>
    </row>
    <row r="269" spans="1:18" s="84" customFormat="1" ht="11.25">
      <c r="A269" s="101"/>
      <c r="C269" s="83"/>
      <c r="D269" s="85"/>
      <c r="E269" s="86"/>
      <c r="F269" s="86"/>
      <c r="I269" s="83"/>
      <c r="K269" s="83"/>
      <c r="L269" s="83"/>
      <c r="M269" s="83"/>
      <c r="N269" s="83"/>
      <c r="O269" s="83"/>
      <c r="P269" s="83"/>
      <c r="Q269" s="83"/>
      <c r="R269" s="83"/>
    </row>
    <row r="270" spans="1:18" s="84" customFormat="1" ht="11.25">
      <c r="A270" s="99"/>
      <c r="C270" s="83"/>
      <c r="D270" s="85"/>
      <c r="E270" s="86"/>
      <c r="F270" s="86"/>
      <c r="I270" s="83"/>
      <c r="K270" s="83"/>
      <c r="L270" s="83"/>
      <c r="M270" s="83"/>
      <c r="N270" s="83"/>
      <c r="O270" s="83"/>
      <c r="P270" s="83"/>
      <c r="Q270" s="83"/>
      <c r="R270" s="83"/>
    </row>
    <row r="271" spans="1:18" s="84" customFormat="1" ht="11.25">
      <c r="A271" s="100"/>
      <c r="C271" s="83"/>
      <c r="D271" s="85"/>
      <c r="E271" s="86"/>
      <c r="F271" s="86"/>
      <c r="I271" s="83"/>
      <c r="K271" s="83"/>
      <c r="L271" s="83"/>
      <c r="M271" s="83"/>
      <c r="N271" s="83"/>
      <c r="O271" s="83"/>
      <c r="P271" s="83"/>
      <c r="Q271" s="83"/>
      <c r="R271" s="83"/>
    </row>
    <row r="272" spans="1:18" s="84" customFormat="1" ht="11.25">
      <c r="A272" s="96"/>
      <c r="C272" s="83"/>
      <c r="D272" s="85"/>
      <c r="E272" s="86"/>
      <c r="F272" s="86"/>
      <c r="I272" s="83"/>
      <c r="K272" s="83"/>
      <c r="L272" s="83"/>
      <c r="M272" s="83"/>
      <c r="N272" s="83"/>
      <c r="O272" s="83"/>
      <c r="P272" s="83"/>
      <c r="Q272" s="83"/>
      <c r="R272" s="83"/>
    </row>
    <row r="273" spans="1:18" s="84" customFormat="1" ht="11.25">
      <c r="A273" s="97"/>
      <c r="C273" s="83"/>
      <c r="D273" s="85"/>
      <c r="E273" s="86"/>
      <c r="F273" s="86"/>
      <c r="I273" s="83"/>
      <c r="K273" s="83"/>
      <c r="L273" s="83"/>
      <c r="M273" s="83"/>
      <c r="N273" s="83"/>
      <c r="O273" s="83"/>
      <c r="P273" s="83"/>
      <c r="Q273" s="83"/>
      <c r="R273" s="83"/>
    </row>
    <row r="274" spans="1:18" s="84" customFormat="1" ht="11.25">
      <c r="A274" s="97"/>
      <c r="C274" s="83"/>
      <c r="D274" s="85"/>
      <c r="E274" s="86"/>
      <c r="F274" s="86"/>
      <c r="I274" s="83"/>
      <c r="K274" s="83"/>
      <c r="L274" s="83"/>
      <c r="M274" s="83"/>
      <c r="N274" s="83"/>
      <c r="O274" s="83"/>
      <c r="P274" s="83"/>
      <c r="Q274" s="83"/>
      <c r="R274" s="83"/>
    </row>
    <row r="275" spans="1:18" s="84" customFormat="1" ht="11.25">
      <c r="A275" s="96"/>
      <c r="C275" s="83"/>
      <c r="D275" s="85"/>
      <c r="E275" s="86"/>
      <c r="F275" s="86"/>
      <c r="I275" s="83"/>
      <c r="K275" s="83"/>
      <c r="L275" s="83"/>
      <c r="M275" s="83"/>
      <c r="N275" s="83"/>
      <c r="O275" s="83"/>
      <c r="P275" s="83"/>
      <c r="Q275" s="83"/>
      <c r="R275" s="83"/>
    </row>
    <row r="276" spans="1:18" s="84" customFormat="1" ht="11.25">
      <c r="A276" s="96"/>
      <c r="C276" s="83"/>
      <c r="D276" s="85"/>
      <c r="E276" s="86"/>
      <c r="F276" s="86"/>
      <c r="I276" s="83"/>
      <c r="K276" s="83"/>
      <c r="L276" s="83"/>
      <c r="M276" s="83"/>
      <c r="N276" s="83"/>
      <c r="O276" s="83"/>
      <c r="P276" s="83"/>
      <c r="Q276" s="83"/>
      <c r="R276" s="83"/>
    </row>
    <row r="277" spans="1:18" s="84" customFormat="1" ht="11.25">
      <c r="A277" s="96"/>
      <c r="C277" s="83"/>
      <c r="D277" s="85"/>
      <c r="E277" s="86"/>
      <c r="F277" s="86"/>
      <c r="I277" s="83"/>
      <c r="K277" s="83"/>
      <c r="L277" s="83"/>
      <c r="M277" s="83"/>
      <c r="N277" s="83"/>
      <c r="O277" s="83"/>
      <c r="P277" s="83"/>
      <c r="Q277" s="83"/>
      <c r="R277" s="83"/>
    </row>
    <row r="278" spans="1:18" s="84" customFormat="1" ht="11.25">
      <c r="A278" s="101"/>
      <c r="C278" s="83"/>
      <c r="D278" s="85"/>
      <c r="E278" s="86"/>
      <c r="F278" s="86"/>
      <c r="I278" s="83"/>
      <c r="K278" s="83"/>
      <c r="L278" s="83"/>
      <c r="M278" s="83"/>
      <c r="N278" s="83"/>
      <c r="O278" s="83"/>
      <c r="P278" s="83"/>
      <c r="Q278" s="83"/>
      <c r="R278" s="83"/>
    </row>
    <row r="279" spans="1:18" s="84" customFormat="1" ht="11.25">
      <c r="A279" s="102"/>
      <c r="C279" s="83"/>
      <c r="D279" s="85"/>
      <c r="E279" s="86"/>
      <c r="F279" s="86"/>
      <c r="I279" s="83"/>
      <c r="K279" s="83"/>
      <c r="L279" s="83"/>
      <c r="M279" s="83"/>
      <c r="N279" s="83"/>
      <c r="O279" s="83"/>
      <c r="P279" s="83"/>
      <c r="Q279" s="83"/>
      <c r="R279" s="83"/>
    </row>
    <row r="280" spans="1:18" s="84" customFormat="1" ht="11.25">
      <c r="A280" s="102"/>
      <c r="C280" s="83"/>
      <c r="D280" s="85"/>
      <c r="E280" s="86"/>
      <c r="F280" s="86"/>
      <c r="I280" s="83"/>
      <c r="K280" s="83"/>
      <c r="L280" s="83"/>
      <c r="M280" s="83"/>
      <c r="N280" s="83"/>
      <c r="O280" s="83"/>
      <c r="P280" s="83"/>
      <c r="Q280" s="83"/>
      <c r="R280" s="83"/>
    </row>
    <row r="281" spans="1:18" s="84" customFormat="1" ht="11.25">
      <c r="A281" s="101"/>
      <c r="C281" s="83"/>
      <c r="D281" s="85"/>
      <c r="E281" s="86"/>
      <c r="F281" s="86"/>
      <c r="I281" s="83"/>
      <c r="K281" s="83"/>
      <c r="L281" s="83"/>
      <c r="M281" s="83"/>
      <c r="N281" s="83"/>
      <c r="O281" s="83"/>
      <c r="P281" s="83"/>
      <c r="Q281" s="83"/>
      <c r="R281" s="83"/>
    </row>
    <row r="282" spans="1:18" ht="11.25">
      <c r="A282" s="102"/>
    </row>
    <row r="283" spans="1:18" ht="11.25">
      <c r="A283" s="102"/>
    </row>
  </sheetData>
  <mergeCells count="1">
    <mergeCell ref="A4:F4"/>
  </mergeCells>
  <pageMargins left="0.7" right="0.7" top="0.75" bottom="0.75" header="0.3" footer="0.3"/>
  <pageSetup fitToHeight="0" pageOrder="overThenDown" orientation="portrait" r:id="rId1"/>
  <headerFooter>
    <oddFooter xml:space="preserve">&amp;L&amp;F - &amp;A
&amp;R&amp;P of &amp;N
</oddFooter>
  </headerFooter>
  <rowBreaks count="3" manualBreakCount="3">
    <brk id="52" max="5" man="1"/>
    <brk id="99" max="5" man="1"/>
    <brk id="135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zoomScaleNormal="100" zoomScaleSheetLayoutView="100" zoomScalePageLayoutView="80" workbookViewId="0"/>
  </sheetViews>
  <sheetFormatPr defaultRowHeight="12.75"/>
  <cols>
    <col min="1" max="1" width="5.7109375" style="18" customWidth="1"/>
    <col min="2" max="2" width="34.140625" style="18" bestFit="1" customWidth="1"/>
    <col min="3" max="4" width="15.85546875" style="18" bestFit="1" customWidth="1"/>
    <col min="5" max="5" width="14.5703125" style="18" bestFit="1" customWidth="1"/>
    <col min="6" max="6" width="34.140625" style="18" bestFit="1" customWidth="1"/>
    <col min="7" max="7" width="14.5703125" style="18" bestFit="1" customWidth="1"/>
    <col min="8" max="9" width="9.140625" style="18"/>
    <col min="10" max="10" width="15.28515625" style="18" bestFit="1" customWidth="1"/>
    <col min="11" max="16384" width="9.140625" style="18"/>
  </cols>
  <sheetData>
    <row r="1" spans="1:10">
      <c r="A1" s="161" t="s">
        <v>625</v>
      </c>
    </row>
    <row r="2" spans="1:10">
      <c r="A2" s="108" t="s">
        <v>306</v>
      </c>
    </row>
    <row r="3" spans="1:10" ht="12.75" customHeight="1" thickBot="1">
      <c r="A3" s="108"/>
    </row>
    <row r="4" spans="1:10" customFormat="1" ht="25.5" customHeight="1" thickBot="1">
      <c r="A4" s="263" t="s">
        <v>627</v>
      </c>
      <c r="B4" s="264"/>
      <c r="C4" s="264"/>
      <c r="D4" s="264"/>
      <c r="E4" s="265"/>
    </row>
    <row r="5" spans="1:10" customFormat="1" ht="12.75" customHeight="1"/>
    <row r="6" spans="1:10" ht="25.5" customHeight="1">
      <c r="A6" s="266" t="s">
        <v>628</v>
      </c>
      <c r="B6" s="266"/>
      <c r="C6" s="266"/>
      <c r="D6" s="266"/>
      <c r="E6" s="266"/>
    </row>
    <row r="7" spans="1:10">
      <c r="A7" s="253"/>
      <c r="B7" s="253"/>
      <c r="C7" s="253"/>
      <c r="D7" s="253"/>
      <c r="E7" s="253"/>
      <c r="F7" s="151"/>
      <c r="G7" s="151"/>
      <c r="H7" s="151"/>
    </row>
    <row r="9" spans="1:10">
      <c r="C9" s="109" t="s">
        <v>307</v>
      </c>
      <c r="D9" s="109" t="s">
        <v>308</v>
      </c>
    </row>
    <row r="10" spans="1:10">
      <c r="B10" s="156" t="s">
        <v>310</v>
      </c>
      <c r="C10" s="112">
        <v>78285.730000000345</v>
      </c>
      <c r="D10" s="113">
        <v>6325405.3100000434</v>
      </c>
    </row>
    <row r="11" spans="1:10">
      <c r="B11" s="156" t="s">
        <v>312</v>
      </c>
      <c r="C11" s="112">
        <v>0.59000000000000019</v>
      </c>
      <c r="D11" s="113">
        <v>141.58000000000001</v>
      </c>
      <c r="J11" s="117"/>
    </row>
    <row r="12" spans="1:10">
      <c r="B12" s="156" t="s">
        <v>315</v>
      </c>
      <c r="C12" s="112">
        <v>2440.150000000001</v>
      </c>
      <c r="D12" s="113">
        <v>61370.51</v>
      </c>
    </row>
    <row r="13" spans="1:10" ht="13.5" thickBot="1">
      <c r="B13" s="156"/>
      <c r="C13" s="118">
        <f>SUM(C10:C12)</f>
        <v>80726.470000000336</v>
      </c>
      <c r="D13" s="119">
        <f>SUM(D10:D12)</f>
        <v>6386917.4000000432</v>
      </c>
      <c r="J13" s="117"/>
    </row>
    <row r="14" spans="1:10" ht="13.5" thickTop="1">
      <c r="C14" s="120"/>
      <c r="D14" s="114"/>
    </row>
    <row r="15" spans="1:10">
      <c r="B15" s="18" t="s">
        <v>320</v>
      </c>
      <c r="C15" s="120">
        <v>80726.470000000249</v>
      </c>
      <c r="D15" s="114">
        <v>6386917.4000000479</v>
      </c>
    </row>
    <row r="16" spans="1:10">
      <c r="B16" s="18" t="s">
        <v>323</v>
      </c>
      <c r="C16" s="120">
        <f>+C15-C13</f>
        <v>0</v>
      </c>
      <c r="D16" s="120">
        <f>+D15-D13</f>
        <v>0</v>
      </c>
    </row>
    <row r="17" spans="2:5">
      <c r="C17" s="120"/>
      <c r="D17" s="114"/>
    </row>
    <row r="18" spans="2:5">
      <c r="C18" s="120"/>
      <c r="D18" s="114"/>
    </row>
    <row r="19" spans="2:5">
      <c r="B19" s="157" t="s">
        <v>327</v>
      </c>
      <c r="C19" s="123">
        <v>142353.68000000023</v>
      </c>
      <c r="D19" s="124">
        <v>12776228.64000003</v>
      </c>
    </row>
    <row r="20" spans="2:5">
      <c r="B20" s="157" t="s">
        <v>328</v>
      </c>
      <c r="C20" s="123">
        <v>1689.4800000000014</v>
      </c>
      <c r="D20" s="124">
        <v>110572.83000000007</v>
      </c>
    </row>
    <row r="21" spans="2:5">
      <c r="B21" s="157" t="s">
        <v>330</v>
      </c>
      <c r="C21" s="123">
        <v>6922.8299999999917</v>
      </c>
      <c r="D21" s="124">
        <v>197698.93999999989</v>
      </c>
    </row>
    <row r="22" spans="2:5" ht="13.5" thickBot="1">
      <c r="B22" s="157"/>
      <c r="C22" s="127">
        <f>SUM(C19:C21)</f>
        <v>150965.99000000022</v>
      </c>
      <c r="D22" s="128">
        <f>SUM(D19:D21)</f>
        <v>13084500.41000003</v>
      </c>
    </row>
    <row r="23" spans="2:5" ht="13.5" thickTop="1">
      <c r="C23" s="120"/>
      <c r="D23" s="114"/>
    </row>
    <row r="24" spans="2:5">
      <c r="B24" s="18" t="s">
        <v>334</v>
      </c>
      <c r="C24" s="120">
        <v>150965.99</v>
      </c>
      <c r="D24" s="114">
        <v>13084500.410000021</v>
      </c>
    </row>
    <row r="25" spans="2:5">
      <c r="B25" s="18" t="s">
        <v>323</v>
      </c>
      <c r="C25" s="120">
        <f>+C24-C22</f>
        <v>-2.3283064365386963E-10</v>
      </c>
      <c r="D25" s="120">
        <f>+D24-D22</f>
        <v>0</v>
      </c>
      <c r="E25" s="114"/>
    </row>
    <row r="27" spans="2:5">
      <c r="B27" s="110" t="s">
        <v>309</v>
      </c>
      <c r="C27" s="111">
        <v>20486867.590000004</v>
      </c>
    </row>
    <row r="28" spans="2:5">
      <c r="C28" s="114"/>
      <c r="D28" s="18" t="s">
        <v>311</v>
      </c>
    </row>
    <row r="29" spans="2:5">
      <c r="B29" s="158" t="s">
        <v>313</v>
      </c>
      <c r="C29" s="115">
        <f>D10</f>
        <v>6325405.3100000434</v>
      </c>
      <c r="D29" s="116" t="s">
        <v>314</v>
      </c>
    </row>
    <row r="30" spans="2:5">
      <c r="B30" s="158" t="s">
        <v>316</v>
      </c>
      <c r="C30" s="115">
        <f>D19</f>
        <v>12776228.64000003</v>
      </c>
      <c r="D30" s="116" t="s">
        <v>314</v>
      </c>
    </row>
    <row r="31" spans="2:5">
      <c r="B31" s="158" t="s">
        <v>317</v>
      </c>
      <c r="C31" s="115">
        <f>SUM(D11:D12,D20:D21)+1760.29</f>
        <v>371544.14999999997</v>
      </c>
      <c r="D31" s="116" t="s">
        <v>314</v>
      </c>
    </row>
    <row r="32" spans="2:5">
      <c r="B32" s="158" t="s">
        <v>318</v>
      </c>
      <c r="C32" s="115">
        <v>4300.1000000000004</v>
      </c>
      <c r="D32" s="116" t="s">
        <v>319</v>
      </c>
    </row>
    <row r="33" spans="2:5">
      <c r="B33" s="158" t="s">
        <v>321</v>
      </c>
      <c r="C33" s="115">
        <v>223134.01</v>
      </c>
      <c r="D33" s="116" t="s">
        <v>322</v>
      </c>
    </row>
    <row r="34" spans="2:5">
      <c r="B34" s="158" t="s">
        <v>324</v>
      </c>
      <c r="C34" s="115">
        <v>786255.38</v>
      </c>
      <c r="D34" s="116" t="s">
        <v>325</v>
      </c>
    </row>
    <row r="35" spans="2:5" ht="13.5" thickBot="1">
      <c r="C35" s="121">
        <f>SUM(C29:C34)</f>
        <v>20486867.590000074</v>
      </c>
    </row>
    <row r="36" spans="2:5" ht="13.5" thickTop="1">
      <c r="B36" s="122" t="s">
        <v>326</v>
      </c>
      <c r="C36" s="114">
        <f>+C35-C27</f>
        <v>7.0780515670776367E-8</v>
      </c>
    </row>
    <row r="37" spans="2:5">
      <c r="E37" s="125"/>
    </row>
    <row r="38" spans="2:5" ht="12.75" customHeight="1">
      <c r="B38" s="152" t="s">
        <v>329</v>
      </c>
      <c r="C38" s="152"/>
    </row>
    <row r="39" spans="2:5">
      <c r="B39" s="126" t="s">
        <v>331</v>
      </c>
      <c r="C39" s="117">
        <v>6625525.0600000005</v>
      </c>
    </row>
    <row r="40" spans="2:5">
      <c r="B40" s="126" t="s">
        <v>332</v>
      </c>
      <c r="C40" s="117">
        <f>D13</f>
        <v>6386917.4000000432</v>
      </c>
    </row>
    <row r="41" spans="2:5">
      <c r="B41" s="126" t="s">
        <v>333</v>
      </c>
      <c r="C41" s="117">
        <f>C39-C40</f>
        <v>238607.65999995731</v>
      </c>
    </row>
  </sheetData>
  <mergeCells count="2">
    <mergeCell ref="A4:E4"/>
    <mergeCell ref="A6:E6"/>
  </mergeCells>
  <pageMargins left="0.7" right="0.7" top="0.75" bottom="0.75" header="0.3" footer="0.3"/>
  <pageSetup pageOrder="overThenDown" orientation="portrait" r:id="rId1"/>
  <headerFooter>
    <oddFooter xml:space="preserve">&amp;L&amp;F - &amp;A
&amp;R&amp;P of &amp;N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showGridLines="0" topLeftCell="A46" zoomScaleNormal="100" zoomScaleSheetLayoutView="85" zoomScalePageLayoutView="80" workbookViewId="0"/>
  </sheetViews>
  <sheetFormatPr defaultRowHeight="12.75"/>
  <cols>
    <col min="1" max="1" width="25.140625" style="4" bestFit="1" customWidth="1"/>
    <col min="2" max="2" width="7" style="4" customWidth="1"/>
    <col min="3" max="3" width="22" style="4" customWidth="1"/>
    <col min="4" max="4" width="9.5703125" style="4" bestFit="1" customWidth="1"/>
    <col min="5" max="5" width="10.7109375" style="4" bestFit="1" customWidth="1"/>
    <col min="6" max="6" width="9.5703125" style="4" bestFit="1" customWidth="1"/>
    <col min="7" max="7" width="10.140625" style="4" bestFit="1" customWidth="1"/>
    <col min="8" max="8" width="7.5703125" style="4" bestFit="1" customWidth="1"/>
    <col min="9" max="9" width="9.28515625" style="4" bestFit="1" customWidth="1"/>
    <col min="10" max="10" width="9.5703125" style="4" bestFit="1" customWidth="1"/>
    <col min="11" max="11" width="14.5703125" style="4" customWidth="1"/>
    <col min="12" max="12" width="9.140625" style="4"/>
    <col min="13" max="13" width="17.42578125" style="4" customWidth="1"/>
    <col min="14" max="16384" width="9.140625" style="4"/>
  </cols>
  <sheetData>
    <row r="1" spans="1:10">
      <c r="A1" s="161" t="s">
        <v>625</v>
      </c>
    </row>
    <row r="2" spans="1:10">
      <c r="A2" s="108" t="s">
        <v>589</v>
      </c>
    </row>
    <row r="3" spans="1:10" ht="13.5" thickBot="1">
      <c r="A3" s="108"/>
    </row>
    <row r="4" spans="1:10" customFormat="1" ht="25.5" customHeight="1" thickBot="1">
      <c r="A4" s="263" t="s">
        <v>627</v>
      </c>
      <c r="B4" s="264"/>
      <c r="C4" s="264"/>
      <c r="D4" s="264"/>
      <c r="E4" s="264"/>
      <c r="F4" s="264"/>
      <c r="G4" s="264"/>
      <c r="H4" s="264"/>
      <c r="I4" s="265"/>
    </row>
    <row r="6" spans="1:10">
      <c r="A6" s="267" t="s">
        <v>0</v>
      </c>
      <c r="B6" s="267"/>
      <c r="C6" s="267"/>
      <c r="D6" s="267"/>
      <c r="E6" s="267"/>
      <c r="F6" s="267"/>
      <c r="G6" s="267"/>
      <c r="H6" s="267"/>
      <c r="I6" s="267"/>
      <c r="J6" s="18"/>
    </row>
    <row r="7" spans="1:10">
      <c r="A7" s="4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  <c r="I7" s="19" t="s">
        <v>8</v>
      </c>
    </row>
    <row r="8" spans="1:10">
      <c r="A8" s="4" t="s">
        <v>9</v>
      </c>
      <c r="C8" s="8">
        <f>+C12*5</f>
        <v>21.65</v>
      </c>
      <c r="D8" s="20">
        <f>ROUND($C$8*2,2)</f>
        <v>43.3</v>
      </c>
      <c r="E8" s="20">
        <f>ROUND($C$8*3,2)</f>
        <v>64.95</v>
      </c>
      <c r="F8" s="20">
        <f>ROUND($C$8*4,2)</f>
        <v>86.6</v>
      </c>
      <c r="G8" s="20">
        <f>ROUND($C$8*5,2)</f>
        <v>108.25</v>
      </c>
      <c r="H8" s="20">
        <f>ROUND($C$8*6,2)</f>
        <v>129.9</v>
      </c>
      <c r="I8" s="20">
        <f>ROUND($C$8*7,2)</f>
        <v>151.55000000000001</v>
      </c>
    </row>
    <row r="9" spans="1:10">
      <c r="A9" s="4" t="s">
        <v>10</v>
      </c>
      <c r="C9" s="8">
        <f>+C12*4</f>
        <v>17.32</v>
      </c>
      <c r="D9" s="20">
        <f>ROUND($C$9*2,2)</f>
        <v>34.64</v>
      </c>
      <c r="E9" s="20">
        <f>ROUND($C$9*3,2)</f>
        <v>51.96</v>
      </c>
      <c r="F9" s="20">
        <f>ROUND($C$9*4,2)</f>
        <v>69.28</v>
      </c>
      <c r="G9" s="20">
        <f>ROUND($C$9*5,2)</f>
        <v>86.6</v>
      </c>
      <c r="H9" s="20">
        <f>ROUND($C$9*6,2)</f>
        <v>103.92</v>
      </c>
      <c r="I9" s="20">
        <f>ROUND($C$9*7,2)</f>
        <v>121.24</v>
      </c>
    </row>
    <row r="10" spans="1:10">
      <c r="A10" s="4" t="s">
        <v>11</v>
      </c>
      <c r="C10" s="8">
        <f>+C12*3</f>
        <v>12.99</v>
      </c>
      <c r="D10" s="20">
        <f>ROUND($C$10*2,2)</f>
        <v>25.98</v>
      </c>
      <c r="E10" s="20">
        <f>ROUND($C$10*3,2)</f>
        <v>38.97</v>
      </c>
      <c r="F10" s="20">
        <f>ROUND($C$10*4,2)</f>
        <v>51.96</v>
      </c>
      <c r="G10" s="20">
        <f>ROUND($C$10*5,2)</f>
        <v>64.95</v>
      </c>
      <c r="H10" s="20">
        <f>ROUND($C$10*6,2)</f>
        <v>77.94</v>
      </c>
      <c r="I10" s="20">
        <f>ROUND($C$10*7,2)</f>
        <v>90.93</v>
      </c>
    </row>
    <row r="11" spans="1:10">
      <c r="A11" s="4" t="s">
        <v>12</v>
      </c>
      <c r="C11" s="8">
        <f>+C12*2</f>
        <v>8.66</v>
      </c>
      <c r="D11" s="10">
        <f>ROUND($C$11*2,2)</f>
        <v>17.32</v>
      </c>
      <c r="E11" s="10">
        <f>ROUND($C$11*3,2)</f>
        <v>25.98</v>
      </c>
      <c r="F11" s="10">
        <f>ROUND($C$11*4,2)</f>
        <v>34.64</v>
      </c>
      <c r="G11" s="10">
        <f>ROUND($C$11*5,2)</f>
        <v>43.3</v>
      </c>
      <c r="H11" s="10">
        <f>ROUND($C$11*6,2)</f>
        <v>51.96</v>
      </c>
      <c r="I11" s="10">
        <f>ROUND($C$11*7,2)</f>
        <v>60.62</v>
      </c>
    </row>
    <row r="12" spans="1:10">
      <c r="A12" s="4" t="s">
        <v>13</v>
      </c>
      <c r="C12" s="103">
        <f>ROUND(52/12,2)</f>
        <v>4.33</v>
      </c>
      <c r="D12" s="10">
        <f>ROUND($C$12*2,2)</f>
        <v>8.66</v>
      </c>
      <c r="E12" s="10">
        <f>ROUND($C$12*3,2)</f>
        <v>12.99</v>
      </c>
      <c r="F12" s="10">
        <f>ROUND($C$12*4,2)</f>
        <v>17.32</v>
      </c>
      <c r="G12" s="10">
        <f>ROUND($C$12*5,2)</f>
        <v>21.65</v>
      </c>
      <c r="H12" s="10">
        <f>ROUND($C$12*6,2)</f>
        <v>25.98</v>
      </c>
      <c r="I12" s="10">
        <f>ROUND($C$12*7,2)</f>
        <v>30.31</v>
      </c>
    </row>
    <row r="13" spans="1:10">
      <c r="A13" s="4" t="s">
        <v>14</v>
      </c>
      <c r="C13" s="8">
        <f>ROUND(26/12,2)</f>
        <v>2.17</v>
      </c>
      <c r="D13" s="10">
        <f>ROUND($C$13*2,2)</f>
        <v>4.34</v>
      </c>
      <c r="E13" s="10">
        <f>ROUND($C$13*3,2)</f>
        <v>6.51</v>
      </c>
      <c r="F13" s="10">
        <f>ROUND($C$13*4,2)</f>
        <v>8.68</v>
      </c>
      <c r="G13" s="10">
        <f>ROUND($C$13*5,2)</f>
        <v>10.85</v>
      </c>
      <c r="H13" s="10">
        <f>ROUND($C$13*6,2)</f>
        <v>13.02</v>
      </c>
      <c r="I13" s="10">
        <f>ROUND($C$13*7,2)</f>
        <v>15.19</v>
      </c>
    </row>
    <row r="14" spans="1:10">
      <c r="A14" s="4" t="s">
        <v>15</v>
      </c>
      <c r="C14" s="103">
        <f>12/12</f>
        <v>1</v>
      </c>
      <c r="D14" s="10">
        <f>$C$14*2</f>
        <v>2</v>
      </c>
      <c r="E14" s="10">
        <f>$C$14*3</f>
        <v>3</v>
      </c>
      <c r="F14" s="10">
        <f>$C$14*4</f>
        <v>4</v>
      </c>
      <c r="G14" s="10">
        <f>$C$14*5</f>
        <v>5</v>
      </c>
      <c r="H14" s="10">
        <f>$C$14*6</f>
        <v>6</v>
      </c>
      <c r="I14" s="10">
        <f>$C$14*7</f>
        <v>7</v>
      </c>
    </row>
    <row r="15" spans="1:10">
      <c r="A15" s="4" t="s">
        <v>16</v>
      </c>
      <c r="C15" s="8">
        <v>1</v>
      </c>
      <c r="D15" s="10"/>
      <c r="E15" s="10"/>
      <c r="F15" s="10"/>
      <c r="G15" s="10"/>
      <c r="H15" s="10"/>
      <c r="I15" s="10"/>
    </row>
    <row r="16" spans="1:10">
      <c r="C16" s="8"/>
      <c r="D16" s="10"/>
      <c r="E16" s="10"/>
      <c r="F16" s="10"/>
      <c r="G16" s="10"/>
      <c r="H16" s="10"/>
      <c r="I16" s="10"/>
    </row>
    <row r="17" spans="1:9">
      <c r="A17" s="267" t="s">
        <v>17</v>
      </c>
      <c r="B17" s="267"/>
      <c r="C17" s="267"/>
      <c r="D17" s="10"/>
      <c r="E17" s="10"/>
      <c r="F17" s="10"/>
      <c r="G17" s="10"/>
      <c r="H17" s="10"/>
      <c r="I17" s="10"/>
    </row>
    <row r="18" spans="1:9">
      <c r="A18" s="1" t="s">
        <v>18</v>
      </c>
      <c r="B18" s="1"/>
      <c r="C18" s="21" t="s">
        <v>19</v>
      </c>
      <c r="D18" s="10"/>
      <c r="E18" s="10"/>
      <c r="F18" s="10"/>
      <c r="G18" s="10"/>
      <c r="H18" s="10"/>
      <c r="I18" s="10"/>
    </row>
    <row r="19" spans="1:9">
      <c r="A19" s="22" t="s">
        <v>20</v>
      </c>
      <c r="B19" s="22"/>
      <c r="C19" s="9">
        <v>20</v>
      </c>
      <c r="D19" s="10"/>
      <c r="E19" s="10"/>
      <c r="F19" s="10"/>
      <c r="G19" s="10"/>
      <c r="H19" s="10"/>
      <c r="I19" s="10"/>
    </row>
    <row r="20" spans="1:9">
      <c r="A20" s="22" t="s">
        <v>21</v>
      </c>
      <c r="B20" s="22"/>
      <c r="C20" s="9">
        <v>34</v>
      </c>
      <c r="D20" s="10"/>
      <c r="E20" s="10"/>
      <c r="F20" s="10"/>
      <c r="G20" s="10"/>
      <c r="H20" s="10"/>
      <c r="I20" s="10"/>
    </row>
    <row r="21" spans="1:9">
      <c r="A21" s="22" t="s">
        <v>22</v>
      </c>
      <c r="B21" s="22"/>
      <c r="C21" s="9">
        <v>51</v>
      </c>
      <c r="D21" s="10"/>
      <c r="E21" s="10"/>
      <c r="F21" s="10"/>
      <c r="G21" s="10"/>
      <c r="H21" s="10"/>
      <c r="I21" s="10"/>
    </row>
    <row r="22" spans="1:9">
      <c r="A22" s="22" t="s">
        <v>23</v>
      </c>
      <c r="B22" s="22"/>
      <c r="C22" s="9">
        <v>77</v>
      </c>
      <c r="D22" s="10"/>
      <c r="E22" s="10"/>
      <c r="F22" s="10"/>
      <c r="G22" s="4" t="s">
        <v>24</v>
      </c>
      <c r="H22" s="9">
        <v>2000</v>
      </c>
      <c r="I22" s="10"/>
    </row>
    <row r="23" spans="1:9">
      <c r="A23" s="22" t="s">
        <v>25</v>
      </c>
      <c r="B23" s="22"/>
      <c r="C23" s="9">
        <v>97</v>
      </c>
      <c r="D23" s="10"/>
      <c r="E23" s="10"/>
      <c r="F23" s="10"/>
      <c r="G23" s="4" t="s">
        <v>26</v>
      </c>
      <c r="H23" s="145" t="s">
        <v>587</v>
      </c>
      <c r="I23" s="10"/>
    </row>
    <row r="24" spans="1:9">
      <c r="A24" s="22" t="s">
        <v>27</v>
      </c>
      <c r="B24" s="22"/>
      <c r="C24" s="146">
        <v>117</v>
      </c>
      <c r="D24" s="10"/>
      <c r="E24" s="10"/>
      <c r="F24" s="10"/>
      <c r="I24" s="10"/>
    </row>
    <row r="25" spans="1:9">
      <c r="A25" s="22" t="s">
        <v>28</v>
      </c>
      <c r="B25" s="22"/>
      <c r="C25" s="146">
        <v>137</v>
      </c>
      <c r="D25" s="10"/>
      <c r="E25" s="10"/>
      <c r="F25" s="10"/>
      <c r="G25" s="2" t="s">
        <v>29</v>
      </c>
      <c r="H25" s="23">
        <v>12</v>
      </c>
      <c r="I25" s="10"/>
    </row>
    <row r="26" spans="1:9">
      <c r="A26" s="22" t="s">
        <v>30</v>
      </c>
      <c r="B26" s="22"/>
      <c r="C26" s="146">
        <f>C25+20+20</f>
        <v>177</v>
      </c>
      <c r="D26" s="10"/>
      <c r="E26" s="10"/>
      <c r="F26" s="10"/>
      <c r="G26" s="2"/>
      <c r="H26" s="23"/>
      <c r="I26" s="10"/>
    </row>
    <row r="27" spans="1:9">
      <c r="A27" s="22" t="s">
        <v>31</v>
      </c>
      <c r="B27" s="22"/>
      <c r="C27" s="146">
        <v>40</v>
      </c>
      <c r="D27" s="10" t="s">
        <v>32</v>
      </c>
      <c r="E27" s="10"/>
      <c r="F27" s="10"/>
      <c r="G27" s="24"/>
      <c r="H27" s="25"/>
      <c r="I27" s="10"/>
    </row>
    <row r="28" spans="1:9">
      <c r="A28" s="22" t="s">
        <v>33</v>
      </c>
      <c r="B28" s="22"/>
      <c r="C28" s="146">
        <v>47</v>
      </c>
      <c r="D28" s="10"/>
      <c r="E28" s="10"/>
      <c r="F28" s="10"/>
      <c r="G28" s="10"/>
      <c r="H28" s="10"/>
      <c r="I28" s="10"/>
    </row>
    <row r="29" spans="1:9">
      <c r="A29" s="22" t="s">
        <v>34</v>
      </c>
      <c r="B29" s="22"/>
      <c r="C29" s="146">
        <f>C21</f>
        <v>51</v>
      </c>
      <c r="D29" s="10"/>
      <c r="E29" s="10"/>
      <c r="F29" s="10"/>
      <c r="G29" s="10"/>
      <c r="H29" s="10"/>
      <c r="I29" s="10"/>
    </row>
    <row r="30" spans="1:9">
      <c r="A30" s="22" t="s">
        <v>35</v>
      </c>
      <c r="B30" s="22"/>
      <c r="C30" s="146">
        <v>68</v>
      </c>
      <c r="D30" s="10"/>
      <c r="E30" s="10"/>
      <c r="F30" s="10"/>
      <c r="G30" s="10"/>
      <c r="H30" s="10"/>
      <c r="I30" s="10"/>
    </row>
    <row r="31" spans="1:9">
      <c r="A31" s="22" t="s">
        <v>36</v>
      </c>
      <c r="B31" s="22"/>
      <c r="C31" s="146">
        <f>C22</f>
        <v>77</v>
      </c>
      <c r="D31" s="10"/>
      <c r="E31" s="10"/>
      <c r="F31" s="10"/>
      <c r="G31" s="10"/>
      <c r="H31" s="10"/>
      <c r="I31" s="10"/>
    </row>
    <row r="32" spans="1:9">
      <c r="A32" s="22" t="s">
        <v>37</v>
      </c>
      <c r="B32" s="22"/>
      <c r="C32" s="146">
        <v>34</v>
      </c>
      <c r="D32" s="10"/>
      <c r="E32" s="10"/>
      <c r="F32" s="10"/>
      <c r="G32" s="10"/>
      <c r="H32" s="10"/>
      <c r="I32" s="10"/>
    </row>
    <row r="33" spans="1:9">
      <c r="A33" s="22" t="s">
        <v>38</v>
      </c>
      <c r="B33" s="22"/>
      <c r="C33" s="146">
        <v>34</v>
      </c>
      <c r="D33" s="10"/>
      <c r="E33" s="10"/>
      <c r="F33" s="10"/>
      <c r="G33" s="10"/>
      <c r="H33" s="10"/>
      <c r="I33" s="10"/>
    </row>
    <row r="34" spans="1:9">
      <c r="A34" s="1" t="s">
        <v>39</v>
      </c>
      <c r="B34" s="1"/>
      <c r="C34" s="146"/>
      <c r="D34" s="10"/>
      <c r="E34" s="10"/>
      <c r="F34" s="10"/>
      <c r="G34" s="10"/>
      <c r="H34" s="10"/>
      <c r="I34" s="10"/>
    </row>
    <row r="35" spans="1:9">
      <c r="A35" s="22" t="s">
        <v>40</v>
      </c>
      <c r="B35" s="22"/>
      <c r="C35" s="146">
        <v>29</v>
      </c>
      <c r="D35" s="10"/>
      <c r="E35" s="10"/>
      <c r="F35" s="10"/>
      <c r="G35" s="10"/>
      <c r="H35" s="10"/>
      <c r="I35" s="10"/>
    </row>
    <row r="36" spans="1:9">
      <c r="A36" s="22" t="s">
        <v>41</v>
      </c>
      <c r="B36" s="22"/>
      <c r="C36" s="146">
        <v>125</v>
      </c>
      <c r="D36" s="10"/>
      <c r="E36" s="10"/>
      <c r="F36" s="10"/>
      <c r="G36" s="10"/>
      <c r="H36" s="10"/>
      <c r="I36" s="10"/>
    </row>
    <row r="37" spans="1:9">
      <c r="A37" s="22" t="s">
        <v>42</v>
      </c>
      <c r="B37" s="22"/>
      <c r="C37" s="146">
        <v>175</v>
      </c>
      <c r="D37" s="10"/>
      <c r="E37" s="10"/>
      <c r="F37" s="10"/>
      <c r="G37" s="10"/>
      <c r="H37" s="10"/>
      <c r="I37" s="10"/>
    </row>
    <row r="38" spans="1:9">
      <c r="A38" s="22" t="s">
        <v>43</v>
      </c>
      <c r="B38" s="22"/>
      <c r="C38" s="146">
        <v>250</v>
      </c>
      <c r="D38" s="10"/>
      <c r="E38" s="10"/>
      <c r="F38" s="10"/>
      <c r="G38" s="10"/>
      <c r="H38" s="10"/>
      <c r="I38" s="10"/>
    </row>
    <row r="39" spans="1:9">
      <c r="A39" s="22" t="s">
        <v>44</v>
      </c>
      <c r="B39" s="22"/>
      <c r="C39" s="146">
        <v>324</v>
      </c>
      <c r="D39" s="10"/>
      <c r="E39" s="10"/>
      <c r="F39" s="10"/>
      <c r="G39" s="10"/>
      <c r="H39" s="10"/>
      <c r="I39" s="10"/>
    </row>
    <row r="40" spans="1:9">
      <c r="A40" s="22" t="s">
        <v>45</v>
      </c>
      <c r="B40" s="22"/>
      <c r="C40" s="146">
        <v>473</v>
      </c>
      <c r="D40" s="10"/>
      <c r="E40" s="10"/>
      <c r="F40" s="10"/>
      <c r="G40" s="10"/>
      <c r="H40" s="10"/>
      <c r="I40" s="10"/>
    </row>
    <row r="41" spans="1:9">
      <c r="A41" s="22" t="s">
        <v>46</v>
      </c>
      <c r="B41" s="22"/>
      <c r="C41" s="146">
        <v>613</v>
      </c>
      <c r="D41" s="10"/>
      <c r="E41" s="10"/>
      <c r="F41" s="10"/>
      <c r="G41" s="10"/>
      <c r="H41" s="10"/>
      <c r="I41" s="10"/>
    </row>
    <row r="42" spans="1:9">
      <c r="A42" s="26" t="s">
        <v>47</v>
      </c>
      <c r="B42" s="26"/>
      <c r="C42" s="146">
        <f>C41+115</f>
        <v>728</v>
      </c>
      <c r="D42" s="10"/>
      <c r="E42" s="10"/>
      <c r="F42" s="10"/>
      <c r="G42" s="10"/>
      <c r="H42" s="10"/>
      <c r="I42" s="10"/>
    </row>
    <row r="43" spans="1:9">
      <c r="A43" s="22" t="s">
        <v>48</v>
      </c>
      <c r="B43" s="22"/>
      <c r="C43" s="146">
        <v>840</v>
      </c>
      <c r="D43" s="10"/>
      <c r="E43" s="10"/>
      <c r="F43" s="10"/>
      <c r="G43" s="10"/>
      <c r="H43" s="10"/>
      <c r="I43" s="10"/>
    </row>
    <row r="44" spans="1:9">
      <c r="A44" s="22" t="s">
        <v>49</v>
      </c>
      <c r="B44" s="22"/>
      <c r="C44" s="146">
        <v>980</v>
      </c>
      <c r="D44" s="10"/>
      <c r="E44" s="10"/>
      <c r="F44" s="10"/>
      <c r="G44" s="10"/>
      <c r="H44" s="10"/>
      <c r="I44" s="10"/>
    </row>
    <row r="45" spans="1:9">
      <c r="A45" s="27" t="s">
        <v>50</v>
      </c>
      <c r="B45" s="27">
        <v>2.25</v>
      </c>
      <c r="C45" s="146"/>
      <c r="D45" s="28"/>
      <c r="E45" s="10"/>
      <c r="F45" s="10"/>
      <c r="G45" s="10"/>
      <c r="H45" s="10"/>
      <c r="I45" s="10"/>
    </row>
    <row r="46" spans="1:9">
      <c r="A46" s="22" t="s">
        <v>51</v>
      </c>
      <c r="B46" s="22"/>
      <c r="C46" s="146">
        <f>C39*$B$45</f>
        <v>729</v>
      </c>
      <c r="D46" s="10" t="s">
        <v>32</v>
      </c>
      <c r="E46" s="10"/>
      <c r="F46" s="10"/>
      <c r="G46" s="10"/>
      <c r="H46" s="10"/>
      <c r="I46" s="10"/>
    </row>
    <row r="47" spans="1:9">
      <c r="A47" s="22" t="s">
        <v>52</v>
      </c>
      <c r="B47" s="22"/>
      <c r="C47" s="9">
        <f>C41*$B$45</f>
        <v>1379.25</v>
      </c>
      <c r="D47" s="10" t="s">
        <v>32</v>
      </c>
      <c r="E47" s="10"/>
      <c r="F47" s="10"/>
      <c r="G47" s="10"/>
      <c r="H47" s="10"/>
      <c r="I47" s="10"/>
    </row>
    <row r="48" spans="1:9">
      <c r="A48" s="22" t="s">
        <v>53</v>
      </c>
      <c r="B48" s="22"/>
      <c r="C48" s="9">
        <f>C43*$B$45</f>
        <v>1890</v>
      </c>
      <c r="D48" s="10" t="s">
        <v>32</v>
      </c>
      <c r="E48" s="10"/>
      <c r="F48" s="10"/>
      <c r="G48" s="10"/>
      <c r="H48" s="10"/>
      <c r="I48" s="10"/>
    </row>
    <row r="49" spans="1:9">
      <c r="A49" s="27" t="s">
        <v>54</v>
      </c>
      <c r="B49" s="27">
        <v>3</v>
      </c>
      <c r="C49" s="9"/>
      <c r="D49" s="10"/>
      <c r="E49" s="10"/>
      <c r="F49" s="10"/>
      <c r="G49" s="10"/>
      <c r="H49" s="10"/>
      <c r="I49" s="10"/>
    </row>
    <row r="50" spans="1:9">
      <c r="A50" s="22" t="s">
        <v>51</v>
      </c>
      <c r="B50" s="22"/>
      <c r="C50" s="29">
        <f>C39*$B$49</f>
        <v>972</v>
      </c>
      <c r="D50" s="10" t="s">
        <v>32</v>
      </c>
      <c r="E50" s="10"/>
      <c r="F50" s="10"/>
      <c r="G50" s="10"/>
      <c r="H50" s="10"/>
      <c r="I50" s="10"/>
    </row>
    <row r="51" spans="1:9">
      <c r="A51" s="22" t="s">
        <v>55</v>
      </c>
      <c r="B51" s="22"/>
      <c r="C51" s="29">
        <f>C40*$B$49</f>
        <v>1419</v>
      </c>
      <c r="D51" s="10" t="s">
        <v>32</v>
      </c>
      <c r="E51" s="10"/>
      <c r="F51" s="10"/>
      <c r="G51" s="10"/>
      <c r="H51" s="10"/>
      <c r="I51" s="10"/>
    </row>
    <row r="52" spans="1:9">
      <c r="A52" s="22" t="s">
        <v>52</v>
      </c>
      <c r="B52" s="22"/>
      <c r="C52" s="29">
        <f>C41*$B$49</f>
        <v>1839</v>
      </c>
      <c r="D52" s="10" t="s">
        <v>32</v>
      </c>
      <c r="E52" s="10"/>
      <c r="F52" s="10"/>
      <c r="G52" s="10"/>
      <c r="H52" s="10"/>
      <c r="I52" s="10"/>
    </row>
    <row r="53" spans="1:9">
      <c r="A53" s="22" t="s">
        <v>53</v>
      </c>
      <c r="B53" s="22"/>
      <c r="C53" s="29">
        <f>C43*$B$49</f>
        <v>2520</v>
      </c>
      <c r="D53" s="10" t="s">
        <v>32</v>
      </c>
      <c r="E53" s="10"/>
      <c r="F53" s="10"/>
      <c r="G53" s="10"/>
      <c r="H53" s="10"/>
      <c r="I53" s="10"/>
    </row>
    <row r="54" spans="1:9">
      <c r="A54" s="27" t="s">
        <v>56</v>
      </c>
      <c r="B54" s="27">
        <v>4</v>
      </c>
      <c r="C54" s="9"/>
      <c r="D54" s="10"/>
      <c r="E54" s="10"/>
      <c r="F54" s="10"/>
      <c r="G54" s="10"/>
      <c r="H54" s="10"/>
      <c r="I54" s="10"/>
    </row>
    <row r="55" spans="1:9">
      <c r="A55" s="22" t="s">
        <v>585</v>
      </c>
      <c r="B55" s="27"/>
      <c r="C55" s="9">
        <f>C38*B54</f>
        <v>1000</v>
      </c>
      <c r="D55" s="10" t="s">
        <v>32</v>
      </c>
      <c r="E55" s="10"/>
      <c r="F55" s="10"/>
      <c r="G55" s="10"/>
      <c r="H55" s="10"/>
      <c r="I55" s="10"/>
    </row>
    <row r="56" spans="1:9">
      <c r="A56" s="22" t="s">
        <v>51</v>
      </c>
      <c r="B56" s="27"/>
      <c r="C56" s="9">
        <f>C39*B54</f>
        <v>1296</v>
      </c>
      <c r="D56" s="10" t="s">
        <v>32</v>
      </c>
      <c r="E56" s="10"/>
      <c r="F56" s="10"/>
      <c r="G56" s="10"/>
      <c r="H56" s="10"/>
      <c r="I56" s="10"/>
    </row>
    <row r="57" spans="1:9">
      <c r="A57" s="22" t="s">
        <v>55</v>
      </c>
      <c r="B57" s="22"/>
      <c r="C57" s="29">
        <f>C40*$B$54</f>
        <v>1892</v>
      </c>
      <c r="D57" s="10" t="s">
        <v>32</v>
      </c>
      <c r="E57" s="10"/>
      <c r="F57" s="10"/>
      <c r="G57" s="10"/>
      <c r="H57" s="10"/>
      <c r="I57" s="10"/>
    </row>
    <row r="58" spans="1:9">
      <c r="A58" s="22" t="s">
        <v>52</v>
      </c>
      <c r="B58" s="22"/>
      <c r="C58" s="29">
        <f>C41*$B$54</f>
        <v>2452</v>
      </c>
      <c r="D58" s="10" t="s">
        <v>32</v>
      </c>
      <c r="E58" s="10"/>
      <c r="F58" s="10"/>
      <c r="G58" s="10"/>
      <c r="H58" s="10"/>
      <c r="I58" s="10"/>
    </row>
    <row r="59" spans="1:9">
      <c r="A59" s="22" t="s">
        <v>53</v>
      </c>
      <c r="B59" s="22"/>
      <c r="C59" s="29">
        <f>C43*$B$54</f>
        <v>3360</v>
      </c>
      <c r="D59" s="10" t="s">
        <v>32</v>
      </c>
      <c r="E59" s="10"/>
      <c r="F59" s="10"/>
      <c r="G59" s="10"/>
      <c r="H59" s="10"/>
      <c r="I59" s="10"/>
    </row>
    <row r="60" spans="1:9">
      <c r="A60" s="27" t="s">
        <v>57</v>
      </c>
      <c r="B60" s="27">
        <v>5</v>
      </c>
      <c r="C60" s="9"/>
      <c r="D60" s="10"/>
      <c r="E60" s="10"/>
      <c r="F60" s="10"/>
      <c r="G60" s="10"/>
      <c r="H60" s="10"/>
      <c r="I60" s="10"/>
    </row>
    <row r="61" spans="1:9">
      <c r="A61" s="22" t="s">
        <v>52</v>
      </c>
      <c r="B61" s="22"/>
      <c r="C61" s="29">
        <f>C41*$B$60</f>
        <v>3065</v>
      </c>
      <c r="D61" s="10" t="s">
        <v>32</v>
      </c>
      <c r="E61" s="10"/>
      <c r="F61" s="10"/>
      <c r="G61" s="10"/>
      <c r="H61" s="10"/>
      <c r="I61" s="10"/>
    </row>
    <row r="62" spans="1:9">
      <c r="A62" s="22" t="s">
        <v>53</v>
      </c>
      <c r="B62" s="22"/>
      <c r="C62" s="29">
        <f>C43*$B$60</f>
        <v>4200</v>
      </c>
      <c r="D62" s="10" t="s">
        <v>32</v>
      </c>
      <c r="E62" s="10"/>
      <c r="F62" s="10"/>
      <c r="G62" s="10"/>
      <c r="H62" s="10"/>
      <c r="I62" s="10"/>
    </row>
    <row r="63" spans="1:9">
      <c r="C63" s="269" t="s">
        <v>588</v>
      </c>
      <c r="D63" s="269"/>
    </row>
    <row r="64" spans="1:9">
      <c r="C64" s="269"/>
      <c r="D64" s="269"/>
    </row>
    <row r="66" spans="1:12">
      <c r="A66" s="30" t="s">
        <v>58</v>
      </c>
      <c r="B66" s="30"/>
      <c r="C66" s="31" t="s">
        <v>250</v>
      </c>
      <c r="D66" s="31" t="s">
        <v>59</v>
      </c>
      <c r="E66" s="31" t="s">
        <v>251</v>
      </c>
      <c r="F66" s="31" t="s">
        <v>59</v>
      </c>
      <c r="G66" s="18"/>
      <c r="H66" s="18"/>
    </row>
    <row r="67" spans="1:12">
      <c r="A67" s="32" t="s">
        <v>617</v>
      </c>
      <c r="B67" s="32"/>
      <c r="C67" s="33">
        <v>93.22</v>
      </c>
      <c r="D67" s="34">
        <f>C67/2000</f>
        <v>4.6609999999999999E-2</v>
      </c>
      <c r="E67" s="130">
        <v>82.78</v>
      </c>
      <c r="F67" s="34">
        <f>E67/2000</f>
        <v>4.1390000000000003E-2</v>
      </c>
    </row>
    <row r="68" spans="1:12">
      <c r="A68" s="32" t="s">
        <v>618</v>
      </c>
      <c r="B68" s="32"/>
      <c r="C68" s="36">
        <v>95.71</v>
      </c>
      <c r="D68" s="37">
        <f>C68/2000</f>
        <v>4.7854999999999995E-2</v>
      </c>
      <c r="E68" s="154">
        <v>84.98</v>
      </c>
      <c r="F68" s="37">
        <f>E68/2000</f>
        <v>4.249E-2</v>
      </c>
    </row>
    <row r="69" spans="1:12">
      <c r="A69" s="22" t="s">
        <v>63</v>
      </c>
      <c r="B69" s="22"/>
      <c r="C69" s="33">
        <f>C68-C67</f>
        <v>2.4899999999999949</v>
      </c>
      <c r="D69" s="39">
        <f>D68-D67</f>
        <v>1.2449999999999961E-3</v>
      </c>
      <c r="E69" s="33">
        <f>E68-E67</f>
        <v>2.2000000000000028</v>
      </c>
      <c r="F69" s="39">
        <f>F68-F67</f>
        <v>1.0999999999999968E-3</v>
      </c>
    </row>
    <row r="70" spans="1:12">
      <c r="C70" s="41">
        <f>C69/C67</f>
        <v>2.6711006221840753E-2</v>
      </c>
      <c r="D70" s="42"/>
      <c r="E70" s="41">
        <f>E69/E67</f>
        <v>2.6576467745832361E-2</v>
      </c>
      <c r="F70" s="41"/>
      <c r="L70" s="44"/>
    </row>
    <row r="72" spans="1:12">
      <c r="A72" s="18"/>
      <c r="B72" s="18"/>
      <c r="C72" s="31" t="s">
        <v>65</v>
      </c>
      <c r="E72" s="268" t="s">
        <v>60</v>
      </c>
      <c r="F72" s="268"/>
    </row>
    <row r="73" spans="1:12">
      <c r="A73" s="4" t="s">
        <v>66</v>
      </c>
      <c r="C73" s="45">
        <f>C69</f>
        <v>2.4899999999999949</v>
      </c>
      <c r="E73" s="4" t="s">
        <v>61</v>
      </c>
      <c r="F73" s="35">
        <f>0.015</f>
        <v>1.4999999999999999E-2</v>
      </c>
    </row>
    <row r="74" spans="1:12">
      <c r="A74" s="4" t="s">
        <v>614</v>
      </c>
      <c r="C74" s="47">
        <f>C73/$F$78</f>
        <v>2.5389380305386271</v>
      </c>
      <c r="D74" s="45"/>
      <c r="E74" s="4" t="s">
        <v>62</v>
      </c>
      <c r="F74" s="38">
        <f>0.004275</f>
        <v>4.2750000000000002E-3</v>
      </c>
    </row>
    <row r="75" spans="1:12">
      <c r="A75" s="18" t="s">
        <v>615</v>
      </c>
      <c r="B75" s="18"/>
      <c r="C75" s="155">
        <f>+'Regulated DF Calc'!D108</f>
        <v>71554.077197630249</v>
      </c>
      <c r="E75" s="4" t="s">
        <v>616</v>
      </c>
      <c r="F75" s="40"/>
    </row>
    <row r="76" spans="1:12">
      <c r="A76" s="1" t="s">
        <v>68</v>
      </c>
      <c r="B76" s="1"/>
      <c r="C76" s="48">
        <f>C74*C75</f>
        <v>181671.36783716024</v>
      </c>
      <c r="E76" s="4" t="s">
        <v>64</v>
      </c>
      <c r="F76" s="43">
        <f>SUM(F73:F75)</f>
        <v>1.9275E-2</v>
      </c>
    </row>
    <row r="78" spans="1:12">
      <c r="E78" s="4" t="s">
        <v>67</v>
      </c>
      <c r="F78" s="46">
        <f>1-F76</f>
        <v>0.98072499999999996</v>
      </c>
    </row>
    <row r="79" spans="1:12">
      <c r="A79" s="49"/>
      <c r="B79" s="49"/>
      <c r="C79" s="50"/>
      <c r="D79" s="17"/>
      <c r="E79" s="17"/>
      <c r="F79" s="17"/>
      <c r="G79" s="45"/>
    </row>
  </sheetData>
  <mergeCells count="5">
    <mergeCell ref="A4:I4"/>
    <mergeCell ref="A6:I6"/>
    <mergeCell ref="A17:C17"/>
    <mergeCell ref="E72:F72"/>
    <mergeCell ref="C63:D64"/>
  </mergeCells>
  <pageMargins left="0.7" right="0.7" top="0.75" bottom="0.75" header="0.3" footer="0.3"/>
  <pageSetup scale="81" pageOrder="overThenDown" orientation="portrait" r:id="rId1"/>
  <headerFooter>
    <oddFooter xml:space="preserve">&amp;L&amp;F - &amp;A
&amp;R&amp;P of &amp;N
</oddFooter>
  </headerFooter>
  <rowBreaks count="1" manualBreakCount="1">
    <brk id="6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EA5D9653577EB4CBB7E954EDBA544CB" ma:contentTypeVersion="76" ma:contentTypeDescription="" ma:contentTypeScope="" ma:versionID="c0f18beb9db19d0257490e2c7c8a4ec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2018-11-19T08:00:00+00:00</OpenedDate>
    <SignificantOrder xmlns="dc463f71-b30c-4ab2-9473-d307f9d35888">false</SignificantOrder>
    <Date1 xmlns="dc463f71-b30c-4ab2-9473-d307f9d35888">2018-11-19T08:00:00+00:00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CONNECTIONS OF WASHINGTON, INC.</CaseCompanyNames>
    <Nickname xmlns="http://schemas.microsoft.com/sharepoint/v3" xsi:nil="true"/>
    <DocketNumber xmlns="dc463f71-b30c-4ab2-9473-d307f9d35888">180959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01320F7-2063-4122-B1BC-A33E898FA1B8}"/>
</file>

<file path=customXml/itemProps2.xml><?xml version="1.0" encoding="utf-8"?>
<ds:datastoreItem xmlns:ds="http://schemas.openxmlformats.org/officeDocument/2006/customXml" ds:itemID="{272DEF94-1783-4FA0-A9DF-54CFD9116B98}"/>
</file>

<file path=customXml/itemProps3.xml><?xml version="1.0" encoding="utf-8"?>
<ds:datastoreItem xmlns:ds="http://schemas.openxmlformats.org/officeDocument/2006/customXml" ds:itemID="{EC4D8C27-871A-4C5D-83AF-5AFB2C151187}"/>
</file>

<file path=customXml/itemProps4.xml><?xml version="1.0" encoding="utf-8"?>
<ds:datastoreItem xmlns:ds="http://schemas.openxmlformats.org/officeDocument/2006/customXml" ds:itemID="{7BFAB170-F8A2-434A-9DFD-30193309F2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Regulated DF Calc</vt:lpstr>
      <vt:lpstr>Non-Regulated</vt:lpstr>
      <vt:lpstr>Proposed Rates</vt:lpstr>
      <vt:lpstr>Disposal</vt:lpstr>
      <vt:lpstr>References</vt:lpstr>
      <vt:lpstr>Disposal!Print_Area</vt:lpstr>
      <vt:lpstr>'Non-Regulated'!Print_Area</vt:lpstr>
      <vt:lpstr>'Proposed Rates'!Print_Area</vt:lpstr>
      <vt:lpstr>References!Print_Area</vt:lpstr>
      <vt:lpstr>'Regulated DF Calc'!Print_Area</vt:lpstr>
      <vt:lpstr>'Non-Regulated'!Print_Titles</vt:lpstr>
      <vt:lpstr>'Proposed Rates'!Print_Titles</vt:lpstr>
      <vt:lpstr>'Regulated DF Calc'!Print_Titles</vt:lpstr>
    </vt:vector>
  </TitlesOfParts>
  <Company>R360 Environmental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Waldram</dc:creator>
  <cp:lastModifiedBy>Ben Thompson</cp:lastModifiedBy>
  <cp:lastPrinted>2018-11-15T16:19:15Z</cp:lastPrinted>
  <dcterms:created xsi:type="dcterms:W3CDTF">2017-11-03T16:52:48Z</dcterms:created>
  <dcterms:modified xsi:type="dcterms:W3CDTF">2018-11-15T16:19:42Z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0x0101006E56B4D1795A2E4DB2F0B01679ED314A00BEA5D9653577EB4CBB7E954EDBA544CB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