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worksheets/sheet8.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13.xml" ContentType="application/vnd.openxmlformats-officedocument.spreadsheetml.worksheet+xml"/>
  <Override PartName="/xl/drawings/drawing2.xml" ContentType="application/vnd.openxmlformats-officedocument.drawing+xml"/>
  <Override PartName="/xl/worksheets/sheet12.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externalLinks/externalLink2.xml" ContentType="application/vnd.openxmlformats-officedocument.spreadsheetml.externalLink+xml"/>
  <Override PartName="/xl/activeX/activeX1.bin" ContentType="application/vnd.ms-office.activeX"/>
  <Override PartName="/xl/customProperty1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ustomProperty2.bin" ContentType="application/vnd.openxmlformats-officedocument.spreadsheetml.customProperty"/>
  <Override PartName="/xl/customProperty1.bin" ContentType="application/vnd.openxmlformats-officedocument.spreadsheetml.customProperty"/>
  <Override PartName="/xl/customProperty12.bin" ContentType="application/vnd.openxmlformats-officedocument.spreadsheetml.customProperty"/>
  <Override PartName="/xl/externalLinks/externalLink1.xml" ContentType="application/vnd.openxmlformats-officedocument.spreadsheetml.externalLink+xml"/>
  <Override PartName="/xl/customProperty10.bin" ContentType="application/vnd.openxmlformats-officedocument.spreadsheetml.customProperty"/>
  <Override PartName="/xl/customProperty11.bin" ContentType="application/vnd.openxmlformats-officedocument.spreadsheetml.customProperty"/>
  <Override PartName="/xl/customProperty6.bin" ContentType="application/vnd.openxmlformats-officedocument.spreadsheetml.customProperty"/>
  <Override PartName="/xl/activeX/activeX5.xml" ContentType="application/vnd.ms-office.activeX+xml"/>
  <Override PartName="/xl/activeX/activeX5.bin" ContentType="application/vnd.ms-office.activeX"/>
  <Override PartName="/xl/customProperty5.bin" ContentType="application/vnd.openxmlformats-officedocument.spreadsheetml.customProperty"/>
  <Override PartName="/xl/activeX/activeX6.xml" ContentType="application/vnd.ms-office.activeX+xml"/>
  <Override PartName="/xl/activeX/activeX6.bin" ContentType="application/vnd.ms-office.activeX"/>
  <Override PartName="/xl/customProperty8.bin" ContentType="application/vnd.openxmlformats-officedocument.spreadsheetml.customProperty"/>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ustomProperty7.bin" ContentType="application/vnd.openxmlformats-officedocument.spreadsheetml.customProperty"/>
  <Override PartName="/xl/activeX/activeX4.xml" ContentType="application/vnd.ms-office.activeX+xml"/>
  <Override PartName="/xl/activeX/activeX4.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11.bin" ContentType="application/vnd.ms-office.activeX"/>
  <Override PartName="/xl/customProperty3.bin" ContentType="application/vnd.openxmlformats-officedocument.spreadsheetml.customProperty"/>
  <Override PartName="/xl/activeX/activeX12.xml" ContentType="application/vnd.ms-office.activeX+xml"/>
  <Override PartName="/xl/activeX/activeX12.bin" ContentType="application/vnd.ms-office.activeX"/>
  <Override PartName="/xl/activeX/activeX1.xml" ContentType="application/vnd.ms-office.activeX+xml"/>
  <Override PartName="/xl/activeX/activeX11.xml" ContentType="application/vnd.ms-office.activeX+xml"/>
  <Override PartName="/xl/activeX/activeX10.bin" ContentType="application/vnd.ms-office.activeX"/>
  <Override PartName="/xl/activeX/activeX8.bin" ContentType="application/vnd.ms-office.activeX"/>
  <Override PartName="/xl/customProperty9.bin" ContentType="application/vnd.openxmlformats-officedocument.spreadsheetml.customProperty"/>
  <Override PartName="/xl/activeX/activeX9.xml" ContentType="application/vnd.ms-office.activeX+xml"/>
  <Override PartName="/xl/activeX/activeX9.bin" ContentType="application/vnd.ms-office.activeX"/>
  <Override PartName="/xl/customProperty4.bin" ContentType="application/vnd.openxmlformats-officedocument.spreadsheetml.customProperty"/>
  <Override PartName="/xl/activeX/activeX10.xml" ContentType="application/vnd.ms-office.activeX+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560" windowWidth="12060" windowHeight="1170" tabRatio="797"/>
  </bookViews>
  <sheets>
    <sheet name="Output - 15 Year Firm" sheetId="13" r:id="rId1"/>
    <sheet name="Output - 15 Year Wind" sheetId="26" r:id="rId2"/>
    <sheet name="Output - 15 Year Solar" sheetId="27" r:id="rId3"/>
    <sheet name="Electric EES CE Std Energy" sheetId="5" r:id="rId4"/>
    <sheet name="FlatLoadShapeEnergy_perMWh" sheetId="9" r:id="rId5"/>
    <sheet name="Electric EES CE Std Capacity" sheetId="6" r:id="rId6"/>
    <sheet name="Firm Avoided Capacity Calcs" sheetId="7" r:id="rId7"/>
    <sheet name="Wind Avoided Capacity Calcs" sheetId="24" r:id="rId8"/>
    <sheet name="Solar Avoided Capacity Calcs" sheetId="25" r:id="rId9"/>
    <sheet name="Inputs-----&gt;" sheetId="38" r:id="rId10"/>
    <sheet name="Energy Prices" sheetId="22" r:id="rId11"/>
    <sheet name="Capacity Delivered" sheetId="23" r:id="rId12"/>
    <sheet name="Cost of Capital" sheetId="37" r:id="rId13"/>
  </sheets>
  <externalReferences>
    <externalReference r:id="rId14"/>
    <externalReference r:id="rId15"/>
  </externalReferences>
  <definedNames>
    <definedName name="_ftn1" localSheetId="6">'Firm Avoided Capacity Calcs'!#REF!</definedName>
    <definedName name="_ftn1" localSheetId="8">'Solar Avoided Capacity Calcs'!#REF!</definedName>
    <definedName name="_ftn1" localSheetId="7">'Wind Avoided Capacity Calcs'!#REF!</definedName>
    <definedName name="_ftnref1" localSheetId="6">'Firm Avoided Capacity Calcs'!#REF!</definedName>
    <definedName name="_ftnref1" localSheetId="8">'Solar Avoided Capacity Calcs'!#REF!</definedName>
    <definedName name="_ftnref1" localSheetId="7">'Wind Avoided Capacity Calcs'!#REF!</definedName>
    <definedName name="CaseDescription">[1]Assumptions!$A$2</definedName>
    <definedName name="MeasureList" localSheetId="2">'Electric EES CE Std Capacity'!#REF!</definedName>
    <definedName name="MeasureList" localSheetId="1">'Electric EES CE Std Capacity'!#REF!</definedName>
    <definedName name="MeasureList" localSheetId="8">'Electric EES CE Std Capacity'!#REF!</definedName>
    <definedName name="MeasureList" localSheetId="7">'Electric EES CE Std Capacity'!#REF!</definedName>
    <definedName name="MeasureList">'Electric EES CE Std Capacity'!#REF!</definedName>
    <definedName name="PreTaxWACC">[2]Assumptions!$O$24</definedName>
    <definedName name="_xlnm.Print_Area" localSheetId="5">'Electric EES CE Std Capacity'!$B$2:$H$30</definedName>
    <definedName name="_xlnm.Print_Area" localSheetId="3">'Electric EES CE Std Energy'!$B$2:$F$29</definedName>
    <definedName name="_xlnm.Print_Area" localSheetId="6">'Firm Avoided Capacity Calcs'!$B$4:$M$30</definedName>
    <definedName name="_xlnm.Print_Area" localSheetId="4">FlatLoadShapeEnergy_perMWh!$B$4:$P$31</definedName>
    <definedName name="_xlnm.Print_Area" localSheetId="0">'Output - 15 Year Firm'!$B$2:$AC$35</definedName>
    <definedName name="_xlnm.Print_Area" localSheetId="2">'Output - 15 Year Solar'!$B$2:$AC$35</definedName>
    <definedName name="_xlnm.Print_Area" localSheetId="1">'Output - 15 Year Wind'!$B$2:$AC$35</definedName>
    <definedName name="_xlnm.Print_Area" localSheetId="8">'Solar Avoided Capacity Calcs'!$B$4:$M$30</definedName>
    <definedName name="_xlnm.Print_Area" localSheetId="7">'Wind Avoided Capacity Calcs'!$B$4:$M$30</definedName>
    <definedName name="Rate_of_Return">'Cost of Capital'!$F$16</definedName>
    <definedName name="solver_typ" localSheetId="5" hidden="1">2</definedName>
    <definedName name="solver_typ" localSheetId="3" hidden="1">2</definedName>
    <definedName name="solver_typ" localSheetId="1" hidden="1">2</definedName>
    <definedName name="solver_ver" localSheetId="5" hidden="1">10</definedName>
    <definedName name="solver_ver" localSheetId="3" hidden="1">10</definedName>
    <definedName name="solver_ver" localSheetId="1" hidden="1">17</definedName>
    <definedName name="Title">[1]Assumptions!$A$1</definedName>
    <definedName name="wrn.Customer._.Counts._.Electric." localSheetId="9"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9" hidden="1">{#N/A,#N/A,FALSE,"Pg 6b CustCount_Gas";#N/A,#N/A,FALSE,"QA";#N/A,#N/A,FALSE,"Report";#N/A,#N/A,FALSE,"forecast"}</definedName>
    <definedName name="wrn.Customer._.Counts._.Gas." hidden="1">{#N/A,#N/A,FALSE,"Pg 6b CustCount_Gas";#N/A,#N/A,FALSE,"QA";#N/A,#N/A,FALSE,"Report";#N/A,#N/A,FALSE,"forecast"}</definedName>
    <definedName name="wrn.Incentive._.Overhead." localSheetId="9" hidden="1">{#N/A,#N/A,FALSE,"Coversheet";#N/A,#N/A,FALSE,"QA"}</definedName>
    <definedName name="wrn.Incentive._.Overhead." hidden="1">{#N/A,#N/A,FALSE,"Coversheet";#N/A,#N/A,FALSE,"QA"}</definedName>
    <definedName name="wrn.MARGIN_WO_QTR." localSheetId="9" hidden="1">{#N/A,#N/A,FALSE,"Month ";#N/A,#N/A,FALSE,"YTD";#N/A,#N/A,FALSE,"12 mo ended"}</definedName>
    <definedName name="wrn.MARGIN_WO_QTR." hidden="1">{#N/A,#N/A,FALSE,"Month ";#N/A,#N/A,FALSE,"YTD";#N/A,#N/A,FALSE,"12 mo ended"}</definedName>
    <definedName name="wrn.Municipal._.Reports."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localSheetId="9" hidden="1">{#N/A,#N/A,FALSE,"2002 Small Tool OH";#N/A,#N/A,FALSE,"QA"}</definedName>
    <definedName name="wrn.Small._.Tools._.Overhead." hidden="1">{#N/A,#N/A,FALSE,"2002 Small Tool OH";#N/A,#N/A,FALSE,"QA"}</definedName>
  </definedNames>
  <calcPr calcId="162913"/>
</workbook>
</file>

<file path=xl/calcChain.xml><?xml version="1.0" encoding="utf-8"?>
<calcChain xmlns="http://schemas.openxmlformats.org/spreadsheetml/2006/main">
  <c r="C10" i="5" l="1"/>
  <c r="C13" i="25" l="1"/>
  <c r="D13" i="25" s="1"/>
  <c r="I7" i="25" s="1"/>
  <c r="D12" i="25"/>
  <c r="C11" i="25"/>
  <c r="C13" i="24"/>
  <c r="D13" i="24" s="1"/>
  <c r="I7" i="24" s="1"/>
  <c r="D12" i="24"/>
  <c r="C11" i="24"/>
  <c r="C11" i="7"/>
  <c r="H5" i="13"/>
  <c r="N14" i="9"/>
  <c r="I14" i="9"/>
  <c r="D13" i="7"/>
  <c r="H13" i="7"/>
  <c r="D12" i="7"/>
  <c r="W19" i="27" l="1"/>
  <c r="X19" i="27" s="1"/>
  <c r="W19" i="26"/>
  <c r="X19" i="26" s="1"/>
  <c r="W19" i="13"/>
  <c r="X19" i="13" s="1"/>
  <c r="F20" i="13" s="1"/>
  <c r="P12" i="9"/>
  <c r="I12" i="9"/>
  <c r="C7" i="23"/>
  <c r="C8" i="23"/>
  <c r="C9" i="23"/>
  <c r="C10" i="23"/>
  <c r="C11" i="23" s="1"/>
  <c r="C12" i="23" s="1"/>
  <c r="C13" i="23" s="1"/>
  <c r="C14" i="23" s="1"/>
  <c r="C15" i="23" s="1"/>
  <c r="C16" i="23" s="1"/>
  <c r="C17" i="23" s="1"/>
  <c r="C18" i="23" s="1"/>
  <c r="C19" i="23" s="1"/>
  <c r="C20" i="23" s="1"/>
  <c r="C21" i="23" s="1"/>
  <c r="C22" i="23" s="1"/>
  <c r="C23" i="23" s="1"/>
  <c r="C24" i="23" s="1"/>
  <c r="C13" i="7"/>
  <c r="I9" i="9"/>
  <c r="D4" i="5"/>
  <c r="F16" i="37"/>
  <c r="F19" i="37"/>
  <c r="E18" i="37"/>
  <c r="F18" i="37" s="1"/>
  <c r="F20" i="37" s="1"/>
  <c r="F15" i="37"/>
  <c r="F14" i="37"/>
  <c r="I7" i="7" l="1"/>
  <c r="O28" i="22" l="1"/>
  <c r="H10" i="23" l="1"/>
  <c r="I20" i="9"/>
  <c r="I7" i="9"/>
  <c r="J7" i="9" s="1"/>
  <c r="O29" i="22" l="1"/>
  <c r="H6" i="23"/>
  <c r="H7" i="7" s="1"/>
  <c r="H7" i="23"/>
  <c r="H8" i="23"/>
  <c r="H9" i="23"/>
  <c r="H11" i="23"/>
  <c r="H12" i="7" s="1"/>
  <c r="H12" i="23"/>
  <c r="H13" i="23"/>
  <c r="H14" i="23"/>
  <c r="H15" i="23"/>
  <c r="H16" i="23"/>
  <c r="H17" i="23"/>
  <c r="H18" i="23"/>
  <c r="H19" i="23"/>
  <c r="H20" i="23"/>
  <c r="H21" i="7" s="1"/>
  <c r="H21" i="23"/>
  <c r="H22" i="23"/>
  <c r="H23" i="23"/>
  <c r="H24" i="23"/>
  <c r="H25" i="23"/>
  <c r="J6" i="23"/>
  <c r="H7" i="25" s="1"/>
  <c r="J7" i="23"/>
  <c r="J8" i="23"/>
  <c r="J9" i="23"/>
  <c r="J10" i="23"/>
  <c r="J11" i="23"/>
  <c r="H12" i="25" s="1"/>
  <c r="J12" i="23"/>
  <c r="J13" i="23"/>
  <c r="J14" i="23"/>
  <c r="J15" i="23"/>
  <c r="J16" i="23"/>
  <c r="J17" i="23"/>
  <c r="J18" i="23"/>
  <c r="J19" i="23"/>
  <c r="J20" i="23"/>
  <c r="J21" i="23"/>
  <c r="J22" i="23"/>
  <c r="J23" i="23"/>
  <c r="J24" i="23"/>
  <c r="J25" i="23"/>
  <c r="I7" i="23"/>
  <c r="I8" i="23"/>
  <c r="I9" i="23"/>
  <c r="I10" i="23"/>
  <c r="I11" i="23"/>
  <c r="I12" i="23"/>
  <c r="I13" i="23"/>
  <c r="I14" i="23"/>
  <c r="I15" i="23"/>
  <c r="I16" i="23"/>
  <c r="I17" i="23"/>
  <c r="I18" i="23"/>
  <c r="I19" i="23"/>
  <c r="I20" i="23"/>
  <c r="H21" i="24" s="1"/>
  <c r="I21" i="23"/>
  <c r="I22" i="23"/>
  <c r="I23" i="23"/>
  <c r="I24" i="23"/>
  <c r="I25" i="23"/>
  <c r="I6" i="23"/>
  <c r="I21" i="9" l="1"/>
  <c r="D8" i="25" l="1"/>
  <c r="D8" i="24"/>
  <c r="D8" i="7"/>
  <c r="E7" i="9"/>
  <c r="D5" i="5"/>
  <c r="H21" i="25" l="1"/>
  <c r="B2" i="5" l="1"/>
  <c r="B4" i="5"/>
  <c r="G19" i="27" l="1"/>
  <c r="G19" i="26"/>
  <c r="H19" i="26" l="1"/>
  <c r="H19" i="27"/>
  <c r="I19" i="26"/>
  <c r="I19" i="27" l="1"/>
  <c r="J19" i="26"/>
  <c r="J19" i="27" l="1"/>
  <c r="K19" i="26"/>
  <c r="D7" i="25"/>
  <c r="D9" i="25"/>
  <c r="D7" i="24"/>
  <c r="D9" i="24"/>
  <c r="I8" i="24" l="1"/>
  <c r="L19" i="26"/>
  <c r="K19" i="27"/>
  <c r="I8" i="25" l="1"/>
  <c r="I9" i="25" s="1"/>
  <c r="I10" i="25" s="1"/>
  <c r="I11" i="25" s="1"/>
  <c r="J7" i="25"/>
  <c r="K7" i="25" s="1"/>
  <c r="L7" i="25" s="1"/>
  <c r="L19" i="27"/>
  <c r="M19" i="26"/>
  <c r="I9" i="24"/>
  <c r="I10" i="24" s="1"/>
  <c r="H25" i="24"/>
  <c r="H25" i="25"/>
  <c r="H20" i="24"/>
  <c r="H16" i="25"/>
  <c r="H16" i="24"/>
  <c r="H15" i="25"/>
  <c r="H14" i="25"/>
  <c r="H14" i="24"/>
  <c r="H14" i="7"/>
  <c r="H13" i="25"/>
  <c r="H13" i="24"/>
  <c r="H12" i="24"/>
  <c r="H11" i="25"/>
  <c r="H11" i="24"/>
  <c r="H11" i="7"/>
  <c r="H10" i="25"/>
  <c r="H10" i="24"/>
  <c r="H10" i="7"/>
  <c r="H9" i="25"/>
  <c r="H9" i="24"/>
  <c r="H9" i="7"/>
  <c r="H8" i="25"/>
  <c r="H8" i="24"/>
  <c r="J8" i="24" s="1"/>
  <c r="K8" i="24" s="1"/>
  <c r="H8" i="7"/>
  <c r="C25" i="23"/>
  <c r="H7" i="24"/>
  <c r="J7" i="24" s="1"/>
  <c r="K7" i="24" s="1"/>
  <c r="L7" i="24" s="1"/>
  <c r="M7" i="24" s="1"/>
  <c r="G9" i="6" s="1"/>
  <c r="I8" i="9"/>
  <c r="I10" i="9"/>
  <c r="I11" i="9"/>
  <c r="I13" i="9"/>
  <c r="I15" i="9"/>
  <c r="I16" i="9"/>
  <c r="I17" i="9"/>
  <c r="I18" i="9"/>
  <c r="I19" i="9"/>
  <c r="I22" i="9"/>
  <c r="I23" i="9"/>
  <c r="I24" i="9"/>
  <c r="I25" i="9"/>
  <c r="P25" i="22"/>
  <c r="P8" i="22"/>
  <c r="P9" i="22"/>
  <c r="P10" i="22"/>
  <c r="P11" i="22"/>
  <c r="P12" i="22"/>
  <c r="P13" i="22"/>
  <c r="P14" i="22"/>
  <c r="P15" i="22"/>
  <c r="P16" i="22"/>
  <c r="P17" i="22"/>
  <c r="P18" i="22"/>
  <c r="P19" i="22"/>
  <c r="P20" i="22"/>
  <c r="P21" i="22"/>
  <c r="P22" i="22"/>
  <c r="P23" i="22"/>
  <c r="P24" i="22"/>
  <c r="P7" i="22"/>
  <c r="J10" i="25" l="1"/>
  <c r="K10" i="25" s="1"/>
  <c r="J9" i="25"/>
  <c r="K9" i="25" s="1"/>
  <c r="L8" i="24"/>
  <c r="M8" i="24" s="1"/>
  <c r="G10" i="6" s="1"/>
  <c r="M7" i="25"/>
  <c r="K9" i="6" s="1"/>
  <c r="J8" i="25"/>
  <c r="K8" i="25" s="1"/>
  <c r="L8" i="25" s="1"/>
  <c r="J9" i="24"/>
  <c r="K9" i="24" s="1"/>
  <c r="M19" i="27"/>
  <c r="N19" i="26"/>
  <c r="I12" i="25"/>
  <c r="J11" i="25"/>
  <c r="K11" i="25" s="1"/>
  <c r="J10" i="24"/>
  <c r="K10" i="24" s="1"/>
  <c r="I11" i="24"/>
  <c r="H24" i="24"/>
  <c r="H24" i="7"/>
  <c r="H24" i="25"/>
  <c r="H20" i="25"/>
  <c r="H15" i="7"/>
  <c r="H15" i="24"/>
  <c r="H16" i="7"/>
  <c r="H20" i="7"/>
  <c r="H23" i="24"/>
  <c r="H23" i="25"/>
  <c r="H25" i="7"/>
  <c r="H23" i="7"/>
  <c r="L9" i="24" l="1"/>
  <c r="M9" i="24" s="1"/>
  <c r="G11" i="6" s="1"/>
  <c r="M8" i="25"/>
  <c r="K10" i="6" s="1"/>
  <c r="L9" i="25"/>
  <c r="L10" i="25" s="1"/>
  <c r="N19" i="27"/>
  <c r="O19" i="26"/>
  <c r="I13" i="25"/>
  <c r="J12" i="25"/>
  <c r="K12" i="25" s="1"/>
  <c r="I12" i="24"/>
  <c r="J11" i="24"/>
  <c r="K11" i="24" s="1"/>
  <c r="H26" i="24"/>
  <c r="H26" i="25"/>
  <c r="H26" i="7"/>
  <c r="H17" i="7"/>
  <c r="H17" i="25"/>
  <c r="H17" i="24"/>
  <c r="L10" i="24" l="1"/>
  <c r="M10" i="24" s="1"/>
  <c r="G12" i="6" s="1"/>
  <c r="M9" i="25"/>
  <c r="K11" i="6" s="1"/>
  <c r="O19" i="27"/>
  <c r="P19" i="26"/>
  <c r="M10" i="25"/>
  <c r="K12" i="6" s="1"/>
  <c r="L11" i="25"/>
  <c r="I14" i="25"/>
  <c r="J13" i="25"/>
  <c r="K13" i="25" s="1"/>
  <c r="J12" i="24"/>
  <c r="K12" i="24" s="1"/>
  <c r="I13" i="24"/>
  <c r="H22" i="24"/>
  <c r="H22" i="25"/>
  <c r="H22" i="7"/>
  <c r="H18" i="25"/>
  <c r="H18" i="24"/>
  <c r="H18" i="7"/>
  <c r="L11" i="24" l="1"/>
  <c r="M11" i="24" s="1"/>
  <c r="G13" i="6" s="1"/>
  <c r="P19" i="27"/>
  <c r="Q19" i="26"/>
  <c r="I15" i="25"/>
  <c r="J14" i="25"/>
  <c r="K14" i="25" s="1"/>
  <c r="L12" i="25"/>
  <c r="M11" i="25"/>
  <c r="K13" i="6" s="1"/>
  <c r="L13" i="6" s="1"/>
  <c r="I14" i="24"/>
  <c r="J13" i="24"/>
  <c r="K13" i="24" s="1"/>
  <c r="H19" i="25"/>
  <c r="H19" i="24"/>
  <c r="H19" i="7"/>
  <c r="J25" i="9"/>
  <c r="K24" i="9"/>
  <c r="K25" i="9"/>
  <c r="L12" i="24" l="1"/>
  <c r="M12" i="24" s="1"/>
  <c r="G14" i="6" s="1"/>
  <c r="Q19" i="27"/>
  <c r="R19" i="26"/>
  <c r="M12" i="25"/>
  <c r="K14" i="6" s="1"/>
  <c r="L13" i="25"/>
  <c r="I16" i="25"/>
  <c r="J15" i="25"/>
  <c r="K15" i="25" s="1"/>
  <c r="I15" i="24"/>
  <c r="J14" i="24"/>
  <c r="K14" i="24" s="1"/>
  <c r="N25" i="9"/>
  <c r="J24" i="9"/>
  <c r="L13" i="24" l="1"/>
  <c r="M13" i="24" s="1"/>
  <c r="G15" i="6" s="1"/>
  <c r="R19" i="27"/>
  <c r="S19" i="26"/>
  <c r="I17" i="25"/>
  <c r="J16" i="25"/>
  <c r="K16" i="25" s="1"/>
  <c r="L14" i="25"/>
  <c r="M13" i="25"/>
  <c r="K15" i="6" s="1"/>
  <c r="I16" i="24"/>
  <c r="J15" i="24"/>
  <c r="K15" i="24" s="1"/>
  <c r="N24" i="9"/>
  <c r="J23" i="9"/>
  <c r="J20" i="9"/>
  <c r="J16" i="9"/>
  <c r="J14" i="9"/>
  <c r="J12" i="9"/>
  <c r="N12" i="9" s="1"/>
  <c r="J11" i="9"/>
  <c r="J8" i="9"/>
  <c r="J9" i="9"/>
  <c r="J17" i="9"/>
  <c r="J19" i="9"/>
  <c r="K8" i="9"/>
  <c r="K9" i="9"/>
  <c r="K10" i="9"/>
  <c r="K11" i="9"/>
  <c r="K12" i="9"/>
  <c r="J13" i="9"/>
  <c r="K13" i="9"/>
  <c r="K14" i="9"/>
  <c r="K15" i="9"/>
  <c r="K16" i="9"/>
  <c r="K17" i="9"/>
  <c r="K18" i="9"/>
  <c r="K19" i="9"/>
  <c r="K20" i="9"/>
  <c r="K21" i="9"/>
  <c r="K22" i="9"/>
  <c r="K23" i="9"/>
  <c r="G19" i="13"/>
  <c r="I8" i="7"/>
  <c r="E8" i="6"/>
  <c r="C8" i="6"/>
  <c r="B2" i="6" s="1"/>
  <c r="D4" i="6"/>
  <c r="L14" i="6" s="1"/>
  <c r="M14" i="6" s="1"/>
  <c r="D8" i="5"/>
  <c r="J18" i="9"/>
  <c r="J21" i="9"/>
  <c r="N21" i="9" l="1"/>
  <c r="L14" i="24"/>
  <c r="M14" i="24" s="1"/>
  <c r="G16" i="6" s="1"/>
  <c r="H16" i="6" s="1"/>
  <c r="I16" i="6" s="1"/>
  <c r="L15" i="6"/>
  <c r="M15" i="6" s="1"/>
  <c r="H9" i="6"/>
  <c r="I9" i="6" s="1"/>
  <c r="L9" i="6"/>
  <c r="M9" i="6" s="1"/>
  <c r="H10" i="6"/>
  <c r="I10" i="6" s="1"/>
  <c r="L10" i="6"/>
  <c r="M10" i="6" s="1"/>
  <c r="H12" i="6"/>
  <c r="I12" i="6" s="1"/>
  <c r="H11" i="6"/>
  <c r="I11" i="6" s="1"/>
  <c r="L11" i="6"/>
  <c r="M11" i="6" s="1"/>
  <c r="H13" i="6"/>
  <c r="I13" i="6" s="1"/>
  <c r="L12" i="6"/>
  <c r="M12" i="6" s="1"/>
  <c r="H14" i="6"/>
  <c r="I14" i="6" s="1"/>
  <c r="M13" i="6"/>
  <c r="H19" i="13"/>
  <c r="I19" i="13" s="1"/>
  <c r="J19" i="13" s="1"/>
  <c r="K19" i="13" s="1"/>
  <c r="H15" i="6"/>
  <c r="I15" i="6" s="1"/>
  <c r="S19" i="27"/>
  <c r="T19" i="26"/>
  <c r="F20" i="26" s="1"/>
  <c r="L15" i="25"/>
  <c r="M14" i="25"/>
  <c r="K16" i="6" s="1"/>
  <c r="L16" i="6" s="1"/>
  <c r="M16" i="6" s="1"/>
  <c r="I18" i="25"/>
  <c r="J17" i="25"/>
  <c r="K17" i="25" s="1"/>
  <c r="I17" i="24"/>
  <c r="J16" i="24"/>
  <c r="K16" i="24" s="1"/>
  <c r="I9" i="7"/>
  <c r="J8" i="7"/>
  <c r="K8" i="7" s="1"/>
  <c r="J7" i="7"/>
  <c r="K7" i="7" s="1"/>
  <c r="L7" i="7" s="1"/>
  <c r="N17" i="9"/>
  <c r="N13" i="9"/>
  <c r="N19" i="9"/>
  <c r="N9" i="9"/>
  <c r="J10" i="9"/>
  <c r="J15" i="9"/>
  <c r="N7" i="9"/>
  <c r="O7" i="9" s="1"/>
  <c r="P7" i="9" s="1"/>
  <c r="C9" i="5" s="1"/>
  <c r="N11" i="9"/>
  <c r="N23" i="9"/>
  <c r="N8" i="9"/>
  <c r="N20" i="9"/>
  <c r="N18" i="9"/>
  <c r="J22" i="9"/>
  <c r="N16" i="9"/>
  <c r="L15" i="24" l="1"/>
  <c r="M15" i="24" s="1"/>
  <c r="G17" i="6" s="1"/>
  <c r="H17" i="6" s="1"/>
  <c r="I17" i="6" s="1"/>
  <c r="D9" i="5"/>
  <c r="T19" i="27"/>
  <c r="L19" i="13"/>
  <c r="I19" i="25"/>
  <c r="J18" i="25"/>
  <c r="K18" i="25" s="1"/>
  <c r="L16" i="25"/>
  <c r="M15" i="25"/>
  <c r="K17" i="6" s="1"/>
  <c r="L17" i="6" s="1"/>
  <c r="M17" i="6" s="1"/>
  <c r="I18" i="24"/>
  <c r="J17" i="24"/>
  <c r="K17" i="24" s="1"/>
  <c r="L8" i="7"/>
  <c r="M8" i="7" s="1"/>
  <c r="C10" i="6" s="1"/>
  <c r="N15" i="9"/>
  <c r="M7" i="7"/>
  <c r="I10" i="7"/>
  <c r="J9" i="7"/>
  <c r="K9" i="7" s="1"/>
  <c r="O8" i="9"/>
  <c r="P8" i="9" s="1"/>
  <c r="N10" i="9"/>
  <c r="N22" i="9"/>
  <c r="C9" i="6" l="1"/>
  <c r="D9" i="6" s="1"/>
  <c r="E9" i="6" s="1"/>
  <c r="L16" i="24"/>
  <c r="M16" i="24" s="1"/>
  <c r="G18" i="6" s="1"/>
  <c r="H18" i="6" s="1"/>
  <c r="I18" i="6" s="1"/>
  <c r="D10" i="5"/>
  <c r="G20" i="26"/>
  <c r="W20" i="26" s="1"/>
  <c r="X20" i="26" s="1"/>
  <c r="H20" i="26"/>
  <c r="I20" i="26"/>
  <c r="J20" i="26"/>
  <c r="K20" i="26"/>
  <c r="L20" i="26"/>
  <c r="M20" i="26"/>
  <c r="N20" i="26"/>
  <c r="O20" i="26"/>
  <c r="P20" i="26"/>
  <c r="Q20" i="26"/>
  <c r="R20" i="26"/>
  <c r="S20" i="26"/>
  <c r="T20" i="26"/>
  <c r="M19" i="13"/>
  <c r="I20" i="25"/>
  <c r="J19" i="25"/>
  <c r="K19" i="25" s="1"/>
  <c r="L17" i="25"/>
  <c r="M16" i="25"/>
  <c r="K18" i="6" s="1"/>
  <c r="L18" i="6" s="1"/>
  <c r="M18" i="6" s="1"/>
  <c r="I19" i="24"/>
  <c r="J18" i="24"/>
  <c r="K18" i="24" s="1"/>
  <c r="D10" i="6"/>
  <c r="E10" i="6" s="1"/>
  <c r="L9" i="7"/>
  <c r="M9" i="7" s="1"/>
  <c r="C11" i="6" s="1"/>
  <c r="I11" i="7"/>
  <c r="J10" i="7"/>
  <c r="K10" i="7" s="1"/>
  <c r="O9" i="9"/>
  <c r="O10" i="9" s="1"/>
  <c r="L17" i="24" l="1"/>
  <c r="M17" i="24" s="1"/>
  <c r="G19" i="6" s="1"/>
  <c r="H19" i="6" s="1"/>
  <c r="I19" i="6" s="1"/>
  <c r="L10" i="7"/>
  <c r="M10" i="7" s="1"/>
  <c r="C12" i="6" s="1"/>
  <c r="D12" i="6" s="1"/>
  <c r="F20" i="27"/>
  <c r="W20" i="27" s="1"/>
  <c r="X20" i="27" s="1"/>
  <c r="G20" i="27"/>
  <c r="H20" i="27"/>
  <c r="I20" i="27"/>
  <c r="J20" i="27"/>
  <c r="K20" i="27"/>
  <c r="L20" i="27"/>
  <c r="M20" i="27"/>
  <c r="N20" i="27"/>
  <c r="O20" i="27"/>
  <c r="P20" i="27"/>
  <c r="Q20" i="27"/>
  <c r="R20" i="27"/>
  <c r="S20" i="27"/>
  <c r="T20" i="27"/>
  <c r="N19" i="13"/>
  <c r="I21" i="25"/>
  <c r="J20" i="25"/>
  <c r="K20" i="25" s="1"/>
  <c r="L18" i="25"/>
  <c r="M17" i="25"/>
  <c r="K19" i="6" s="1"/>
  <c r="L19" i="6" s="1"/>
  <c r="M19" i="6" s="1"/>
  <c r="I20" i="24"/>
  <c r="I21" i="24" s="1"/>
  <c r="J19" i="24"/>
  <c r="K19" i="24" s="1"/>
  <c r="P9" i="9"/>
  <c r="J11" i="7"/>
  <c r="K11" i="7" s="1"/>
  <c r="I12" i="7"/>
  <c r="I13" i="7" s="1"/>
  <c r="D11" i="6"/>
  <c r="E11" i="6" s="1"/>
  <c r="P10" i="9"/>
  <c r="O11" i="9"/>
  <c r="L18" i="24" l="1"/>
  <c r="M18" i="24" s="1"/>
  <c r="G20" i="6" s="1"/>
  <c r="H20" i="6" s="1"/>
  <c r="I20" i="6" s="1"/>
  <c r="C12" i="5"/>
  <c r="D12" i="5" s="1"/>
  <c r="C11" i="5"/>
  <c r="D11" i="5" s="1"/>
  <c r="L11" i="7"/>
  <c r="M11" i="7" s="1"/>
  <c r="C13" i="6" s="1"/>
  <c r="O19" i="13"/>
  <c r="I22" i="25"/>
  <c r="J21" i="25"/>
  <c r="K21" i="25" s="1"/>
  <c r="L19" i="25"/>
  <c r="M18" i="25"/>
  <c r="K20" i="6" s="1"/>
  <c r="L20" i="6" s="1"/>
  <c r="M20" i="6" s="1"/>
  <c r="J20" i="24"/>
  <c r="K20" i="24" s="1"/>
  <c r="J12" i="7"/>
  <c r="K12" i="7" s="1"/>
  <c r="E12" i="6"/>
  <c r="P11" i="9"/>
  <c r="O12" i="9"/>
  <c r="L19" i="24" l="1"/>
  <c r="M19" i="24" s="1"/>
  <c r="G21" i="6" s="1"/>
  <c r="H21" i="6" s="1"/>
  <c r="I21" i="6" s="1"/>
  <c r="C13" i="5"/>
  <c r="D13" i="5" s="1"/>
  <c r="L12" i="7"/>
  <c r="P19" i="13"/>
  <c r="I23" i="25"/>
  <c r="J22" i="25"/>
  <c r="K22" i="25" s="1"/>
  <c r="L20" i="25"/>
  <c r="L21" i="25" s="1"/>
  <c r="M21" i="25" s="1"/>
  <c r="K23" i="6" s="1"/>
  <c r="L23" i="6" s="1"/>
  <c r="M23" i="6" s="1"/>
  <c r="I5" i="27" s="1"/>
  <c r="M19" i="25"/>
  <c r="K21" i="6" s="1"/>
  <c r="L21" i="6" s="1"/>
  <c r="M21" i="6" s="1"/>
  <c r="I22" i="24"/>
  <c r="J21" i="24"/>
  <c r="K21" i="24" s="1"/>
  <c r="J13" i="7"/>
  <c r="K13" i="7" s="1"/>
  <c r="I14" i="7"/>
  <c r="D13" i="6"/>
  <c r="E13" i="6" s="1"/>
  <c r="O13" i="9"/>
  <c r="P13" i="9" s="1"/>
  <c r="C15" i="5" s="1"/>
  <c r="M12" i="7" l="1"/>
  <c r="C14" i="6" s="1"/>
  <c r="D14" i="6" s="1"/>
  <c r="E14" i="6" s="1"/>
  <c r="L13" i="7"/>
  <c r="M13" i="7" s="1"/>
  <c r="C15" i="6" s="1"/>
  <c r="L20" i="24"/>
  <c r="L21" i="24" s="1"/>
  <c r="M21" i="24" s="1"/>
  <c r="G23" i="6" s="1"/>
  <c r="H23" i="6" s="1"/>
  <c r="C14" i="5"/>
  <c r="D14" i="5" s="1"/>
  <c r="Q19" i="13"/>
  <c r="I24" i="25"/>
  <c r="J23" i="25"/>
  <c r="K23" i="25" s="1"/>
  <c r="M20" i="25"/>
  <c r="K22" i="6" s="1"/>
  <c r="L22" i="6" s="1"/>
  <c r="M22" i="6" s="1"/>
  <c r="I23" i="24"/>
  <c r="J22" i="24"/>
  <c r="K22" i="24" s="1"/>
  <c r="J14" i="7"/>
  <c r="K14" i="7" s="1"/>
  <c r="I15" i="7"/>
  <c r="O14" i="9"/>
  <c r="M20" i="24" l="1"/>
  <c r="G22" i="6" s="1"/>
  <c r="H22" i="6" s="1"/>
  <c r="I22" i="6" s="1"/>
  <c r="I23" i="6"/>
  <c r="I5" i="26" s="1"/>
  <c r="L14" i="7"/>
  <c r="M14" i="7" s="1"/>
  <c r="C16" i="6" s="1"/>
  <c r="D16" i="6" s="1"/>
  <c r="D15" i="5"/>
  <c r="R19" i="13"/>
  <c r="I25" i="25"/>
  <c r="J24" i="25"/>
  <c r="K24" i="25" s="1"/>
  <c r="L22" i="25"/>
  <c r="I24" i="24"/>
  <c r="J23" i="24"/>
  <c r="K23" i="24" s="1"/>
  <c r="D15" i="6"/>
  <c r="E15" i="6" s="1"/>
  <c r="I16" i="7"/>
  <c r="J15" i="7"/>
  <c r="K15" i="7" s="1"/>
  <c r="P14" i="9"/>
  <c r="O15" i="9"/>
  <c r="L15" i="7" l="1"/>
  <c r="L22" i="24"/>
  <c r="M22" i="24" s="1"/>
  <c r="G24" i="6" s="1"/>
  <c r="H24" i="6" s="1"/>
  <c r="I24" i="6" s="1"/>
  <c r="C16" i="5"/>
  <c r="D16" i="5" s="1"/>
  <c r="S19" i="13"/>
  <c r="I26" i="25"/>
  <c r="J25" i="25"/>
  <c r="K25" i="25" s="1"/>
  <c r="L23" i="25"/>
  <c r="M22" i="25"/>
  <c r="K24" i="6" s="1"/>
  <c r="L24" i="6" s="1"/>
  <c r="M24" i="6" s="1"/>
  <c r="I25" i="24"/>
  <c r="J24" i="24"/>
  <c r="K24" i="24" s="1"/>
  <c r="M15" i="7"/>
  <c r="C17" i="6" s="1"/>
  <c r="I17" i="7"/>
  <c r="J16" i="7"/>
  <c r="K16" i="7" s="1"/>
  <c r="L16" i="7" s="1"/>
  <c r="E16" i="6"/>
  <c r="P15" i="9"/>
  <c r="O16" i="9"/>
  <c r="L23" i="24" l="1"/>
  <c r="M23" i="24" s="1"/>
  <c r="G25" i="6" s="1"/>
  <c r="H25" i="6" s="1"/>
  <c r="I25" i="6" s="1"/>
  <c r="C17" i="5"/>
  <c r="D17" i="5" s="1"/>
  <c r="T19" i="13"/>
  <c r="J26" i="25"/>
  <c r="K26" i="25" s="1"/>
  <c r="L24" i="25"/>
  <c r="M23" i="25"/>
  <c r="K25" i="6" s="1"/>
  <c r="L25" i="6" s="1"/>
  <c r="M25" i="6" s="1"/>
  <c r="I26" i="24"/>
  <c r="J25" i="24"/>
  <c r="K25" i="24" s="1"/>
  <c r="M16" i="7"/>
  <c r="C18" i="6" s="1"/>
  <c r="I18" i="7"/>
  <c r="J17" i="7"/>
  <c r="K17" i="7" s="1"/>
  <c r="L17" i="7" s="1"/>
  <c r="D17" i="6"/>
  <c r="E17" i="6" s="1"/>
  <c r="P16" i="9"/>
  <c r="O17" i="9"/>
  <c r="L24" i="24" l="1"/>
  <c r="M24" i="24" s="1"/>
  <c r="G26" i="6" s="1"/>
  <c r="H26" i="6" s="1"/>
  <c r="I26" i="6" s="1"/>
  <c r="C18" i="5"/>
  <c r="D18" i="5" s="1"/>
  <c r="L25" i="25"/>
  <c r="M24" i="25"/>
  <c r="K26" i="6" s="1"/>
  <c r="L26" i="6" s="1"/>
  <c r="M26" i="6" s="1"/>
  <c r="J26" i="24"/>
  <c r="K26" i="24" s="1"/>
  <c r="M17" i="7"/>
  <c r="C19" i="6" s="1"/>
  <c r="J18" i="7"/>
  <c r="K18" i="7" s="1"/>
  <c r="L18" i="7" s="1"/>
  <c r="I19" i="7"/>
  <c r="D18" i="6"/>
  <c r="E18" i="6" s="1"/>
  <c r="P17" i="9"/>
  <c r="O18" i="9"/>
  <c r="L25" i="24" l="1"/>
  <c r="M25" i="24" s="1"/>
  <c r="G27" i="6" s="1"/>
  <c r="H27" i="6" s="1"/>
  <c r="I27" i="6" s="1"/>
  <c r="C19" i="5"/>
  <c r="D19" i="5" s="1"/>
  <c r="L26" i="25"/>
  <c r="M26" i="25" s="1"/>
  <c r="K28" i="6" s="1"/>
  <c r="L28" i="6" s="1"/>
  <c r="M28" i="6" s="1"/>
  <c r="M25" i="25"/>
  <c r="K27" i="6" s="1"/>
  <c r="L27" i="6" s="1"/>
  <c r="M27" i="6" s="1"/>
  <c r="M18" i="7"/>
  <c r="C20" i="6" s="1"/>
  <c r="I20" i="7"/>
  <c r="J19" i="7"/>
  <c r="K19" i="7" s="1"/>
  <c r="L19" i="7" s="1"/>
  <c r="D19" i="6"/>
  <c r="E19" i="6" s="1"/>
  <c r="P18" i="9"/>
  <c r="O19" i="9"/>
  <c r="L26" i="24" l="1"/>
  <c r="M26" i="24" s="1"/>
  <c r="G28" i="6" s="1"/>
  <c r="H28" i="6" s="1"/>
  <c r="I28" i="6" s="1"/>
  <c r="C20" i="5"/>
  <c r="D20" i="5" s="1"/>
  <c r="H20" i="13"/>
  <c r="I20" i="13"/>
  <c r="J20" i="13"/>
  <c r="G20" i="13"/>
  <c r="W20" i="13" s="1"/>
  <c r="X20" i="13" s="1"/>
  <c r="K20" i="13"/>
  <c r="L20" i="13"/>
  <c r="M20" i="13"/>
  <c r="N20" i="13"/>
  <c r="O20" i="13"/>
  <c r="P20" i="13"/>
  <c r="Q20" i="13"/>
  <c r="R20" i="13"/>
  <c r="S20" i="13"/>
  <c r="T20" i="13"/>
  <c r="M19" i="7"/>
  <c r="C21" i="6" s="1"/>
  <c r="I21" i="7"/>
  <c r="J20" i="7"/>
  <c r="K20" i="7" s="1"/>
  <c r="L20" i="7" s="1"/>
  <c r="D20" i="6"/>
  <c r="E20" i="6" s="1"/>
  <c r="P19" i="9"/>
  <c r="O20" i="9"/>
  <c r="O21" i="9" s="1"/>
  <c r="P21" i="9" s="1"/>
  <c r="C23" i="5" s="1"/>
  <c r="D23" i="5" l="1"/>
  <c r="C21" i="5"/>
  <c r="D21" i="5" s="1"/>
  <c r="M20" i="7"/>
  <c r="C22" i="6" s="1"/>
  <c r="J21" i="7"/>
  <c r="K21" i="7" s="1"/>
  <c r="L21" i="7" s="1"/>
  <c r="I22" i="7"/>
  <c r="D21" i="6"/>
  <c r="E21" i="6" s="1"/>
  <c r="P20" i="9"/>
  <c r="M21" i="7" l="1"/>
  <c r="C23" i="6" s="1"/>
  <c r="D23" i="6" s="1"/>
  <c r="E23" i="6" s="1"/>
  <c r="I5" i="13" s="1"/>
  <c r="J5" i="13" s="1"/>
  <c r="K5" i="13" s="1"/>
  <c r="H5" i="26"/>
  <c r="C22" i="5"/>
  <c r="D22" i="5" s="1"/>
  <c r="J22" i="7"/>
  <c r="K22" i="7" s="1"/>
  <c r="L22" i="7" s="1"/>
  <c r="I23" i="7"/>
  <c r="D22" i="6"/>
  <c r="E22" i="6" s="1"/>
  <c r="O22" i="9"/>
  <c r="H5" i="27" l="1"/>
  <c r="M22" i="7"/>
  <c r="C24" i="6" s="1"/>
  <c r="I24" i="7"/>
  <c r="J23" i="7"/>
  <c r="K23" i="7" s="1"/>
  <c r="L23" i="7" s="1"/>
  <c r="P22" i="9"/>
  <c r="O23" i="9"/>
  <c r="O24" i="9" s="1"/>
  <c r="L5" i="13" l="1"/>
  <c r="J5" i="27"/>
  <c r="J5" i="26"/>
  <c r="C24" i="5"/>
  <c r="D24" i="5" s="1"/>
  <c r="M23" i="7"/>
  <c r="C25" i="6" s="1"/>
  <c r="J24" i="7"/>
  <c r="K24" i="7" s="1"/>
  <c r="L24" i="7" s="1"/>
  <c r="I25" i="7"/>
  <c r="D24" i="6"/>
  <c r="E24" i="6" s="1"/>
  <c r="P24" i="9"/>
  <c r="C26" i="5" s="1"/>
  <c r="O25" i="9"/>
  <c r="P25" i="9" s="1"/>
  <c r="C27" i="5" s="1"/>
  <c r="P23" i="9"/>
  <c r="L6" i="13" l="1"/>
  <c r="F9" i="13" s="1"/>
  <c r="C25" i="5"/>
  <c r="D25" i="5" s="1"/>
  <c r="K5" i="26"/>
  <c r="L5" i="26" s="1"/>
  <c r="K5" i="27"/>
  <c r="L5" i="27" s="1"/>
  <c r="D25" i="6"/>
  <c r="E25" i="6" s="1"/>
  <c r="J25" i="7"/>
  <c r="K25" i="7" s="1"/>
  <c r="L25" i="7" s="1"/>
  <c r="I26" i="7"/>
  <c r="M24" i="7"/>
  <c r="C26" i="6" s="1"/>
  <c r="D26" i="5"/>
  <c r="L6" i="26" l="1"/>
  <c r="F9" i="26" s="1"/>
  <c r="L6" i="27"/>
  <c r="F9" i="27" s="1"/>
  <c r="F13" i="13"/>
  <c r="G9" i="13"/>
  <c r="M25" i="7"/>
  <c r="C27" i="6" s="1"/>
  <c r="D26" i="6"/>
  <c r="E26" i="6" s="1"/>
  <c r="J26" i="7"/>
  <c r="K26" i="7" s="1"/>
  <c r="L26" i="7" s="1"/>
  <c r="D27" i="5"/>
  <c r="F13" i="27" l="1"/>
  <c r="G9" i="27"/>
  <c r="H9" i="27" s="1"/>
  <c r="F13" i="26"/>
  <c r="G9" i="26"/>
  <c r="G13" i="26" s="1"/>
  <c r="G13" i="13"/>
  <c r="H9" i="13"/>
  <c r="M26" i="7"/>
  <c r="C28" i="6" s="1"/>
  <c r="D27" i="6"/>
  <c r="E27" i="6" s="1"/>
  <c r="G13" i="27" l="1"/>
  <c r="H9" i="26"/>
  <c r="H13" i="26" s="1"/>
  <c r="H13" i="13"/>
  <c r="H13" i="27"/>
  <c r="I9" i="27"/>
  <c r="I9" i="13"/>
  <c r="D28" i="6"/>
  <c r="E28" i="6" s="1"/>
  <c r="I9" i="26" l="1"/>
  <c r="I13" i="13"/>
  <c r="I13" i="27"/>
  <c r="J9" i="27"/>
  <c r="J9" i="13"/>
  <c r="I13" i="26" l="1"/>
  <c r="J9" i="26"/>
  <c r="K9" i="26" s="1"/>
  <c r="L9" i="26" s="1"/>
  <c r="J13" i="13"/>
  <c r="J13" i="27"/>
  <c r="K9" i="27"/>
  <c r="K9" i="13"/>
  <c r="J13" i="26" l="1"/>
  <c r="K13" i="26"/>
  <c r="K13" i="13"/>
  <c r="K13" i="27"/>
  <c r="L13" i="26"/>
  <c r="L9" i="27"/>
  <c r="L9" i="13"/>
  <c r="M9" i="26"/>
  <c r="L13" i="13" l="1"/>
  <c r="L13" i="27"/>
  <c r="M13" i="26"/>
  <c r="M9" i="27"/>
  <c r="M13" i="27" s="1"/>
  <c r="M9" i="13"/>
  <c r="N9" i="26"/>
  <c r="M13" i="13" l="1"/>
  <c r="N13" i="26"/>
  <c r="N9" i="27"/>
  <c r="N9" i="13"/>
  <c r="O9" i="26"/>
  <c r="N13" i="13" l="1"/>
  <c r="N13" i="27"/>
  <c r="O13" i="26"/>
  <c r="O9" i="27"/>
  <c r="O9" i="13"/>
  <c r="P9" i="26"/>
  <c r="O13" i="13" l="1"/>
  <c r="O13" i="27"/>
  <c r="P13" i="26"/>
  <c r="P9" i="27"/>
  <c r="P9" i="13"/>
  <c r="Q9" i="26"/>
  <c r="P13" i="13" l="1"/>
  <c r="P13" i="27"/>
  <c r="Q13" i="26"/>
  <c r="Q9" i="27"/>
  <c r="Q9" i="13"/>
  <c r="R9" i="26"/>
  <c r="Q13" i="13" l="1"/>
  <c r="Q13" i="27"/>
  <c r="R13" i="26"/>
  <c r="R9" i="27"/>
  <c r="R9" i="13"/>
  <c r="S9" i="26"/>
  <c r="R13" i="13" l="1"/>
  <c r="R13" i="27"/>
  <c r="S13" i="26"/>
  <c r="S9" i="27"/>
  <c r="S9" i="13"/>
  <c r="T9" i="26"/>
  <c r="W9" i="26" s="1"/>
  <c r="X9" i="26" s="1"/>
  <c r="S13" i="13" l="1"/>
  <c r="S13" i="27"/>
  <c r="T13" i="26"/>
  <c r="T9" i="27"/>
  <c r="W9" i="27" s="1"/>
  <c r="X9" i="27" s="1"/>
  <c r="T9" i="13"/>
  <c r="W9" i="13" s="1"/>
  <c r="X9" i="13" s="1"/>
  <c r="W13" i="26" l="1"/>
  <c r="X13" i="26" s="1"/>
  <c r="U13" i="26"/>
  <c r="T13" i="13"/>
  <c r="T13" i="27"/>
  <c r="W13" i="27" l="1"/>
  <c r="X13" i="27" s="1"/>
  <c r="U13" i="27"/>
  <c r="W13" i="13"/>
  <c r="X13" i="13" s="1"/>
  <c r="U13" i="13"/>
</calcChain>
</file>

<file path=xl/sharedStrings.xml><?xml version="1.0" encoding="utf-8"?>
<sst xmlns="http://schemas.openxmlformats.org/spreadsheetml/2006/main" count="306" uniqueCount="129">
  <si>
    <t>Schedule 91 -- Cogeneration and Small Energy Production</t>
  </si>
  <si>
    <t>Annual Energy Savings in kWh</t>
  </si>
  <si>
    <t>Measure Life</t>
  </si>
  <si>
    <t>Capacity Factor</t>
  </si>
  <si>
    <t>Measure Type</t>
  </si>
  <si>
    <t>Avoided Cost of Energy</t>
  </si>
  <si>
    <t>Avoided Cost of Capacity</t>
  </si>
  <si>
    <t>Total Avoided Cost</t>
  </si>
  <si>
    <t>$/kWh</t>
  </si>
  <si>
    <t>Flat</t>
  </si>
  <si>
    <t>Constant Nominal</t>
  </si>
  <si>
    <t>Equivalent w/ 2.5% Increase</t>
  </si>
  <si>
    <t>2.5 Percent Increase</t>
  </si>
  <si>
    <t>2.5 Percent Index</t>
  </si>
  <si>
    <t>Notes</t>
  </si>
  <si>
    <t>$/MWh</t>
  </si>
  <si>
    <t>Year</t>
  </si>
  <si>
    <t>Total Annual Capital &amp; Fixed Costs of Capacity</t>
  </si>
  <si>
    <t>NPV - Capacity</t>
  </si>
  <si>
    <t>Cumulative Present Value CES-Capacity</t>
  </si>
  <si>
    <t>Levelized Cost Effectiveness Standard-Capacity</t>
  </si>
  <si>
    <t>(years)</t>
  </si>
  <si>
    <t>Deferred T&amp;D Cost Credit ($/kw-yr) (4):</t>
  </si>
  <si>
    <t>[1]</t>
  </si>
  <si>
    <t>[2]</t>
  </si>
  <si>
    <t>[3]</t>
  </si>
  <si>
    <t>[4]</t>
  </si>
  <si>
    <t>[5]</t>
  </si>
  <si>
    <t>[7]</t>
  </si>
  <si>
    <t>[8]</t>
  </si>
  <si>
    <t>NW Power Act Regional Credit (5):</t>
  </si>
  <si>
    <t>Annual Weighted Average of Hourly Price</t>
  </si>
  <si>
    <t>Levelized Cost Effectiveness Standard-Energy</t>
  </si>
  <si>
    <t>[6]</t>
  </si>
  <si>
    <r>
      <t>Nominal Discount Rate</t>
    </r>
    <r>
      <rPr>
        <b/>
        <sz val="10"/>
        <rFont val="Arial"/>
        <family val="2"/>
      </rPr>
      <t xml:space="preserve"> (*)</t>
    </r>
    <r>
      <rPr>
        <b/>
        <sz val="12"/>
        <rFont val="Arial"/>
        <family val="2"/>
      </rPr>
      <t>:</t>
    </r>
  </si>
  <si>
    <r>
      <t>GDP Inflation</t>
    </r>
    <r>
      <rPr>
        <b/>
        <sz val="10"/>
        <rFont val="Arial"/>
        <family val="2"/>
      </rPr>
      <t xml:space="preserve"> (**)</t>
    </r>
    <r>
      <rPr>
        <b/>
        <sz val="12"/>
        <rFont val="Arial"/>
        <family val="2"/>
      </rPr>
      <t>:</t>
    </r>
  </si>
  <si>
    <t>($/kw-yr)</t>
  </si>
  <si>
    <t xml:space="preserve">Present Value-Energy </t>
  </si>
  <si>
    <t>Cumulative Present Value -Energy</t>
  </si>
  <si>
    <t>Flat Load</t>
  </si>
  <si>
    <t xml:space="preserve"> 1 / 8760</t>
  </si>
  <si>
    <t>$ / MWh</t>
  </si>
  <si>
    <t>$ / kWh</t>
  </si>
  <si>
    <t>[9]</t>
  </si>
  <si>
    <t>$/kw-yr</t>
  </si>
  <si>
    <t>The planning adjustment is the cost difference between the  IRP portfolio with no demand side resources (DSR) and the  IRP portfolio with optimal DSR, which is relevant to EES but not for a PPA.</t>
  </si>
  <si>
    <t>EES leads to lower overall load and hence lower RPS requirement to meet. A PPA does not lower overall load.</t>
  </si>
  <si>
    <t xml:space="preserve"> "Contingency Reserves" per WECC 10/1/2014</t>
  </si>
  <si>
    <t>Ave</t>
  </si>
  <si>
    <t>MONTHS</t>
  </si>
  <si>
    <t>Indicative Avoided Capacity Costs for Resources Delivered to PSE's System</t>
  </si>
  <si>
    <t>Delivered to PSE Capacity Value</t>
  </si>
  <si>
    <t>Capacity Resource Addition</t>
  </si>
  <si>
    <t>(a)                            Levelized             Net $/kW-yr  Delivered To PSE</t>
  </si>
  <si>
    <t>(b)                             Avoided Energy Supply Capacity Cost $/kW-Yr                         Delivered to Mid-C</t>
  </si>
  <si>
    <t>Supply Capacity Cost</t>
  </si>
  <si>
    <t>Transmission Redirect</t>
  </si>
  <si>
    <t>Flow Battery-4 hr</t>
  </si>
  <si>
    <t>Frame Peaker</t>
  </si>
  <si>
    <t>Base</t>
  </si>
  <si>
    <t>Wind</t>
  </si>
  <si>
    <t>Solar</t>
  </si>
  <si>
    <t>This model accounts for both avoided energy costs and avoided capacity costs.</t>
  </si>
  <si>
    <t>The value of a measure increases with its measure life. The power purchase agreement (PPA) length under Schedule 91 is fifteen years, analogous to a fifteen year measure life.</t>
  </si>
  <si>
    <t>The proposed 15-year strip is highlighted in yellow above.</t>
  </si>
  <si>
    <t>This Schedule 91 energy rate model is based upon the cost effectiveness standard model that has been used for evaluating individual measures of PSE's Energy Efficiency Services program.</t>
  </si>
  <si>
    <t>Note 1</t>
  </si>
  <si>
    <t>Note 2</t>
  </si>
  <si>
    <t xml:space="preserve">Note 1: The avoided capacity costs are concistent with the 2017 IRP for the Solar Resource. </t>
  </si>
  <si>
    <t xml:space="preserve">Note 1: The avoided capacity costs are concistent with the 2017 IRP for the Wind Resource. </t>
  </si>
  <si>
    <t>Nominal Discount Rate</t>
  </si>
  <si>
    <t>GDP Inflation</t>
  </si>
  <si>
    <t>T&amp;D Line Loss Reduction</t>
  </si>
  <si>
    <t>Planning Adjustment</t>
  </si>
  <si>
    <t>Avoided Renewable Benefits</t>
  </si>
  <si>
    <t>Conservation Credit</t>
  </si>
  <si>
    <t>For each type of resource the final output of this calculation is a levelized price that does not vary from year to year (see cell L4).</t>
  </si>
  <si>
    <t>Unlike a conservation project, a PPA requires spinning reserves which are deducted above at the rate of 3% (see cell M4).</t>
  </si>
  <si>
    <t>PSE currently makes no deduction for balancing related costs as such costs could not be currently identified.</t>
  </si>
  <si>
    <t>There are separate calculations for Baseload, Wind and Solar resources which have different capacity values as provided in the 2017 IRP and PSE’s Schedule of Estimated Avoided Cost most recently filed in Docket No. 171141.</t>
  </si>
  <si>
    <t>The final levelized price is adjusted to create a 15-year Fixed Price option that increases by 2.5% each year, which maintains the same value to PSE while increasing the value to the customer-generator over time.</t>
  </si>
  <si>
    <t>Including</t>
  </si>
  <si>
    <t>($/MWh)</t>
  </si>
  <si>
    <t>The 10% conservation credit adder per Northwest Power Act of 1980 is now reflected in the REC market which is additional to the PPA.</t>
  </si>
  <si>
    <t>20-year levelized</t>
  </si>
  <si>
    <t>15-year levelized</t>
  </si>
  <si>
    <t>Rates for Purchase of Energy - Solar</t>
  </si>
  <si>
    <t>Rates for Purchase of Energy - Wind</t>
  </si>
  <si>
    <t>Escalated Rate @ 2.5%</t>
  </si>
  <si>
    <t>Firm</t>
  </si>
  <si>
    <t>Nominal Discount Rate (*):</t>
  </si>
  <si>
    <t>GDP Inflation (**):</t>
  </si>
  <si>
    <t>1</t>
  </si>
  <si>
    <t>2019 IRP: Forecast Mid-C Power Prices for Base + No CO2 Scenario (Nominal $/MWh)</t>
  </si>
  <si>
    <t>Docket No. UE-180282</t>
  </si>
  <si>
    <t>Adjustment 18.02</t>
  </si>
  <si>
    <t>PUGET SOUND ENERGY-ELECTRIC</t>
  </si>
  <si>
    <t>PRO FORMA COST OF CAPITAL</t>
  </si>
  <si>
    <t>FOR THE TWELVE MONTHS ENDED SEPTEMBER 30, 2016</t>
  </si>
  <si>
    <t>2017 GENERAL RATE INCREASE - UE-180282</t>
  </si>
  <si>
    <t>Tax Reform Filing</t>
  </si>
  <si>
    <t>LINE</t>
  </si>
  <si>
    <t>PRO FORMA</t>
  </si>
  <si>
    <t>COST OF</t>
  </si>
  <si>
    <t>NO.</t>
  </si>
  <si>
    <t>DESCRIPTION</t>
  </si>
  <si>
    <t>CAPITAL %</t>
  </si>
  <si>
    <t>COST %</t>
  </si>
  <si>
    <t>CAPITAL</t>
  </si>
  <si>
    <t>SHORT &amp; LONG TERM DEBT</t>
  </si>
  <si>
    <t>EQUITY</t>
  </si>
  <si>
    <t>TOTAL COST OF CAPITAL</t>
  </si>
  <si>
    <t>AFTER TAX DEBT</t>
  </si>
  <si>
    <t>TOTAL AFTER TAX COST OF CAPITAL</t>
  </si>
  <si>
    <t>[10]</t>
  </si>
  <si>
    <t>Deferred T&amp;D</t>
  </si>
  <si>
    <t xml:space="preserve"> T&amp;D Line Loss Reduction [4]</t>
  </si>
  <si>
    <t xml:space="preserve">Transmission losses updated as per section 15.7 Real Power Losses, PSE Current Effective OATT 8.7.18.
 </t>
  </si>
  <si>
    <t>http://www.oatioasis.com/webSmartOASIS/HomePage?ProviderName=PSEI&amp;Homepage=1</t>
  </si>
  <si>
    <t>checksum</t>
  </si>
  <si>
    <t>year / hour</t>
  </si>
  <si>
    <r>
      <t>Note 2: The 7</t>
    </r>
    <r>
      <rPr>
        <vertAlign val="superscript"/>
        <sz val="12"/>
        <rFont val="Arial"/>
        <family val="2"/>
      </rPr>
      <t>th</t>
    </r>
    <r>
      <rPr>
        <sz val="12"/>
        <rFont val="Arial"/>
        <family val="2"/>
      </rPr>
      <t xml:space="preserve"> Northwest Power Plan used monetary values of avoided transmission and distribution capacity which were recommended by the Regional Technical Forum. The values of transmission and distribution in the 7th Northwest Power Plan are in 2012 prices.  To obtain a current year value, the price in 2012 was inflated using 2.5% per year, consistent with EES methodology.</t>
    </r>
  </si>
  <si>
    <r>
      <t xml:space="preserve">(c)=(a)*100%                   </t>
    </r>
    <r>
      <rPr>
        <u/>
        <sz val="12"/>
        <color theme="1"/>
        <rFont val="Arial"/>
        <family val="2"/>
      </rPr>
      <t>Firm Resource</t>
    </r>
    <r>
      <rPr>
        <sz val="12"/>
        <rFont val="Arial"/>
        <family val="2"/>
      </rPr>
      <t xml:space="preserve"> ELCC=100%</t>
    </r>
  </si>
  <si>
    <r>
      <t xml:space="preserve">(d)=(a)*0.16         </t>
    </r>
    <r>
      <rPr>
        <u/>
        <sz val="12"/>
        <color theme="1"/>
        <rFont val="Arial"/>
        <family val="2"/>
      </rPr>
      <t>Wind Resource</t>
    </r>
    <r>
      <rPr>
        <sz val="12"/>
        <rFont val="Arial"/>
        <family val="2"/>
      </rPr>
      <t xml:space="preserve"> ELCC=16%</t>
    </r>
  </si>
  <si>
    <r>
      <t xml:space="preserve">(e)=(a)*0.02       </t>
    </r>
    <r>
      <rPr>
        <u/>
        <sz val="12"/>
        <color theme="1"/>
        <rFont val="Arial"/>
        <family val="2"/>
      </rPr>
      <t>Solar Resource</t>
    </r>
    <r>
      <rPr>
        <sz val="12"/>
        <rFont val="Arial"/>
        <family val="2"/>
      </rPr>
      <t xml:space="preserve"> ELCC=2%</t>
    </r>
  </si>
  <si>
    <t>Schedule 91 Rates for Purchase of Energy - Firm</t>
  </si>
  <si>
    <t>A 16th year is added to the strip to accommodate projects that sign the PPA in 2019 but start operation in 2020, allowing for a 15-year PPA.</t>
  </si>
  <si>
    <t xml:space="preserve">Note 1: The avoided capacity costs are consistent with the 2019 IRP for the Base Resource. </t>
  </si>
  <si>
    <t>Power prices have been updated to be consistent with PSE's 2019 Integrated Resource Plan using the Mid C prices for the “Base + No CO2 price” scenario, and includes the 2019 power price forecast from Aurora.</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</si>
</sst>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0.0000000"/>
    <numFmt numFmtId="166" formatCode="0.000000"/>
    <numFmt numFmtId="167" formatCode="0.00000"/>
    <numFmt numFmtId="168" formatCode="0.0%"/>
    <numFmt numFmtId="169" formatCode="&quot;$&quot;#,##0.00"/>
    <numFmt numFmtId="170" formatCode="_(&quot;$&quot;* #,##0.0000_);_(&quot;$&quot;* \(#,##0.0000\);_(&quot;$&quot;* &quot;-&quot;??_);_(@_)"/>
    <numFmt numFmtId="171" formatCode="_(&quot;$&quot;* #,##0.00000_);_(&quot;$&quot;* \(#,##0.00000\);_(&quot;$&quot;* &quot;-&quot;??_);_(@_)"/>
    <numFmt numFmtId="172" formatCode="_(* #,##0.0000_);_(* \(#,##0.0000\);_(* &quot;-&quot;??_);_(@_)"/>
    <numFmt numFmtId="173" formatCode="_(&quot;$&quot;* #,##0_);_(&quot;$&quot;* \(#,##0\);_(&quot;$&quot;* &quot;-&quot;??_);_(@_)"/>
    <numFmt numFmtId="174" formatCode="_(* #,##0_);_(* \(#,##0\);_(* &quot;-&quot;??_);_(@_)"/>
    <numFmt numFmtId="175" formatCode="_(* #,##0.000000000000_);_(* \(#,##0.000000000000\);_(* &quot;-&quot;??_);_(@_)"/>
    <numFmt numFmtId="176" formatCode="&quot;$&quot;#,##0.00_);\(&quot;$&quot;#,##0.00\);@_)"/>
    <numFmt numFmtId="177" formatCode="&quot;$&quot;#,##0.000_);[Red]\(&quot;$&quot;#,##0.000\)"/>
    <numFmt numFmtId="178" formatCode="0.00%_);\(0.00%\);&quot;–&quot;_)"/>
    <numFmt numFmtId="179" formatCode="#,##0.00_);\(#,##0.00\);\–_);&quot;–&quot;_)"/>
  </numFmts>
  <fonts count="5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7.5"/>
      <color indexed="12"/>
      <name val="Arial"/>
      <family val="2"/>
    </font>
    <font>
      <sz val="8"/>
      <name val="Arial"/>
      <family val="2"/>
    </font>
    <font>
      <b/>
      <sz val="12"/>
      <name val="Arial"/>
      <family val="2"/>
    </font>
    <font>
      <sz val="10"/>
      <name val="Arial"/>
      <family val="2"/>
    </font>
    <font>
      <sz val="12"/>
      <name val="Arial"/>
      <family val="2"/>
    </font>
    <font>
      <b/>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sz val="12"/>
      <color indexed="8"/>
      <name val="Arial"/>
      <family val="2"/>
    </font>
    <font>
      <b/>
      <sz val="11"/>
      <name val="Arial"/>
      <family val="2"/>
    </font>
    <font>
      <vertAlign val="superscript"/>
      <sz val="12"/>
      <name val="Arial"/>
      <family val="2"/>
    </font>
    <font>
      <i/>
      <sz val="10"/>
      <name val="Arial"/>
      <family val="2"/>
    </font>
    <font>
      <u/>
      <sz val="12"/>
      <color indexed="12"/>
      <name val="Arial"/>
      <family val="2"/>
    </font>
    <font>
      <sz val="12"/>
      <color theme="1"/>
      <name val="Arial"/>
      <family val="2"/>
    </font>
    <font>
      <b/>
      <i/>
      <sz val="12"/>
      <color theme="1"/>
      <name val="Arial"/>
      <family val="2"/>
    </font>
    <font>
      <sz val="12"/>
      <color rgb="FFFFFFFF"/>
      <name val="Arial"/>
      <family val="2"/>
    </font>
    <font>
      <b/>
      <sz val="12"/>
      <color rgb="FFFFFFFF"/>
      <name val="Arial"/>
      <family val="2"/>
    </font>
    <font>
      <b/>
      <sz val="12"/>
      <color rgb="FF000000"/>
      <name val="Arial"/>
      <family val="2"/>
    </font>
    <font>
      <sz val="12"/>
      <color rgb="FF000000"/>
      <name val="Arial"/>
      <family val="2"/>
    </font>
    <font>
      <b/>
      <sz val="10"/>
      <color theme="1"/>
      <name val="Times New Roman"/>
      <family val="1"/>
    </font>
    <font>
      <sz val="10"/>
      <color theme="1"/>
      <name val="Times New Roman"/>
      <family val="1"/>
    </font>
    <font>
      <sz val="8"/>
      <color theme="1"/>
      <name val="Times New Roman"/>
      <family val="1"/>
    </font>
    <font>
      <sz val="11"/>
      <color rgb="FFFF0000"/>
      <name val="Calibri"/>
      <family val="2"/>
      <scheme val="minor"/>
    </font>
    <font>
      <i/>
      <sz val="12"/>
      <name val="Arial"/>
      <family val="2"/>
    </font>
    <font>
      <sz val="12"/>
      <color indexed="9"/>
      <name val="Arial"/>
      <family val="2"/>
    </font>
    <font>
      <u/>
      <sz val="12"/>
      <name val="Arial"/>
      <family val="2"/>
    </font>
    <font>
      <sz val="11"/>
      <color indexed="8"/>
      <name val="Arial"/>
      <family val="2"/>
    </font>
    <font>
      <b/>
      <sz val="12"/>
      <color indexed="10"/>
      <name val="Arial"/>
      <family val="2"/>
    </font>
    <font>
      <u/>
      <sz val="12"/>
      <color theme="1"/>
      <name val="Arial"/>
      <family val="2"/>
    </font>
    <font>
      <sz val="11"/>
      <color rgb="FF1F497D"/>
      <name val="Calibri"/>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4"/>
        <bgColor indexed="64"/>
      </patternFill>
    </fill>
    <fill>
      <patternFill patternType="solid">
        <fgColor theme="4" tint="0.79998168889431442"/>
        <bgColor indexed="64"/>
      </patternFill>
    </fill>
    <fill>
      <patternFill patternType="solid">
        <fgColor rgb="FF006A71"/>
        <bgColor indexed="64"/>
      </patternFill>
    </fill>
    <fill>
      <patternFill patternType="solid">
        <fgColor rgb="FFBDD22B"/>
        <bgColor indexed="64"/>
      </patternFill>
    </fill>
    <fill>
      <patternFill patternType="solid">
        <fgColor rgb="FFFFFF66"/>
        <bgColor indexed="64"/>
      </patternFill>
    </fill>
    <fill>
      <patternFill patternType="solid">
        <fgColor rgb="FF92D050"/>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rgb="FF000000"/>
      </right>
      <top style="thin">
        <color indexed="64"/>
      </top>
      <bottom style="thin">
        <color indexed="64"/>
      </bottom>
      <diagonal/>
    </border>
    <border>
      <left/>
      <right/>
      <top style="thin">
        <color indexed="64"/>
      </top>
      <bottom style="thin">
        <color indexed="64"/>
      </bottom>
      <diagonal/>
    </border>
    <border>
      <left style="thin">
        <color indexed="64"/>
      </left>
      <right style="medium">
        <color rgb="FF000000"/>
      </right>
      <top style="medium">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rgb="FF000000"/>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rgb="FF000000"/>
      </bottom>
      <diagonal/>
    </border>
    <border>
      <left style="thin">
        <color indexed="64"/>
      </left>
      <right style="medium">
        <color indexed="64"/>
      </right>
      <top style="thin">
        <color indexed="64"/>
      </top>
      <bottom style="medium">
        <color rgb="FF000000"/>
      </bottom>
      <diagonal/>
    </border>
    <border>
      <left/>
      <right style="medium">
        <color rgb="FF000000"/>
      </right>
      <top/>
      <bottom style="thin">
        <color indexed="64"/>
      </bottom>
      <diagonal/>
    </border>
    <border>
      <left/>
      <right style="medium">
        <color indexed="64"/>
      </right>
      <top/>
      <bottom style="thin">
        <color indexed="64"/>
      </bottom>
      <diagonal/>
    </border>
    <border>
      <left style="medium">
        <color rgb="FF000000"/>
      </left>
      <right style="thin">
        <color indexed="64"/>
      </right>
      <top style="thin">
        <color indexed="64"/>
      </top>
      <bottom style="medium">
        <color rgb="FF000000"/>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rgb="FF000000"/>
      </left>
      <right style="medium">
        <color rgb="FF000000"/>
      </right>
      <top style="medium">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top style="thin">
        <color rgb="FF000000"/>
      </top>
      <bottom style="medium">
        <color rgb="FF000000"/>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rgb="FF000000"/>
      </top>
      <bottom/>
      <diagonal/>
    </border>
    <border>
      <left/>
      <right style="medium">
        <color rgb="FF000000"/>
      </right>
      <top style="thin">
        <color indexed="64"/>
      </top>
      <bottom/>
      <diagonal/>
    </border>
    <border>
      <left style="medium">
        <color indexed="64"/>
      </left>
      <right style="thin">
        <color indexed="64"/>
      </right>
      <top style="thin">
        <color rgb="FF000000"/>
      </top>
      <bottom style="medium">
        <color rgb="FF000000"/>
      </bottom>
      <diagonal/>
    </border>
    <border>
      <left/>
      <right style="medium">
        <color rgb="FF000000"/>
      </right>
      <top style="thin">
        <color rgb="FF000000"/>
      </top>
      <bottom style="medium">
        <color rgb="FF000000"/>
      </bottom>
      <diagonal/>
    </border>
  </borders>
  <cellStyleXfs count="65">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6" fillId="0" borderId="0" applyNumberFormat="0" applyFill="0" applyBorder="0" applyAlignment="0" applyProtection="0">
      <alignment vertical="top"/>
      <protection locked="0"/>
    </xf>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9" fillId="0" borderId="0"/>
    <xf numFmtId="0" fontId="13" fillId="0" borderId="0"/>
    <xf numFmtId="0" fontId="9" fillId="0" borderId="0"/>
    <xf numFmtId="0" fontId="13" fillId="0" borderId="0"/>
    <xf numFmtId="0" fontId="13" fillId="23" borderId="7" applyNumberFormat="0" applyFont="0" applyAlignment="0" applyProtection="0"/>
    <xf numFmtId="0" fontId="26"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66" fontId="5" fillId="0" borderId="0">
      <alignment horizontal="left" wrapText="1"/>
    </xf>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1" fillId="0" borderId="0"/>
    <xf numFmtId="9" fontId="1" fillId="0" borderId="0" applyFont="0" applyFill="0" applyBorder="0" applyAlignment="0" applyProtection="0"/>
  </cellStyleXfs>
  <cellXfs count="310">
    <xf numFmtId="0" fontId="0" fillId="0" borderId="0" xfId="0"/>
    <xf numFmtId="8" fontId="0" fillId="0" borderId="0" xfId="0" applyNumberFormat="1"/>
    <xf numFmtId="0" fontId="0" fillId="0" borderId="0" xfId="0" applyAlignment="1">
      <alignment horizontal="center"/>
    </xf>
    <xf numFmtId="0" fontId="8" fillId="0" borderId="0" xfId="0" applyFont="1" applyAlignment="1">
      <alignment horizontal="center" wrapText="1"/>
    </xf>
    <xf numFmtId="0" fontId="8" fillId="0" borderId="11" xfId="0" applyFont="1" applyBorder="1" applyAlignment="1">
      <alignment horizontal="center"/>
    </xf>
    <xf numFmtId="0" fontId="8" fillId="0" borderId="0" xfId="0" applyFont="1"/>
    <xf numFmtId="0" fontId="11" fillId="0" borderId="10" xfId="0" applyFont="1" applyBorder="1" applyAlignment="1">
      <alignment horizontal="center" wrapText="1"/>
    </xf>
    <xf numFmtId="0" fontId="11" fillId="0" borderId="0" xfId="0" applyFont="1"/>
    <xf numFmtId="0" fontId="0" fillId="0" borderId="10" xfId="0" applyBorder="1" applyAlignment="1">
      <alignment horizontal="center"/>
    </xf>
    <xf numFmtId="2" fontId="0" fillId="0" borderId="0" xfId="0" applyNumberFormat="1" applyBorder="1"/>
    <xf numFmtId="164" fontId="0" fillId="0" borderId="0" xfId="0" applyNumberFormat="1"/>
    <xf numFmtId="41" fontId="9" fillId="0" borderId="0" xfId="28" applyNumberFormat="1" applyFont="1" applyFill="1" applyBorder="1" applyAlignment="1">
      <alignment horizontal="right"/>
    </xf>
    <xf numFmtId="165" fontId="0" fillId="0" borderId="0" xfId="0" applyNumberFormat="1" applyFill="1" applyAlignment="1">
      <alignment horizontal="right"/>
    </xf>
    <xf numFmtId="165" fontId="0" fillId="0" borderId="0" xfId="0" applyNumberFormat="1" applyAlignment="1">
      <alignment horizontal="right"/>
    </xf>
    <xf numFmtId="0" fontId="0" fillId="0" borderId="0" xfId="0" applyFill="1" applyBorder="1" applyAlignment="1">
      <alignment horizontal="left"/>
    </xf>
    <xf numFmtId="167" fontId="0" fillId="0" borderId="0" xfId="0" applyNumberFormat="1"/>
    <xf numFmtId="165" fontId="0" fillId="0" borderId="0" xfId="0" applyNumberFormat="1"/>
    <xf numFmtId="0" fontId="30" fillId="0" borderId="0" xfId="47" applyFont="1"/>
    <xf numFmtId="0" fontId="8" fillId="0" borderId="0" xfId="47" applyFont="1" applyAlignment="1">
      <alignment horizontal="center"/>
    </xf>
    <xf numFmtId="0" fontId="8" fillId="0" borderId="0" xfId="47" applyFont="1" applyAlignment="1">
      <alignment horizontal="center" wrapText="1"/>
    </xf>
    <xf numFmtId="0" fontId="8" fillId="0" borderId="0" xfId="47" applyFont="1" applyFill="1" applyAlignment="1">
      <alignment horizontal="center" wrapText="1"/>
    </xf>
    <xf numFmtId="0" fontId="8" fillId="0" borderId="11" xfId="47" applyFont="1" applyBorder="1" applyAlignment="1">
      <alignment horizontal="center"/>
    </xf>
    <xf numFmtId="0" fontId="8" fillId="0" borderId="11" xfId="47" applyFont="1" applyFill="1" applyBorder="1" applyAlignment="1">
      <alignment horizontal="center"/>
    </xf>
    <xf numFmtId="0" fontId="8" fillId="0" borderId="0" xfId="47" applyFont="1" applyBorder="1" applyAlignment="1">
      <alignment horizontal="right"/>
    </xf>
    <xf numFmtId="0" fontId="12" fillId="0" borderId="0" xfId="47" applyFont="1" applyFill="1"/>
    <xf numFmtId="0" fontId="8" fillId="0" borderId="0" xfId="46" applyFont="1" applyFill="1" applyAlignment="1">
      <alignment horizontal="right"/>
    </xf>
    <xf numFmtId="0" fontId="8" fillId="0" borderId="0" xfId="46" applyFont="1" applyFill="1" applyAlignment="1">
      <alignment horizontal="center"/>
    </xf>
    <xf numFmtId="0" fontId="8" fillId="0" borderId="0" xfId="46" applyFont="1" applyFill="1" applyAlignment="1">
      <alignment horizontal="center" wrapText="1"/>
    </xf>
    <xf numFmtId="0" fontId="8" fillId="0" borderId="0" xfId="46" applyFont="1" applyFill="1" applyBorder="1" applyAlignment="1">
      <alignment horizontal="center" wrapText="1"/>
    </xf>
    <xf numFmtId="0" fontId="8" fillId="0" borderId="11" xfId="46" applyFont="1" applyFill="1" applyBorder="1" applyAlignment="1">
      <alignment horizontal="center"/>
    </xf>
    <xf numFmtId="0" fontId="8" fillId="0" borderId="0" xfId="46" applyFont="1" applyFill="1" applyBorder="1" applyAlignment="1">
      <alignment horizontal="center"/>
    </xf>
    <xf numFmtId="0" fontId="8" fillId="0" borderId="0" xfId="46" applyFont="1" applyFill="1" applyBorder="1" applyAlignment="1">
      <alignment horizontal="right"/>
    </xf>
    <xf numFmtId="0" fontId="0" fillId="0" borderId="0" xfId="0" quotePrefix="1"/>
    <xf numFmtId="8" fontId="11" fillId="0" borderId="10" xfId="0" applyNumberFormat="1" applyFont="1" applyBorder="1" applyAlignment="1">
      <alignment horizontal="center" wrapText="1"/>
    </xf>
    <xf numFmtId="0" fontId="0" fillId="0" borderId="0" xfId="0" quotePrefix="1" applyAlignment="1">
      <alignment wrapText="1"/>
    </xf>
    <xf numFmtId="0" fontId="0" fillId="0" borderId="0" xfId="0" applyFill="1"/>
    <xf numFmtId="0" fontId="11" fillId="0" borderId="10" xfId="0" applyFont="1" applyFill="1" applyBorder="1" applyAlignment="1">
      <alignment horizontal="center" wrapText="1"/>
    </xf>
    <xf numFmtId="44" fontId="9" fillId="0" borderId="10" xfId="31" applyFont="1" applyFill="1" applyBorder="1" applyAlignment="1">
      <alignment horizontal="center"/>
    </xf>
    <xf numFmtId="44" fontId="11" fillId="0" borderId="10" xfId="31" applyFont="1" applyFill="1" applyBorder="1" applyAlignment="1">
      <alignment horizontal="center" wrapText="1"/>
    </xf>
    <xf numFmtId="170" fontId="9" fillId="0" borderId="10" xfId="31" applyNumberFormat="1" applyFont="1" applyFill="1" applyBorder="1"/>
    <xf numFmtId="0" fontId="4" fillId="0" borderId="0" xfId="47" applyFont="1" applyFill="1" applyAlignment="1">
      <alignment horizontal="left"/>
    </xf>
    <xf numFmtId="0" fontId="0" fillId="0" borderId="10" xfId="0" applyBorder="1"/>
    <xf numFmtId="0" fontId="11" fillId="0" borderId="10" xfId="0" applyFont="1" applyBorder="1"/>
    <xf numFmtId="0" fontId="11" fillId="0" borderId="10" xfId="0" applyFont="1" applyBorder="1" applyAlignment="1">
      <alignment horizontal="center"/>
    </xf>
    <xf numFmtId="0" fontId="11" fillId="0" borderId="10" xfId="0" quotePrefix="1" applyFont="1" applyBorder="1" applyAlignment="1">
      <alignment horizontal="center"/>
    </xf>
    <xf numFmtId="0" fontId="0" fillId="26" borderId="10" xfId="0" applyFill="1" applyBorder="1" applyAlignment="1">
      <alignment horizontal="center"/>
    </xf>
    <xf numFmtId="44" fontId="9" fillId="26" borderId="10" xfId="31" applyFont="1" applyFill="1" applyBorder="1" applyAlignment="1">
      <alignment horizontal="center"/>
    </xf>
    <xf numFmtId="170" fontId="9" fillId="26" borderId="10" xfId="31" applyNumberFormat="1" applyFont="1" applyFill="1" applyBorder="1"/>
    <xf numFmtId="44" fontId="4" fillId="0" borderId="0" xfId="31" applyFont="1" applyBorder="1"/>
    <xf numFmtId="9" fontId="4" fillId="0" borderId="0" xfId="50" applyFont="1" applyBorder="1"/>
    <xf numFmtId="0" fontId="4" fillId="0" borderId="0" xfId="47" applyFont="1"/>
    <xf numFmtId="8" fontId="8" fillId="0" borderId="0" xfId="0" applyNumberFormat="1" applyFont="1"/>
    <xf numFmtId="0" fontId="8" fillId="0" borderId="0" xfId="46" applyFont="1" applyFill="1" applyBorder="1"/>
    <xf numFmtId="0" fontId="0" fillId="0" borderId="0" xfId="0" applyBorder="1"/>
    <xf numFmtId="44" fontId="0" fillId="0" borderId="10" xfId="31" applyFont="1" applyBorder="1" applyAlignment="1">
      <alignment horizontal="center"/>
    </xf>
    <xf numFmtId="44" fontId="0" fillId="0" borderId="0" xfId="31" applyFont="1"/>
    <xf numFmtId="44" fontId="0" fillId="0" borderId="10" xfId="31" applyFont="1" applyBorder="1"/>
    <xf numFmtId="44" fontId="0" fillId="26" borderId="10" xfId="31" applyFont="1" applyFill="1" applyBorder="1"/>
    <xf numFmtId="44" fontId="0" fillId="26" borderId="0" xfId="31" applyFont="1" applyFill="1"/>
    <xf numFmtId="0" fontId="4" fillId="0" borderId="0" xfId="47" applyFont="1" applyFill="1" applyAlignment="1">
      <alignment horizontal="center"/>
    </xf>
    <xf numFmtId="0" fontId="4" fillId="0" borderId="0" xfId="46" applyFont="1" applyFill="1" applyAlignment="1">
      <alignment horizontal="center"/>
    </xf>
    <xf numFmtId="0" fontId="4" fillId="0" borderId="0" xfId="47" applyFont="1" applyAlignment="1">
      <alignment horizontal="center"/>
    </xf>
    <xf numFmtId="0" fontId="4" fillId="26" borderId="0" xfId="47" applyFont="1" applyFill="1" applyAlignment="1">
      <alignment horizontal="center"/>
    </xf>
    <xf numFmtId="44" fontId="4" fillId="0" borderId="0" xfId="31" applyFont="1" applyFill="1"/>
    <xf numFmtId="44" fontId="4" fillId="0" borderId="0" xfId="31" applyFont="1"/>
    <xf numFmtId="44" fontId="4" fillId="0" borderId="0" xfId="31" applyFont="1" applyAlignment="1">
      <alignment horizontal="center"/>
    </xf>
    <xf numFmtId="44" fontId="4" fillId="26" borderId="0" xfId="31" applyFont="1" applyFill="1"/>
    <xf numFmtId="44" fontId="4" fillId="26" borderId="0" xfId="31" applyFont="1" applyFill="1" applyAlignment="1">
      <alignment horizontal="center"/>
    </xf>
    <xf numFmtId="0" fontId="8" fillId="0" borderId="0" xfId="0" applyFont="1" applyAlignment="1">
      <alignment horizontal="center"/>
    </xf>
    <xf numFmtId="0" fontId="4" fillId="0" borderId="0" xfId="0" applyFont="1" applyAlignment="1">
      <alignment horizontal="left" vertical="center" wrapText="1"/>
    </xf>
    <xf numFmtId="44" fontId="0" fillId="26" borderId="10" xfId="31" applyNumberFormat="1" applyFont="1" applyFill="1" applyBorder="1"/>
    <xf numFmtId="8" fontId="0" fillId="0" borderId="0" xfId="0" applyNumberFormat="1" applyBorder="1"/>
    <xf numFmtId="0" fontId="34" fillId="0" borderId="0" xfId="0" applyFont="1" applyBorder="1"/>
    <xf numFmtId="0" fontId="4" fillId="0" borderId="0" xfId="47" applyFont="1" applyFill="1"/>
    <xf numFmtId="169" fontId="4" fillId="0" borderId="0" xfId="32" applyNumberFormat="1" applyFont="1" applyFill="1" applyAlignment="1">
      <alignment horizontal="right"/>
    </xf>
    <xf numFmtId="10" fontId="4" fillId="0" borderId="10" xfId="50" applyNumberFormat="1" applyFont="1" applyFill="1" applyBorder="1" applyAlignment="1">
      <alignment horizontal="right"/>
    </xf>
    <xf numFmtId="168" fontId="4" fillId="0" borderId="0" xfId="51" applyNumberFormat="1" applyFont="1" applyAlignment="1">
      <alignment horizontal="right"/>
    </xf>
    <xf numFmtId="8" fontId="4" fillId="0" borderId="0" xfId="31" applyNumberFormat="1" applyFont="1" applyAlignment="1">
      <alignment horizontal="center"/>
    </xf>
    <xf numFmtId="0" fontId="4" fillId="0" borderId="0" xfId="47" applyFont="1" applyAlignment="1">
      <alignment horizontal="right"/>
    </xf>
    <xf numFmtId="0" fontId="4" fillId="0" borderId="0" xfId="47" applyFont="1" applyBorder="1"/>
    <xf numFmtId="169" fontId="4" fillId="0" borderId="0" xfId="32" applyNumberFormat="1" applyFont="1" applyFill="1" applyBorder="1" applyAlignment="1">
      <alignment horizontal="right"/>
    </xf>
    <xf numFmtId="168" fontId="4" fillId="0" borderId="0" xfId="51" applyNumberFormat="1" applyFont="1" applyBorder="1"/>
    <xf numFmtId="0" fontId="4" fillId="0" borderId="0" xfId="0" applyFont="1"/>
    <xf numFmtId="44" fontId="4" fillId="0" borderId="0" xfId="47" applyNumberFormat="1" applyFont="1" applyFill="1"/>
    <xf numFmtId="173" fontId="4" fillId="0" borderId="0" xfId="47" applyNumberFormat="1" applyFont="1" applyFill="1"/>
    <xf numFmtId="173" fontId="4" fillId="0" borderId="0" xfId="32" applyNumberFormat="1" applyFont="1" applyFill="1" applyAlignment="1">
      <alignment horizontal="center"/>
    </xf>
    <xf numFmtId="0" fontId="35" fillId="0" borderId="0" xfId="40" applyFont="1" applyAlignment="1" applyProtection="1">
      <alignment vertical="center"/>
    </xf>
    <xf numFmtId="0" fontId="37" fillId="0" borderId="0" xfId="0" applyFont="1"/>
    <xf numFmtId="0" fontId="36" fillId="0" borderId="0" xfId="59" applyFont="1"/>
    <xf numFmtId="0" fontId="38" fillId="27" borderId="14" xfId="0" applyFont="1" applyFill="1" applyBorder="1" applyAlignment="1">
      <alignment vertical="center"/>
    </xf>
    <xf numFmtId="0" fontId="41" fillId="0" borderId="20" xfId="0" applyFont="1" applyBorder="1" applyAlignment="1">
      <alignment horizontal="right" vertical="center"/>
    </xf>
    <xf numFmtId="2" fontId="41" fillId="0" borderId="19" xfId="0" applyNumberFormat="1" applyFont="1" applyBorder="1" applyAlignment="1">
      <alignment horizontal="right" vertical="center"/>
    </xf>
    <xf numFmtId="0" fontId="41" fillId="0" borderId="0" xfId="0" applyFont="1" applyBorder="1" applyAlignment="1">
      <alignment horizontal="right" vertical="center"/>
    </xf>
    <xf numFmtId="2" fontId="41" fillId="0" borderId="0" xfId="0" applyNumberFormat="1" applyFont="1" applyBorder="1" applyAlignment="1">
      <alignment horizontal="right" vertical="center"/>
    </xf>
    <xf numFmtId="2" fontId="41" fillId="0" borderId="0" xfId="0" applyNumberFormat="1" applyFont="1" applyFill="1" applyBorder="1" applyAlignment="1">
      <alignment horizontal="right" vertical="center"/>
    </xf>
    <xf numFmtId="0" fontId="36" fillId="0" borderId="0" xfId="59" applyFont="1" applyBorder="1"/>
    <xf numFmtId="0" fontId="36" fillId="0" borderId="0" xfId="59" applyFont="1" applyAlignment="1">
      <alignment horizontal="right"/>
    </xf>
    <xf numFmtId="8" fontId="36" fillId="0" borderId="47" xfId="59" applyNumberFormat="1" applyFont="1" applyBorder="1"/>
    <xf numFmtId="44" fontId="36" fillId="0" borderId="32" xfId="31" applyFont="1" applyBorder="1"/>
    <xf numFmtId="0" fontId="39" fillId="27" borderId="15" xfId="0" applyFont="1" applyFill="1" applyBorder="1" applyAlignment="1">
      <alignment horizontal="center" vertical="center"/>
    </xf>
    <xf numFmtId="0" fontId="39" fillId="27" borderId="16" xfId="0" applyFont="1" applyFill="1" applyBorder="1" applyAlignment="1">
      <alignment horizontal="center" vertical="center"/>
    </xf>
    <xf numFmtId="0" fontId="40" fillId="28" borderId="17" xfId="0" applyFont="1" applyFill="1" applyBorder="1" applyAlignment="1">
      <alignment horizontal="centerContinuous" vertical="center"/>
    </xf>
    <xf numFmtId="0" fontId="40" fillId="28" borderId="18" xfId="0" applyFont="1" applyFill="1" applyBorder="1" applyAlignment="1">
      <alignment horizontal="centerContinuous" vertical="center"/>
    </xf>
    <xf numFmtId="0" fontId="40" fillId="28" borderId="19" xfId="0" applyFont="1" applyFill="1" applyBorder="1" applyAlignment="1">
      <alignment horizontal="centerContinuous" vertical="center"/>
    </xf>
    <xf numFmtId="0" fontId="36" fillId="0" borderId="0" xfId="59" applyFont="1" applyAlignment="1">
      <alignment horizontal="right" indent="1"/>
    </xf>
    <xf numFmtId="0" fontId="36" fillId="0" borderId="0" xfId="59" applyFont="1" applyBorder="1" applyAlignment="1">
      <alignment horizontal="right" indent="1"/>
    </xf>
    <xf numFmtId="178" fontId="36" fillId="0" borderId="0" xfId="50" applyNumberFormat="1" applyFont="1" applyAlignment="1">
      <alignment horizontal="right"/>
    </xf>
    <xf numFmtId="0" fontId="1" fillId="0" borderId="0" xfId="63"/>
    <xf numFmtId="0" fontId="42" fillId="0" borderId="14" xfId="63" applyFont="1" applyBorder="1" applyAlignment="1">
      <alignment vertical="center"/>
    </xf>
    <xf numFmtId="0" fontId="43" fillId="0" borderId="15" xfId="63" applyFont="1" applyBorder="1" applyAlignment="1">
      <alignment vertical="center"/>
    </xf>
    <xf numFmtId="0" fontId="42" fillId="0" borderId="16" xfId="63" applyFont="1" applyBorder="1" applyAlignment="1">
      <alignment horizontal="right" vertical="center"/>
    </xf>
    <xf numFmtId="0" fontId="44" fillId="0" borderId="59" xfId="63" applyFont="1" applyBorder="1" applyAlignment="1">
      <alignment vertical="center"/>
    </xf>
    <xf numFmtId="0" fontId="43" fillId="0" borderId="0" xfId="63" applyFont="1"/>
    <xf numFmtId="0" fontId="42" fillId="0" borderId="60" xfId="63" applyFont="1" applyBorder="1" applyAlignment="1">
      <alignment horizontal="right" vertical="center"/>
    </xf>
    <xf numFmtId="0" fontId="43" fillId="0" borderId="59" xfId="63" applyFont="1" applyBorder="1" applyAlignment="1">
      <alignment vertical="center"/>
    </xf>
    <xf numFmtId="0" fontId="42" fillId="0" borderId="59" xfId="63" applyFont="1" applyBorder="1" applyAlignment="1">
      <alignment horizontal="center" vertical="center"/>
    </xf>
    <xf numFmtId="0" fontId="42" fillId="0" borderId="60" xfId="63" applyFont="1" applyBorder="1" applyAlignment="1">
      <alignment vertical="center"/>
    </xf>
    <xf numFmtId="0" fontId="43" fillId="0" borderId="60" xfId="63" applyFont="1" applyBorder="1" applyAlignment="1">
      <alignment vertical="center"/>
    </xf>
    <xf numFmtId="0" fontId="43" fillId="0" borderId="0" xfId="63" applyFont="1" applyAlignment="1">
      <alignment horizontal="center" vertical="center"/>
    </xf>
    <xf numFmtId="0" fontId="43" fillId="0" borderId="60" xfId="63" applyFont="1" applyBorder="1" applyAlignment="1">
      <alignment horizontal="center" vertical="center"/>
    </xf>
    <xf numFmtId="0" fontId="42" fillId="0" borderId="61" xfId="63" applyFont="1" applyBorder="1" applyAlignment="1">
      <alignment horizontal="center" vertical="center"/>
    </xf>
    <xf numFmtId="0" fontId="42" fillId="0" borderId="21" xfId="63" applyFont="1" applyBorder="1" applyAlignment="1">
      <alignment vertical="center"/>
    </xf>
    <xf numFmtId="0" fontId="43" fillId="0" borderId="21" xfId="63" applyFont="1" applyBorder="1" applyAlignment="1">
      <alignment horizontal="center" vertical="center"/>
    </xf>
    <xf numFmtId="0" fontId="43" fillId="0" borderId="62" xfId="63" applyFont="1" applyBorder="1" applyAlignment="1">
      <alignment horizontal="center" vertical="center"/>
    </xf>
    <xf numFmtId="0" fontId="43" fillId="0" borderId="59" xfId="63" applyFont="1" applyBorder="1" applyAlignment="1">
      <alignment horizontal="center" vertical="center"/>
    </xf>
    <xf numFmtId="0" fontId="43" fillId="0" borderId="0" xfId="63" applyFont="1" applyAlignment="1">
      <alignment vertical="center"/>
    </xf>
    <xf numFmtId="10" fontId="43" fillId="30" borderId="0" xfId="63" applyNumberFormat="1" applyFont="1" applyFill="1" applyAlignment="1">
      <alignment horizontal="right" vertical="center"/>
    </xf>
    <xf numFmtId="10" fontId="43" fillId="30" borderId="60" xfId="63" applyNumberFormat="1" applyFont="1" applyFill="1" applyBorder="1" applyAlignment="1">
      <alignment horizontal="right" vertical="center"/>
    </xf>
    <xf numFmtId="10" fontId="43" fillId="30" borderId="21" xfId="63" applyNumberFormat="1" applyFont="1" applyFill="1" applyBorder="1" applyAlignment="1">
      <alignment horizontal="right" vertical="center"/>
    </xf>
    <xf numFmtId="10" fontId="43" fillId="30" borderId="15" xfId="63" applyNumberFormat="1" applyFont="1" applyFill="1" applyBorder="1" applyAlignment="1">
      <alignment horizontal="right" vertical="center"/>
    </xf>
    <xf numFmtId="0" fontId="43" fillId="30" borderId="0" xfId="63" applyFont="1" applyFill="1"/>
    <xf numFmtId="10" fontId="43" fillId="0" borderId="0" xfId="63" applyNumberFormat="1" applyFont="1" applyAlignment="1">
      <alignment horizontal="right" vertical="center"/>
    </xf>
    <xf numFmtId="10" fontId="43" fillId="0" borderId="60" xfId="63" applyNumberFormat="1" applyFont="1" applyBorder="1" applyAlignment="1">
      <alignment horizontal="right" vertical="center"/>
    </xf>
    <xf numFmtId="0" fontId="45" fillId="0" borderId="0" xfId="63" applyFont="1"/>
    <xf numFmtId="10" fontId="43" fillId="0" borderId="21" xfId="63" applyNumberFormat="1" applyFont="1" applyBorder="1" applyAlignment="1">
      <alignment horizontal="right" vertical="center"/>
    </xf>
    <xf numFmtId="10" fontId="43" fillId="0" borderId="15" xfId="63" applyNumberFormat="1" applyFont="1" applyBorder="1" applyAlignment="1">
      <alignment horizontal="right" vertical="center"/>
    </xf>
    <xf numFmtId="10" fontId="43" fillId="0" borderId="16" xfId="63" applyNumberFormat="1" applyFont="1" applyBorder="1" applyAlignment="1">
      <alignment horizontal="right" vertical="center"/>
    </xf>
    <xf numFmtId="0" fontId="43" fillId="0" borderId="61" xfId="63" applyFont="1" applyBorder="1" applyAlignment="1">
      <alignment horizontal="center" vertical="center"/>
    </xf>
    <xf numFmtId="0" fontId="43" fillId="0" borderId="21" xfId="63" applyFont="1" applyBorder="1" applyAlignment="1">
      <alignment vertical="center"/>
    </xf>
    <xf numFmtId="0" fontId="43" fillId="0" borderId="62" xfId="63" applyFont="1" applyBorder="1" applyAlignment="1">
      <alignment vertical="center"/>
    </xf>
    <xf numFmtId="10" fontId="43" fillId="30" borderId="63" xfId="63" applyNumberFormat="1" applyFont="1" applyFill="1" applyBorder="1" applyAlignment="1">
      <alignment horizontal="right" vertical="center"/>
    </xf>
    <xf numFmtId="2" fontId="4" fillId="0" borderId="0" xfId="0" applyNumberFormat="1" applyFont="1" applyAlignment="1">
      <alignment horizontal="center" wrapText="1"/>
    </xf>
    <xf numFmtId="2" fontId="4" fillId="0" borderId="0" xfId="0" applyNumberFormat="1" applyFont="1" applyAlignment="1">
      <alignment wrapText="1"/>
    </xf>
    <xf numFmtId="0" fontId="4" fillId="0" borderId="0" xfId="0" applyFont="1" applyAlignment="1">
      <alignment horizontal="center"/>
    </xf>
    <xf numFmtId="44" fontId="4" fillId="0" borderId="0" xfId="0" applyNumberFormat="1" applyFont="1"/>
    <xf numFmtId="0" fontId="4" fillId="0" borderId="0" xfId="0" applyFont="1" applyBorder="1"/>
    <xf numFmtId="174" fontId="4" fillId="0" borderId="0" xfId="0" applyNumberFormat="1" applyFont="1"/>
    <xf numFmtId="44" fontId="4" fillId="0" borderId="0" xfId="0" applyNumberFormat="1" applyFont="1" applyBorder="1"/>
    <xf numFmtId="9" fontId="4" fillId="0" borderId="49" xfId="0" applyNumberFormat="1" applyFont="1" applyFill="1" applyBorder="1"/>
    <xf numFmtId="0" fontId="46" fillId="0" borderId="0" xfId="0" applyFont="1" applyBorder="1"/>
    <xf numFmtId="175" fontId="4" fillId="0" borderId="0" xfId="0" applyNumberFormat="1" applyFont="1"/>
    <xf numFmtId="8" fontId="4" fillId="0" borderId="0" xfId="0" applyNumberFormat="1" applyFont="1" applyBorder="1"/>
    <xf numFmtId="8" fontId="4" fillId="0" borderId="0" xfId="0" applyNumberFormat="1" applyFont="1"/>
    <xf numFmtId="0" fontId="4" fillId="0" borderId="53" xfId="0" applyFont="1" applyFill="1" applyBorder="1"/>
    <xf numFmtId="44" fontId="4" fillId="0" borderId="53" xfId="31" applyFont="1" applyFill="1" applyBorder="1"/>
    <xf numFmtId="176" fontId="4" fillId="0" borderId="0" xfId="31" applyNumberFormat="1" applyFont="1" applyBorder="1"/>
    <xf numFmtId="0" fontId="4" fillId="24" borderId="10" xfId="0" applyFont="1" applyFill="1" applyBorder="1" applyAlignment="1">
      <alignment horizontal="center"/>
    </xf>
    <xf numFmtId="0" fontId="4" fillId="0" borderId="0" xfId="0" applyFont="1" applyFill="1" applyBorder="1"/>
    <xf numFmtId="0" fontId="4" fillId="25" borderId="49" xfId="0" applyFont="1" applyFill="1" applyBorder="1"/>
    <xf numFmtId="8" fontId="4" fillId="0" borderId="0" xfId="0" applyNumberFormat="1" applyFont="1" applyFill="1" applyBorder="1"/>
    <xf numFmtId="9" fontId="4" fillId="0" borderId="0" xfId="50" applyFont="1"/>
    <xf numFmtId="0" fontId="47" fillId="0" borderId="0" xfId="0" applyFont="1"/>
    <xf numFmtId="0" fontId="4" fillId="0" borderId="0" xfId="0" applyFont="1" applyFill="1"/>
    <xf numFmtId="2" fontId="4" fillId="0" borderId="0" xfId="0" applyNumberFormat="1" applyFont="1"/>
    <xf numFmtId="40" fontId="4" fillId="0" borderId="0" xfId="0" applyNumberFormat="1" applyFont="1"/>
    <xf numFmtId="17" fontId="48" fillId="0" borderId="0" xfId="0" applyNumberFormat="1" applyFont="1" applyAlignment="1">
      <alignment horizontal="left" vertical="top"/>
    </xf>
    <xf numFmtId="17" fontId="4" fillId="0" borderId="0" xfId="0" applyNumberFormat="1" applyFont="1" applyAlignment="1">
      <alignment horizontal="left" vertical="top"/>
    </xf>
    <xf numFmtId="0" fontId="4" fillId="0" borderId="0" xfId="0" applyFont="1" applyAlignment="1">
      <alignment horizontal="left" vertical="top"/>
    </xf>
    <xf numFmtId="0" fontId="4" fillId="0" borderId="0" xfId="0" applyFont="1" applyFill="1" applyAlignment="1">
      <alignment horizontal="center" vertical="top"/>
    </xf>
    <xf numFmtId="0" fontId="4" fillId="0" borderId="0" xfId="0" applyFont="1" applyFill="1" applyBorder="1" applyAlignment="1">
      <alignment horizontal="center" vertical="top"/>
    </xf>
    <xf numFmtId="0" fontId="8" fillId="0" borderId="0" xfId="0" applyFont="1" applyFill="1" applyAlignment="1">
      <alignment horizontal="left" vertical="top"/>
    </xf>
    <xf numFmtId="177" fontId="4" fillId="0" borderId="0" xfId="0" applyNumberFormat="1" applyFont="1"/>
    <xf numFmtId="0" fontId="4" fillId="0" borderId="51" xfId="0" applyFont="1" applyFill="1" applyBorder="1"/>
    <xf numFmtId="2" fontId="4" fillId="0" borderId="53" xfId="0" applyNumberFormat="1" applyFont="1" applyFill="1" applyBorder="1"/>
    <xf numFmtId="2" fontId="4" fillId="0" borderId="0" xfId="0" applyNumberFormat="1" applyFont="1" applyBorder="1"/>
    <xf numFmtId="164" fontId="4" fillId="0" borderId="0" xfId="0" applyNumberFormat="1" applyFont="1" applyBorder="1"/>
    <xf numFmtId="0" fontId="4" fillId="0" borderId="50" xfId="0" applyFont="1" applyFill="1" applyBorder="1"/>
    <xf numFmtId="40" fontId="4" fillId="0" borderId="50" xfId="0" applyNumberFormat="1" applyFont="1" applyFill="1" applyBorder="1"/>
    <xf numFmtId="2" fontId="4" fillId="0" borderId="0" xfId="0" applyNumberFormat="1" applyFont="1" applyBorder="1" applyAlignment="1">
      <alignment horizontal="center" wrapText="1"/>
    </xf>
    <xf numFmtId="2" fontId="4" fillId="0" borderId="0" xfId="0" applyNumberFormat="1" applyFont="1" applyBorder="1" applyAlignment="1">
      <alignment wrapText="1"/>
    </xf>
    <xf numFmtId="174" fontId="4" fillId="0" borderId="0" xfId="0" applyNumberFormat="1" applyFont="1" applyBorder="1"/>
    <xf numFmtId="172" fontId="4" fillId="0" borderId="53" xfId="28" applyNumberFormat="1" applyFont="1" applyFill="1" applyBorder="1"/>
    <xf numFmtId="174" fontId="4" fillId="0" borderId="53" xfId="28" applyNumberFormat="1" applyFont="1" applyFill="1" applyBorder="1"/>
    <xf numFmtId="1" fontId="4" fillId="0" borderId="53" xfId="0" applyNumberFormat="1" applyFont="1" applyFill="1" applyBorder="1" applyAlignment="1">
      <alignment horizontal="center"/>
    </xf>
    <xf numFmtId="10" fontId="4" fillId="0" borderId="53" xfId="0" applyNumberFormat="1" applyFont="1" applyFill="1" applyBorder="1" applyAlignment="1">
      <alignment horizontal="right"/>
    </xf>
    <xf numFmtId="0" fontId="4" fillId="0" borderId="53" xfId="0" applyFont="1" applyFill="1" applyBorder="1" applyAlignment="1">
      <alignment horizontal="center"/>
    </xf>
    <xf numFmtId="171" fontId="4" fillId="0" borderId="53" xfId="31" applyNumberFormat="1" applyFont="1" applyFill="1" applyBorder="1"/>
    <xf numFmtId="170" fontId="4" fillId="0" borderId="53" xfId="31" applyNumberFormat="1" applyFont="1" applyFill="1" applyBorder="1"/>
    <xf numFmtId="170" fontId="4" fillId="0" borderId="53" xfId="0" applyNumberFormat="1" applyFont="1" applyFill="1" applyBorder="1"/>
    <xf numFmtId="44" fontId="4" fillId="0" borderId="53" xfId="0" applyNumberFormat="1" applyFont="1" applyFill="1" applyBorder="1"/>
    <xf numFmtId="0" fontId="0" fillId="0" borderId="49" xfId="0" applyFill="1" applyBorder="1"/>
    <xf numFmtId="0" fontId="11" fillId="0" borderId="0" xfId="0" applyFont="1" applyBorder="1"/>
    <xf numFmtId="0" fontId="0" fillId="0" borderId="0" xfId="0" quotePrefix="1" applyBorder="1" applyAlignment="1">
      <alignment wrapText="1"/>
    </xf>
    <xf numFmtId="0" fontId="0" fillId="0" borderId="48" xfId="0" quotePrefix="1" applyFill="1" applyBorder="1" applyAlignment="1">
      <alignment horizontal="center"/>
    </xf>
    <xf numFmtId="44" fontId="4" fillId="29" borderId="52" xfId="0" applyNumberFormat="1" applyFont="1" applyFill="1" applyBorder="1"/>
    <xf numFmtId="44" fontId="4" fillId="29" borderId="31" xfId="0" applyNumberFormat="1" applyFont="1" applyFill="1" applyBorder="1"/>
    <xf numFmtId="44" fontId="4" fillId="29" borderId="34" xfId="0" applyNumberFormat="1" applyFont="1" applyFill="1" applyBorder="1"/>
    <xf numFmtId="179" fontId="4" fillId="0" borderId="53" xfId="0" applyNumberFormat="1" applyFont="1" applyFill="1" applyBorder="1"/>
    <xf numFmtId="179" fontId="4" fillId="0" borderId="51" xfId="31" applyNumberFormat="1" applyFont="1" applyFill="1" applyBorder="1"/>
    <xf numFmtId="171" fontId="9" fillId="0" borderId="10" xfId="31" applyNumberFormat="1" applyFont="1" applyFill="1" applyBorder="1"/>
    <xf numFmtId="171" fontId="9" fillId="26" borderId="10" xfId="31" applyNumberFormat="1" applyFont="1" applyFill="1" applyBorder="1"/>
    <xf numFmtId="10" fontId="0" fillId="0" borderId="49" xfId="0" applyNumberFormat="1" applyFill="1" applyBorder="1"/>
    <xf numFmtId="10" fontId="0" fillId="0" borderId="54" xfId="50" applyNumberFormat="1" applyFont="1" applyFill="1" applyBorder="1"/>
    <xf numFmtId="0" fontId="8" fillId="0" borderId="50" xfId="46" applyFont="1" applyFill="1" applyBorder="1" applyAlignment="1">
      <alignment horizontal="center"/>
    </xf>
    <xf numFmtId="0" fontId="8" fillId="0" borderId="0" xfId="47" applyFont="1" applyFill="1" applyBorder="1" applyAlignment="1">
      <alignment horizontal="right"/>
    </xf>
    <xf numFmtId="0" fontId="8" fillId="0" borderId="50" xfId="47" applyNumberFormat="1" applyFont="1" applyFill="1" applyBorder="1" applyAlignment="1">
      <alignment horizontal="center"/>
    </xf>
    <xf numFmtId="0" fontId="46" fillId="0" borderId="0" xfId="47" applyFont="1" applyFill="1" applyAlignment="1">
      <alignment horizontal="center"/>
    </xf>
    <xf numFmtId="0" fontId="4" fillId="0" borderId="0" xfId="47" applyFont="1" applyBorder="1" applyAlignment="1">
      <alignment horizontal="center"/>
    </xf>
    <xf numFmtId="44" fontId="4" fillId="0" borderId="0" xfId="31" applyFont="1" applyFill="1" applyBorder="1"/>
    <xf numFmtId="44" fontId="4" fillId="0" borderId="0" xfId="31" applyFont="1" applyBorder="1" applyAlignment="1">
      <alignment horizontal="center"/>
    </xf>
    <xf numFmtId="0" fontId="8" fillId="0" borderId="50" xfId="47" applyFont="1" applyFill="1" applyBorder="1" applyAlignment="1">
      <alignment horizontal="center"/>
    </xf>
    <xf numFmtId="0" fontId="5" fillId="0" borderId="0" xfId="47" applyFont="1" applyFill="1"/>
    <xf numFmtId="0" fontId="4" fillId="0" borderId="0" xfId="47" applyFont="1" applyFill="1" applyBorder="1"/>
    <xf numFmtId="0" fontId="4" fillId="0" borderId="0" xfId="46" applyFont="1" applyFill="1" applyBorder="1" applyAlignment="1">
      <alignment horizontal="center"/>
    </xf>
    <xf numFmtId="44" fontId="31" fillId="0" borderId="0" xfId="31" applyFont="1" applyFill="1" applyBorder="1"/>
    <xf numFmtId="0" fontId="49" fillId="0" borderId="0" xfId="47" applyFont="1" applyBorder="1"/>
    <xf numFmtId="0" fontId="49" fillId="0" borderId="0" xfId="47" applyFont="1"/>
    <xf numFmtId="44" fontId="31" fillId="26" borderId="0" xfId="31" applyFont="1" applyFill="1" applyBorder="1"/>
    <xf numFmtId="0" fontId="5" fillId="0" borderId="0" xfId="0" applyFont="1"/>
    <xf numFmtId="44" fontId="5" fillId="0" borderId="0" xfId="0" applyNumberFormat="1" applyFont="1" applyFill="1"/>
    <xf numFmtId="8" fontId="49" fillId="0" borderId="0" xfId="47" applyNumberFormat="1" applyFont="1" applyFill="1" applyBorder="1"/>
    <xf numFmtId="44" fontId="31" fillId="0" borderId="0" xfId="31" applyNumberFormat="1" applyFont="1" applyFill="1" applyBorder="1"/>
    <xf numFmtId="0" fontId="4" fillId="0" borderId="0" xfId="46" applyFont="1" applyFill="1" applyBorder="1"/>
    <xf numFmtId="10" fontId="4" fillId="0" borderId="49" xfId="51" applyNumberFormat="1" applyFont="1" applyFill="1" applyBorder="1" applyAlignment="1">
      <alignment horizontal="right"/>
    </xf>
    <xf numFmtId="10" fontId="4" fillId="0" borderId="54" xfId="51" applyNumberFormat="1" applyFont="1" applyFill="1" applyBorder="1" applyAlignment="1">
      <alignment horizontal="right"/>
    </xf>
    <xf numFmtId="168" fontId="4" fillId="0" borderId="0" xfId="51" applyNumberFormat="1" applyFont="1" applyFill="1" applyBorder="1" applyAlignment="1">
      <alignment horizontal="right"/>
    </xf>
    <xf numFmtId="2" fontId="4" fillId="0" borderId="0" xfId="46" applyNumberFormat="1" applyFont="1" applyFill="1" applyBorder="1" applyAlignment="1">
      <alignment horizontal="center"/>
    </xf>
    <xf numFmtId="8" fontId="4" fillId="0" borderId="0" xfId="46" applyNumberFormat="1" applyFont="1" applyFill="1"/>
    <xf numFmtId="44" fontId="4" fillId="0" borderId="0" xfId="32" applyFont="1" applyFill="1"/>
    <xf numFmtId="44" fontId="4" fillId="0" borderId="0" xfId="46" applyNumberFormat="1" applyFont="1" applyFill="1"/>
    <xf numFmtId="44" fontId="4" fillId="0" borderId="0" xfId="32" applyFont="1" applyFill="1" applyAlignment="1">
      <alignment horizontal="center"/>
    </xf>
    <xf numFmtId="2" fontId="4" fillId="0" borderId="0" xfId="46" applyNumberFormat="1" applyFont="1" applyFill="1" applyAlignment="1">
      <alignment horizontal="center"/>
    </xf>
    <xf numFmtId="0" fontId="4" fillId="0" borderId="0" xfId="46" applyFont="1" applyFill="1" applyBorder="1" applyAlignment="1">
      <alignment horizontal="right"/>
    </xf>
    <xf numFmtId="0" fontId="4" fillId="0" borderId="0" xfId="46" applyFont="1" applyFill="1" applyBorder="1" applyAlignment="1"/>
    <xf numFmtId="168" fontId="4" fillId="0" borderId="0" xfId="51" applyNumberFormat="1" applyFont="1" applyFill="1" applyBorder="1"/>
    <xf numFmtId="0" fontId="4" fillId="26" borderId="0" xfId="46" applyFont="1" applyFill="1" applyAlignment="1">
      <alignment horizontal="center"/>
    </xf>
    <xf numFmtId="2" fontId="4" fillId="26" borderId="0" xfId="46" applyNumberFormat="1" applyFont="1" applyFill="1" applyAlignment="1">
      <alignment horizontal="center"/>
    </xf>
    <xf numFmtId="0" fontId="30" fillId="0" borderId="0" xfId="47" applyFont="1" applyFill="1"/>
    <xf numFmtId="0" fontId="30" fillId="0" borderId="0" xfId="46" applyFont="1" applyFill="1"/>
    <xf numFmtId="0" fontId="50" fillId="0" borderId="0" xfId="46" applyFont="1" applyFill="1" applyAlignment="1">
      <alignment horizontal="right"/>
    </xf>
    <xf numFmtId="0" fontId="50" fillId="0" borderId="0" xfId="46" applyFont="1" applyFill="1"/>
    <xf numFmtId="0" fontId="4" fillId="0" borderId="0" xfId="46" applyFont="1" applyFill="1"/>
    <xf numFmtId="0" fontId="8" fillId="0" borderId="0" xfId="46" applyFont="1" applyFill="1"/>
    <xf numFmtId="0" fontId="31" fillId="0" borderId="0" xfId="47" applyFont="1" applyFill="1"/>
    <xf numFmtId="0" fontId="30" fillId="0" borderId="0" xfId="46" applyFont="1" applyFill="1" applyAlignment="1">
      <alignment wrapText="1"/>
    </xf>
    <xf numFmtId="8" fontId="4" fillId="0" borderId="53" xfId="31" applyNumberFormat="1" applyFont="1" applyFill="1" applyBorder="1"/>
    <xf numFmtId="8" fontId="46" fillId="0" borderId="0" xfId="0" applyNumberFormat="1" applyFont="1"/>
    <xf numFmtId="44" fontId="4" fillId="0" borderId="10" xfId="31" applyFont="1" applyFill="1" applyBorder="1" applyAlignment="1">
      <alignment horizontal="right"/>
    </xf>
    <xf numFmtId="0" fontId="36" fillId="0" borderId="14" xfId="59" applyFont="1" applyBorder="1" applyAlignment="1">
      <alignment horizontal="center" wrapText="1"/>
    </xf>
    <xf numFmtId="0" fontId="36" fillId="0" borderId="27" xfId="59" applyFont="1" applyBorder="1" applyAlignment="1">
      <alignment horizontal="center" wrapText="1"/>
    </xf>
    <xf numFmtId="0" fontId="36" fillId="0" borderId="36" xfId="59" applyFont="1" applyBorder="1" applyAlignment="1">
      <alignment horizontal="center" wrapText="1"/>
    </xf>
    <xf numFmtId="0" fontId="36" fillId="0" borderId="37" xfId="59" applyFont="1" applyBorder="1" applyAlignment="1">
      <alignment horizontal="center" wrapText="1"/>
    </xf>
    <xf numFmtId="0" fontId="36" fillId="0" borderId="38" xfId="59" applyFont="1" applyBorder="1" applyAlignment="1">
      <alignment horizontal="center" wrapText="1"/>
    </xf>
    <xf numFmtId="0" fontId="36" fillId="0" borderId="18" xfId="59" applyFont="1" applyBorder="1"/>
    <xf numFmtId="0" fontId="36" fillId="0" borderId="56" xfId="59" applyFont="1" applyFill="1" applyBorder="1" applyAlignment="1">
      <alignment horizontal="center" wrapText="1"/>
    </xf>
    <xf numFmtId="0" fontId="36" fillId="0" borderId="43" xfId="59" applyFont="1" applyBorder="1" applyAlignment="1">
      <alignment horizontal="center" wrapText="1"/>
    </xf>
    <xf numFmtId="0" fontId="36" fillId="0" borderId="19" xfId="59" applyFont="1" applyBorder="1" applyAlignment="1">
      <alignment horizontal="center" wrapText="1"/>
    </xf>
    <xf numFmtId="9" fontId="36" fillId="0" borderId="30" xfId="59" applyNumberFormat="1" applyFont="1" applyBorder="1" applyAlignment="1">
      <alignment horizontal="center" wrapText="1"/>
    </xf>
    <xf numFmtId="9" fontId="36" fillId="0" borderId="39" xfId="59" applyNumberFormat="1" applyFont="1" applyBorder="1" applyAlignment="1">
      <alignment horizontal="center" wrapText="1"/>
    </xf>
    <xf numFmtId="9" fontId="36" fillId="0" borderId="40" xfId="59" applyNumberFormat="1" applyFont="1" applyBorder="1" applyAlignment="1">
      <alignment horizontal="center" wrapText="1"/>
    </xf>
    <xf numFmtId="0" fontId="36" fillId="0" borderId="58" xfId="59" applyFont="1" applyFill="1" applyBorder="1"/>
    <xf numFmtId="0" fontId="36" fillId="0" borderId="42" xfId="59" applyFont="1" applyBorder="1"/>
    <xf numFmtId="0" fontId="36" fillId="0" borderId="41" xfId="59" applyFont="1" applyBorder="1"/>
    <xf numFmtId="44" fontId="4" fillId="0" borderId="26" xfId="60" applyNumberFormat="1" applyFont="1" applyBorder="1"/>
    <xf numFmtId="44" fontId="4" fillId="0" borderId="28" xfId="60" applyNumberFormat="1" applyFont="1" applyBorder="1"/>
    <xf numFmtId="170" fontId="36" fillId="0" borderId="33" xfId="31" applyNumberFormat="1" applyFont="1" applyBorder="1"/>
    <xf numFmtId="170" fontId="36" fillId="0" borderId="34" xfId="31" applyNumberFormat="1" applyFont="1" applyBorder="1"/>
    <xf numFmtId="170" fontId="4" fillId="0" borderId="35" xfId="31" applyNumberFormat="1" applyFont="1" applyBorder="1"/>
    <xf numFmtId="0" fontId="36" fillId="0" borderId="57" xfId="59" applyFont="1" applyFill="1" applyBorder="1"/>
    <xf numFmtId="0" fontId="36" fillId="0" borderId="11" xfId="59" applyFont="1" applyBorder="1"/>
    <xf numFmtId="0" fontId="36" fillId="0" borderId="25" xfId="59" applyFont="1" applyBorder="1"/>
    <xf numFmtId="170" fontId="36" fillId="0" borderId="12" xfId="31" applyNumberFormat="1" applyFont="1" applyBorder="1"/>
    <xf numFmtId="170" fontId="4" fillId="0" borderId="13" xfId="31" applyNumberFormat="1" applyFont="1" applyBorder="1"/>
    <xf numFmtId="44" fontId="4" fillId="0" borderId="22" xfId="60" applyFont="1" applyBorder="1"/>
    <xf numFmtId="0" fontId="36" fillId="0" borderId="24" xfId="59" applyFont="1" applyBorder="1"/>
    <xf numFmtId="0" fontId="36" fillId="0" borderId="22" xfId="59" applyFont="1" applyBorder="1"/>
    <xf numFmtId="44" fontId="4" fillId="0" borderId="22" xfId="60" applyFont="1" applyFill="1" applyBorder="1"/>
    <xf numFmtId="44" fontId="4" fillId="0" borderId="29" xfId="60" applyFont="1" applyBorder="1"/>
    <xf numFmtId="44" fontId="4" fillId="0" borderId="44" xfId="60" applyFont="1" applyBorder="1"/>
    <xf numFmtId="44" fontId="4" fillId="0" borderId="64" xfId="60" applyNumberFormat="1" applyFont="1" applyBorder="1"/>
    <xf numFmtId="170" fontId="36" fillId="0" borderId="44" xfId="31" applyNumberFormat="1" applyFont="1" applyBorder="1"/>
    <xf numFmtId="170" fontId="36" fillId="0" borderId="45" xfId="31" applyNumberFormat="1" applyFont="1" applyBorder="1"/>
    <xf numFmtId="170" fontId="4" fillId="0" borderId="46" xfId="31" applyNumberFormat="1" applyFont="1" applyBorder="1"/>
    <xf numFmtId="0" fontId="36" fillId="0" borderId="43" xfId="59" applyFont="1" applyFill="1" applyBorder="1"/>
    <xf numFmtId="0" fontId="36" fillId="0" borderId="18" xfId="59" applyFont="1" applyFill="1" applyBorder="1"/>
    <xf numFmtId="0" fontId="36" fillId="0" borderId="23" xfId="59" applyFont="1" applyBorder="1"/>
    <xf numFmtId="44" fontId="4" fillId="0" borderId="65" xfId="60" applyFont="1" applyFill="1" applyBorder="1"/>
    <xf numFmtId="44" fontId="4" fillId="0" borderId="66" xfId="60" applyNumberFormat="1" applyFont="1" applyFill="1" applyBorder="1"/>
    <xf numFmtId="170" fontId="36" fillId="0" borderId="30" xfId="31" applyNumberFormat="1" applyFont="1" applyBorder="1"/>
    <xf numFmtId="170" fontId="36" fillId="0" borderId="39" xfId="31" applyNumberFormat="1" applyFont="1" applyBorder="1"/>
    <xf numFmtId="170" fontId="4" fillId="0" borderId="40" xfId="31" applyNumberFormat="1" applyFont="1" applyBorder="1"/>
    <xf numFmtId="0" fontId="36" fillId="0" borderId="0" xfId="59" applyFont="1" applyAlignment="1">
      <alignment horizontal="center" wrapText="1"/>
    </xf>
    <xf numFmtId="44" fontId="4" fillId="0" borderId="0" xfId="60" applyNumberFormat="1" applyFont="1"/>
    <xf numFmtId="44" fontId="4" fillId="0" borderId="50" xfId="31" applyFont="1" applyFill="1" applyBorder="1"/>
    <xf numFmtId="0" fontId="8" fillId="0" borderId="51" xfId="47" applyNumberFormat="1" applyFont="1" applyFill="1" applyBorder="1" applyAlignment="1">
      <alignment horizontal="center"/>
    </xf>
    <xf numFmtId="169" fontId="4" fillId="0" borderId="50" xfId="32" applyNumberFormat="1" applyFont="1" applyFill="1" applyBorder="1" applyAlignment="1">
      <alignment horizontal="center"/>
    </xf>
    <xf numFmtId="0" fontId="4" fillId="25" borderId="49" xfId="0" applyFont="1" applyFill="1" applyBorder="1" applyAlignment="1">
      <alignment wrapText="1"/>
    </xf>
    <xf numFmtId="8" fontId="4" fillId="0" borderId="10" xfId="0" applyNumberFormat="1" applyFont="1" applyFill="1" applyBorder="1"/>
    <xf numFmtId="0" fontId="4" fillId="0" borderId="0" xfId="0" applyFont="1" applyFill="1" applyBorder="1" applyAlignment="1">
      <alignment horizontal="center"/>
    </xf>
    <xf numFmtId="0" fontId="52" fillId="0" borderId="0" xfId="0" applyFont="1" applyAlignment="1">
      <alignment vertical="center"/>
    </xf>
    <xf numFmtId="0" fontId="8" fillId="0" borderId="0" xfId="0" applyFont="1" applyAlignment="1">
      <alignment horizontal="left"/>
    </xf>
    <xf numFmtId="0" fontId="32" fillId="0" borderId="0" xfId="0" applyFont="1" applyAlignment="1">
      <alignment horizontal="right"/>
    </xf>
    <xf numFmtId="0" fontId="11" fillId="0" borderId="0" xfId="0" applyFont="1" applyAlignment="1">
      <alignment horizontal="right"/>
    </xf>
    <xf numFmtId="0" fontId="11" fillId="0" borderId="0" xfId="0" applyFont="1" applyBorder="1" applyAlignment="1">
      <alignment horizontal="right"/>
    </xf>
    <xf numFmtId="0" fontId="11" fillId="0" borderId="0" xfId="46" applyFont="1" applyFill="1" applyBorder="1" applyAlignment="1">
      <alignment horizontal="right"/>
    </xf>
    <xf numFmtId="0" fontId="4" fillId="0" borderId="0" xfId="0" applyFont="1" applyAlignment="1">
      <alignment horizontal="left" vertical="center" wrapText="1"/>
    </xf>
    <xf numFmtId="0" fontId="36" fillId="0" borderId="21" xfId="59" applyFont="1" applyBorder="1" applyAlignment="1">
      <alignment horizontal="center"/>
    </xf>
    <xf numFmtId="0" fontId="42" fillId="0" borderId="59" xfId="63" applyFont="1" applyBorder="1" applyAlignment="1">
      <alignment horizontal="center" vertical="center"/>
    </xf>
    <xf numFmtId="0" fontId="42" fillId="0" borderId="0" xfId="63" applyFont="1" applyBorder="1" applyAlignment="1">
      <alignment horizontal="center" vertical="center"/>
    </xf>
    <xf numFmtId="0" fontId="42" fillId="0" borderId="55" xfId="63" applyFont="1" applyBorder="1" applyAlignment="1">
      <alignment horizontal="center" vertical="center"/>
    </xf>
  </cellXfs>
  <cellStyles count="6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58"/>
    <cellStyle name="Comma 5" xfId="61"/>
    <cellStyle name="Currency" xfId="31" builtinId="4"/>
    <cellStyle name="Currency 2" xfId="32"/>
    <cellStyle name="Currency 3" xfId="33"/>
    <cellStyle name="Currency 4" xfId="60"/>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40" builtinId="8"/>
    <cellStyle name="Input" xfId="41" builtinId="20" customBuiltin="1"/>
    <cellStyle name="Linked Cell" xfId="42" builtinId="24" customBuiltin="1"/>
    <cellStyle name="Neutral" xfId="43" builtinId="28" customBuiltin="1"/>
    <cellStyle name="Normal" xfId="0" builtinId="0"/>
    <cellStyle name="Normal 2" xfId="44"/>
    <cellStyle name="Normal 3" xfId="45"/>
    <cellStyle name="Normal 4" xfId="46"/>
    <cellStyle name="Normal 5" xfId="57"/>
    <cellStyle name="Normal 6" xfId="59"/>
    <cellStyle name="Normal 7" xfId="63"/>
    <cellStyle name="Normal_ElectricAvoidedCost_FlatLoad.Jim_Tom.10.14.11" xfId="47"/>
    <cellStyle name="Note" xfId="48" builtinId="10" customBuiltin="1"/>
    <cellStyle name="Output" xfId="49" builtinId="21" customBuiltin="1"/>
    <cellStyle name="Percent" xfId="50" builtinId="5"/>
    <cellStyle name="Percent 2" xfId="51"/>
    <cellStyle name="Percent 3" xfId="52"/>
    <cellStyle name="Percent 3 2" xfId="64"/>
    <cellStyle name="Percent 4" xfId="62"/>
    <cellStyle name="Style 1" xfId="53"/>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10.xml><?xml version="1.0" encoding="utf-8"?>
<ax:ocx xmlns:ax="http://schemas.microsoft.com/office/2006/activeX" xmlns:r="http://schemas.openxmlformats.org/officeDocument/2006/relationships" ax:classid="{5512D122-5CC6-11CF-8D67-00AA00BDCE1D}" ax:persistence="persistStream" r:id="rId1"/>
</file>

<file path=xl/activeX/activeX11.xml><?xml version="1.0" encoding="utf-8"?>
<ax:ocx xmlns:ax="http://schemas.microsoft.com/office/2006/activeX" xmlns:r="http://schemas.openxmlformats.org/officeDocument/2006/relationships" ax:classid="{5512D122-5CC6-11CF-8D67-00AA00BDCE1D}" ax:persistence="persistStream" r:id="rId1"/>
</file>

<file path=xl/activeX/activeX12.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0-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1A-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All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C1E5-4900-B61D-5D47D8C99D1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C1E5-4900-B61D-5D47D8C99D1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C1E5-4900-B61D-5D47D8C99D10}"/>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C1E5-4900-B61D-5D47D8C99D1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C1E5-4900-B61D-5D47D8C99D10}"/>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C1E5-4900-B61D-5D47D8C99D10}"/>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C1E5-4900-B61D-5D47D8C99D10}"/>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C1E5-4900-B61D-5D47D8C99D10}"/>
            </c:ext>
          </c:extLst>
        </c:ser>
        <c:ser>
          <c:idx val="8"/>
          <c:order val="8"/>
          <c:spPr>
            <a:ln w="12700">
              <a:solidFill>
                <a:srgbClr val="00CCFF"/>
              </a:solidFill>
              <a:prstDash val="solid"/>
            </a:ln>
          </c:spPr>
          <c:marker>
            <c:symbol val="dash"/>
            <c:size val="5"/>
            <c:spPr>
              <a:noFill/>
              <a:ln>
                <a:solidFill>
                  <a:srgbClr val="00CC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8-C1E5-4900-B61D-5D47D8C99D10}"/>
            </c:ext>
          </c:extLst>
        </c:ser>
        <c:ser>
          <c:idx val="9"/>
          <c:order val="9"/>
          <c:spPr>
            <a:ln w="12700">
              <a:solidFill>
                <a:srgbClr val="CCFFFF"/>
              </a:solidFill>
              <a:prstDash val="solid"/>
            </a:ln>
          </c:spPr>
          <c:marker>
            <c:symbol val="diamond"/>
            <c:size val="5"/>
            <c:spPr>
              <a:solidFill>
                <a:srgbClr val="CCFFFF"/>
              </a:solidFill>
              <a:ln>
                <a:solidFill>
                  <a:srgbClr val="CCFF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9-C1E5-4900-B61D-5D47D8C99D10}"/>
            </c:ext>
          </c:extLst>
        </c:ser>
        <c:ser>
          <c:idx val="10"/>
          <c:order val="10"/>
          <c:spPr>
            <a:ln w="12700">
              <a:solidFill>
                <a:srgbClr val="CCFFCC"/>
              </a:solidFill>
              <a:prstDash val="solid"/>
            </a:ln>
          </c:spPr>
          <c:marker>
            <c:symbol val="square"/>
            <c:size val="5"/>
            <c:spPr>
              <a:solidFill>
                <a:srgbClr val="CCFFCC"/>
              </a:solidFill>
              <a:ln>
                <a:solidFill>
                  <a:srgbClr val="CCFFCC"/>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A-C1E5-4900-B61D-5D47D8C99D10}"/>
            </c:ext>
          </c:extLst>
        </c:ser>
        <c:ser>
          <c:idx val="11"/>
          <c:order val="11"/>
          <c:spPr>
            <a:ln w="12700">
              <a:solidFill>
                <a:srgbClr val="FFFF99"/>
              </a:solidFill>
              <a:prstDash val="solid"/>
            </a:ln>
          </c:spPr>
          <c:marker>
            <c:symbol val="triangle"/>
            <c:size val="5"/>
            <c:spPr>
              <a:solidFill>
                <a:srgbClr val="FFFF99"/>
              </a:solidFill>
              <a:ln>
                <a:solidFill>
                  <a:srgbClr val="FFFF99"/>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B-C1E5-4900-B61D-5D47D8C99D10}"/>
            </c:ext>
          </c:extLst>
        </c:ser>
        <c:ser>
          <c:idx val="12"/>
          <c:order val="12"/>
          <c:spPr>
            <a:ln w="12700">
              <a:solidFill>
                <a:srgbClr val="99CCFF"/>
              </a:solidFill>
              <a:prstDash val="solid"/>
            </a:ln>
          </c:spPr>
          <c:marker>
            <c:symbol val="x"/>
            <c:size val="5"/>
            <c:spPr>
              <a:noFill/>
              <a:ln>
                <a:solidFill>
                  <a:srgbClr val="99CC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C-C1E5-4900-B61D-5D47D8C99D10}"/>
            </c:ext>
          </c:extLst>
        </c:ser>
        <c:dLbls>
          <c:showLegendKey val="0"/>
          <c:showVal val="0"/>
          <c:showCatName val="0"/>
          <c:showSerName val="0"/>
          <c:showPercent val="0"/>
          <c:showBubbleSize val="0"/>
        </c:dLbls>
        <c:marker val="1"/>
        <c:smooth val="0"/>
        <c:axId val="145427456"/>
        <c:axId val="145429632"/>
      </c:lineChart>
      <c:catAx>
        <c:axId val="145427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45429632"/>
        <c:crosses val="autoZero"/>
        <c:auto val="1"/>
        <c:lblAlgn val="ctr"/>
        <c:lblOffset val="100"/>
        <c:tickLblSkip val="1"/>
        <c:tickMarkSkip val="1"/>
        <c:noMultiLvlLbl val="0"/>
      </c:catAx>
      <c:valAx>
        <c:axId val="1454296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4542745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Residential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4B7C-4C8E-B5B6-F1F89FFE359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4B7C-4C8E-B5B6-F1F89FFE359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4B7C-4C8E-B5B6-F1F89FFE3596}"/>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4B7C-4C8E-B5B6-F1F89FFE359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4B7C-4C8E-B5B6-F1F89FFE3596}"/>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4B7C-4C8E-B5B6-F1F89FFE3596}"/>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4B7C-4C8E-B5B6-F1F89FFE3596}"/>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xmlns:c16r2="http://schemas.microsoft.com/office/drawing/2015/06/char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4B7C-4C8E-B5B6-F1F89FFE3596}"/>
            </c:ext>
          </c:extLst>
        </c:ser>
        <c:dLbls>
          <c:showLegendKey val="0"/>
          <c:showVal val="0"/>
          <c:showCatName val="0"/>
          <c:showSerName val="0"/>
          <c:showPercent val="0"/>
          <c:showBubbleSize val="0"/>
        </c:dLbls>
        <c:marker val="1"/>
        <c:smooth val="0"/>
        <c:axId val="146609664"/>
        <c:axId val="146611584"/>
      </c:lineChart>
      <c:catAx>
        <c:axId val="146609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46611584"/>
        <c:crosses val="autoZero"/>
        <c:auto val="1"/>
        <c:lblAlgn val="ctr"/>
        <c:lblOffset val="100"/>
        <c:tickLblSkip val="1"/>
        <c:tickMarkSkip val="1"/>
        <c:noMultiLvlLbl val="0"/>
      </c:catAx>
      <c:valAx>
        <c:axId val="1466115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4660966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7.emf"/><Relationship Id="rId1" Type="http://schemas.openxmlformats.org/officeDocument/2006/relationships/image" Target="../media/image4.emf"/><Relationship Id="rId4"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10.emf"/><Relationship Id="rId1" Type="http://schemas.openxmlformats.org/officeDocument/2006/relationships/image" Target="../media/image4.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3</xdr:col>
      <xdr:colOff>0</xdr:colOff>
      <xdr:row>42</xdr:row>
      <xdr:rowOff>129540</xdr:rowOff>
    </xdr:from>
    <xdr:to>
      <xdr:col>3</xdr:col>
      <xdr:colOff>0</xdr:colOff>
      <xdr:row>61</xdr:row>
      <xdr:rowOff>137160</xdr:rowOff>
    </xdr:to>
    <xdr:graphicFrame macro="">
      <xdr:nvGraphicFramePr>
        <xdr:cNvPr id="22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42</xdr:row>
      <xdr:rowOff>129540</xdr:rowOff>
    </xdr:from>
    <xdr:to>
      <xdr:col>3</xdr:col>
      <xdr:colOff>0</xdr:colOff>
      <xdr:row>61</xdr:row>
      <xdr:rowOff>137160</xdr:rowOff>
    </xdr:to>
    <xdr:graphicFrame macro="">
      <xdr:nvGraphicFramePr>
        <xdr:cNvPr id="22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568325</xdr:colOff>
          <xdr:row>2</xdr:row>
          <xdr:rowOff>104775</xdr:rowOff>
        </xdr:from>
        <xdr:to>
          <xdr:col>6</xdr:col>
          <xdr:colOff>730250</xdr:colOff>
          <xdr:row>3</xdr:row>
          <xdr:rowOff>85725</xdr:rowOff>
        </xdr:to>
        <xdr:sp macro="" textlink="">
          <xdr:nvSpPr>
            <xdr:cNvPr id="5121" name="Control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568325</xdr:colOff>
          <xdr:row>2</xdr:row>
          <xdr:rowOff>104775</xdr:rowOff>
        </xdr:from>
        <xdr:to>
          <xdr:col>7</xdr:col>
          <xdr:colOff>12700</xdr:colOff>
          <xdr:row>3</xdr:row>
          <xdr:rowOff>85725</xdr:rowOff>
        </xdr:to>
        <xdr:sp macro="" textlink="">
          <xdr:nvSpPr>
            <xdr:cNvPr id="5122" name="Control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568325</xdr:colOff>
          <xdr:row>2</xdr:row>
          <xdr:rowOff>104775</xdr:rowOff>
        </xdr:from>
        <xdr:to>
          <xdr:col>7</xdr:col>
          <xdr:colOff>12700</xdr:colOff>
          <xdr:row>3</xdr:row>
          <xdr:rowOff>85725</xdr:rowOff>
        </xdr:to>
        <xdr:sp macro="" textlink="">
          <xdr:nvSpPr>
            <xdr:cNvPr id="5123" name="Control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568325</xdr:colOff>
          <xdr:row>2</xdr:row>
          <xdr:rowOff>104775</xdr:rowOff>
        </xdr:from>
        <xdr:to>
          <xdr:col>7</xdr:col>
          <xdr:colOff>41275</xdr:colOff>
          <xdr:row>3</xdr:row>
          <xdr:rowOff>161925</xdr:rowOff>
        </xdr:to>
        <xdr:sp macro="" textlink="">
          <xdr:nvSpPr>
            <xdr:cNvPr id="5124" name="Control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568325</xdr:colOff>
          <xdr:row>2</xdr:row>
          <xdr:rowOff>104775</xdr:rowOff>
        </xdr:from>
        <xdr:to>
          <xdr:col>6</xdr:col>
          <xdr:colOff>730250</xdr:colOff>
          <xdr:row>3</xdr:row>
          <xdr:rowOff>85725</xdr:rowOff>
        </xdr:to>
        <xdr:sp macro="" textlink="">
          <xdr:nvSpPr>
            <xdr:cNvPr id="12289" name="Control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568325</xdr:colOff>
          <xdr:row>2</xdr:row>
          <xdr:rowOff>104775</xdr:rowOff>
        </xdr:from>
        <xdr:to>
          <xdr:col>7</xdr:col>
          <xdr:colOff>12700</xdr:colOff>
          <xdr:row>3</xdr:row>
          <xdr:rowOff>85725</xdr:rowOff>
        </xdr:to>
        <xdr:sp macro="" textlink="">
          <xdr:nvSpPr>
            <xdr:cNvPr id="12290" name="Control 2" hidden="1">
              <a:extLst>
                <a:ext uri="{63B3BB69-23CF-44E3-9099-C40C66FF867C}">
                  <a14:compatExt spid="_x0000_s12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568325</xdr:colOff>
          <xdr:row>2</xdr:row>
          <xdr:rowOff>104775</xdr:rowOff>
        </xdr:from>
        <xdr:to>
          <xdr:col>7</xdr:col>
          <xdr:colOff>12700</xdr:colOff>
          <xdr:row>3</xdr:row>
          <xdr:rowOff>85725</xdr:rowOff>
        </xdr:to>
        <xdr:sp macro="" textlink="">
          <xdr:nvSpPr>
            <xdr:cNvPr id="12291" name="Control 3" hidden="1">
              <a:extLst>
                <a:ext uri="{63B3BB69-23CF-44E3-9099-C40C66FF867C}">
                  <a14:compatExt spid="_x0000_s12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568325</xdr:colOff>
          <xdr:row>2</xdr:row>
          <xdr:rowOff>104775</xdr:rowOff>
        </xdr:from>
        <xdr:to>
          <xdr:col>7</xdr:col>
          <xdr:colOff>41275</xdr:colOff>
          <xdr:row>3</xdr:row>
          <xdr:rowOff>161925</xdr:rowOff>
        </xdr:to>
        <xdr:sp macro="" textlink="">
          <xdr:nvSpPr>
            <xdr:cNvPr id="12292" name="Control 4" hidden="1">
              <a:extLst>
                <a:ext uri="{63B3BB69-23CF-44E3-9099-C40C66FF867C}">
                  <a14:compatExt spid="_x0000_s12292"/>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568325</xdr:colOff>
          <xdr:row>2</xdr:row>
          <xdr:rowOff>104775</xdr:rowOff>
        </xdr:from>
        <xdr:to>
          <xdr:col>6</xdr:col>
          <xdr:colOff>730250</xdr:colOff>
          <xdr:row>3</xdr:row>
          <xdr:rowOff>85725</xdr:rowOff>
        </xdr:to>
        <xdr:sp macro="" textlink="">
          <xdr:nvSpPr>
            <xdr:cNvPr id="13313" name="Control 1" hidden="1">
              <a:extLst>
                <a:ext uri="{63B3BB69-23CF-44E3-9099-C40C66FF867C}">
                  <a14:compatExt spid="_x0000_s13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568325</xdr:colOff>
          <xdr:row>2</xdr:row>
          <xdr:rowOff>104775</xdr:rowOff>
        </xdr:from>
        <xdr:to>
          <xdr:col>7</xdr:col>
          <xdr:colOff>12700</xdr:colOff>
          <xdr:row>3</xdr:row>
          <xdr:rowOff>85725</xdr:rowOff>
        </xdr:to>
        <xdr:sp macro="" textlink="">
          <xdr:nvSpPr>
            <xdr:cNvPr id="13314" name="Control 2" hidden="1">
              <a:extLst>
                <a:ext uri="{63B3BB69-23CF-44E3-9099-C40C66FF867C}">
                  <a14:compatExt spid="_x0000_s13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568325</xdr:colOff>
          <xdr:row>2</xdr:row>
          <xdr:rowOff>104775</xdr:rowOff>
        </xdr:from>
        <xdr:to>
          <xdr:col>7</xdr:col>
          <xdr:colOff>12700</xdr:colOff>
          <xdr:row>3</xdr:row>
          <xdr:rowOff>85725</xdr:rowOff>
        </xdr:to>
        <xdr:sp macro="" textlink="">
          <xdr:nvSpPr>
            <xdr:cNvPr id="13315" name="Control 3" hidden="1">
              <a:extLst>
                <a:ext uri="{63B3BB69-23CF-44E3-9099-C40C66FF867C}">
                  <a14:compatExt spid="_x0000_s13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568325</xdr:colOff>
          <xdr:row>2</xdr:row>
          <xdr:rowOff>104775</xdr:rowOff>
        </xdr:from>
        <xdr:to>
          <xdr:col>7</xdr:col>
          <xdr:colOff>41275</xdr:colOff>
          <xdr:row>3</xdr:row>
          <xdr:rowOff>161925</xdr:rowOff>
        </xdr:to>
        <xdr:sp macro="" textlink="">
          <xdr:nvSpPr>
            <xdr:cNvPr id="13316" name="Control 4" hidden="1">
              <a:extLst>
                <a:ext uri="{63B3BB69-23CF-44E3-9099-C40C66FF867C}">
                  <a14:compatExt spid="_x0000_s13316"/>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ourcePlanning\2009IRP\Aurora\PSM\RevReq\Update%20A\Update%20A%20Constrained_No%20DSM_FullCap_PSM%2020-1%202009%20I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willi\AppData\Local\Microsoft\Windows\Temporary%20Internet%20Files\Content.Outlook\OMOIMSCX\PSM%20III%2023.4_2015%20IRP%20Capacity%20C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se Output"/>
      <sheetName val="EvalSum"/>
      <sheetName val="Evaluation Summary"/>
      <sheetName val="Assumptions"/>
      <sheetName val="Acquisition Inputs"/>
      <sheetName val="AURORAenergy"/>
      <sheetName val="AURORAcost"/>
      <sheetName val="AURORArevenue"/>
      <sheetName val="ACQTHERMAL"/>
      <sheetName val="ACQWIND"/>
      <sheetName val="ACQPPA"/>
      <sheetName val="EXISTCOAL"/>
      <sheetName val="CONTRACT"/>
      <sheetName val="EXISTGAS"/>
      <sheetName val="EXISTWIND"/>
      <sheetName val="WESTERNHYDRO"/>
      <sheetName val="MIDCHYDRO"/>
      <sheetName val="NEWBIOMASS"/>
      <sheetName val="NEWCOAL"/>
      <sheetName val="NEWGAS"/>
      <sheetName val="NEWGASPK"/>
      <sheetName val="NEWGEOTHERMAL"/>
      <sheetName val="NEWSOLAR"/>
      <sheetName val="NEWWIND"/>
      <sheetName val="NEWWINDLONG"/>
      <sheetName val="Load_Market_DSM"/>
      <sheetName val="RPS Summary"/>
      <sheetName val="Dispatch Cases"/>
      <sheetName val="Capital Additions"/>
      <sheetName val="Results Summary"/>
      <sheetName val="ACQConsol"/>
      <sheetName val="Acquisition Thermal"/>
      <sheetName val="Acquisition Wind"/>
      <sheetName val="Consol"/>
      <sheetName val="CCGT"/>
      <sheetName val="Geothermal"/>
      <sheetName val="Long Haul Wind"/>
      <sheetName val="Solar"/>
      <sheetName val="Open Slot"/>
      <sheetName val="Wind"/>
      <sheetName val="Coal"/>
      <sheetName val="Recip Engine"/>
      <sheetName val="Biomass"/>
      <sheetName val="Joint Ownership MW"/>
      <sheetName val="Contracted MW"/>
      <sheetName val="Exist Consol"/>
      <sheetName val="Existing Gas"/>
      <sheetName val="Colstrip"/>
      <sheetName val="Existing Wind"/>
      <sheetName val="West Hydro"/>
      <sheetName val="Mid_C Hydro"/>
      <sheetName val="PPA Rollup"/>
      <sheetName val="Equity Equalization - PPA"/>
      <sheetName val="End Effects"/>
      <sheetName val="Nameplate Capacity"/>
      <sheetName val="WACC"/>
      <sheetName val="AURORAENERGY1"/>
      <sheetName val="AURORACOST1"/>
      <sheetName val="AURORAREVENUE1"/>
      <sheetName val="AURORAENERGY11"/>
      <sheetName val="AURORACOST11"/>
      <sheetName val="AURORAREVENUE11"/>
    </sheetNames>
    <sheetDataSet>
      <sheetData sheetId="0" refreshError="1"/>
      <sheetData sheetId="1" refreshError="1"/>
      <sheetData sheetId="2" refreshError="1"/>
      <sheetData sheetId="3" refreshError="1"/>
      <sheetData sheetId="4">
        <row r="1">
          <cell r="A1" t="str">
            <v>Current Trends - All Generic</v>
          </cell>
        </row>
        <row r="2">
          <cell r="A2" t="str">
            <v>PSM 20-1 2009 IRP Update A Cnstrd No DSR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pacity Calculation"/>
      <sheetName val="To Tableau"/>
      <sheetName val="Evaluation Summary"/>
      <sheetName val="Comments"/>
      <sheetName val="LPProblem"/>
      <sheetName val="Peak Capacity Need"/>
      <sheetName val="Assumptions"/>
      <sheetName val="AuroraEnergyAll"/>
      <sheetName val="AuroraCostAll"/>
      <sheetName val="AuroraRevenueAll"/>
      <sheetName val="AuroraCO2EmissionsAll"/>
      <sheetName val="Peak Inputs"/>
      <sheetName val="CO2_Emissions"/>
      <sheetName val="Load_Market_DSM"/>
      <sheetName val="REC Credit"/>
      <sheetName val="Thermal Acq Inputs"/>
      <sheetName val="Wind Acq Inputs"/>
      <sheetName val="Wind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Chart1"/>
      <sheetName val="Biomass"/>
      <sheetName val="Batteries"/>
      <sheetName val="Solar"/>
      <sheetName val="Wind"/>
      <sheetName val="MT Wind"/>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WACC"/>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K8">
            <v>228</v>
          </cell>
        </row>
        <row r="24">
          <cell r="O24">
            <v>7.7700000000000005E-2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www.oatioasis.com/webSmartOASIS/HomePage?ProviderName=PSEI&amp;Homepage=1" TargetMode="Externa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2.x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customProperty" Target="../customProperty7.bin"/><Relationship Id="rId1" Type="http://schemas.openxmlformats.org/officeDocument/2006/relationships/printerSettings" Target="../printerSettings/printerSettings7.bin"/><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control" Target="../activeX/activeX3.xml"/></Relationships>
</file>

<file path=xl/worksheets/_rels/sheet8.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drawing" Target="../drawings/drawing3.xml"/><Relationship Id="rId7" Type="http://schemas.openxmlformats.org/officeDocument/2006/relationships/control" Target="../activeX/activeX6.xml"/><Relationship Id="rId12" Type="http://schemas.openxmlformats.org/officeDocument/2006/relationships/image" Target="../media/image4.emf"/><Relationship Id="rId2" Type="http://schemas.openxmlformats.org/officeDocument/2006/relationships/customProperty" Target="../customProperty8.bin"/><Relationship Id="rId1" Type="http://schemas.openxmlformats.org/officeDocument/2006/relationships/printerSettings" Target="../printerSettings/printerSettings8.bin"/><Relationship Id="rId6" Type="http://schemas.openxmlformats.org/officeDocument/2006/relationships/image" Target="../media/image5.emf"/><Relationship Id="rId11" Type="http://schemas.openxmlformats.org/officeDocument/2006/relationships/control" Target="../activeX/activeX8.xml"/><Relationship Id="rId5" Type="http://schemas.openxmlformats.org/officeDocument/2006/relationships/control" Target="../activeX/activeX5.xml"/><Relationship Id="rId10" Type="http://schemas.openxmlformats.org/officeDocument/2006/relationships/image" Target="../media/image7.emf"/><Relationship Id="rId4" Type="http://schemas.openxmlformats.org/officeDocument/2006/relationships/vmlDrawing" Target="../drawings/vmlDrawing2.vml"/><Relationship Id="rId9" Type="http://schemas.openxmlformats.org/officeDocument/2006/relationships/control" Target="../activeX/activeX7.xml"/></Relationships>
</file>

<file path=xl/worksheets/_rels/sheet9.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drawing" Target="../drawings/drawing4.xml"/><Relationship Id="rId7" Type="http://schemas.openxmlformats.org/officeDocument/2006/relationships/control" Target="../activeX/activeX10.xml"/><Relationship Id="rId12" Type="http://schemas.openxmlformats.org/officeDocument/2006/relationships/image" Target="../media/image4.emf"/><Relationship Id="rId2" Type="http://schemas.openxmlformats.org/officeDocument/2006/relationships/customProperty" Target="../customProperty9.bin"/><Relationship Id="rId1" Type="http://schemas.openxmlformats.org/officeDocument/2006/relationships/printerSettings" Target="../printerSettings/printerSettings9.bin"/><Relationship Id="rId6" Type="http://schemas.openxmlformats.org/officeDocument/2006/relationships/image" Target="../media/image8.emf"/><Relationship Id="rId11" Type="http://schemas.openxmlformats.org/officeDocument/2006/relationships/control" Target="../activeX/activeX12.xml"/><Relationship Id="rId5" Type="http://schemas.openxmlformats.org/officeDocument/2006/relationships/control" Target="../activeX/activeX9.xml"/><Relationship Id="rId10" Type="http://schemas.openxmlformats.org/officeDocument/2006/relationships/image" Target="../media/image10.emf"/><Relationship Id="rId4" Type="http://schemas.openxmlformats.org/officeDocument/2006/relationships/vmlDrawing" Target="../drawings/vmlDrawing3.vml"/><Relationship Id="rId9" Type="http://schemas.openxmlformats.org/officeDocument/2006/relationships/control" Target="../activeX/activeX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abSelected="1" zoomScale="75" zoomScaleNormal="75" workbookViewId="0"/>
  </sheetViews>
  <sheetFormatPr defaultColWidth="9.140625" defaultRowHeight="15" x14ac:dyDescent="0.2"/>
  <cols>
    <col min="1" max="1" width="2.7109375" style="82" customWidth="1"/>
    <col min="2" max="2" width="5" style="82" customWidth="1"/>
    <col min="3" max="3" width="46.7109375" style="82" customWidth="1"/>
    <col min="4" max="4" width="2.7109375" style="82" customWidth="1"/>
    <col min="5" max="5" width="10.140625" style="82" bestFit="1" customWidth="1"/>
    <col min="6" max="22" width="12.28515625" style="82" customWidth="1"/>
    <col min="23" max="23" width="12.85546875" style="82" bestFit="1" customWidth="1"/>
    <col min="24" max="24" width="11" style="82" bestFit="1" customWidth="1"/>
    <col min="25" max="29" width="12.28515625" style="82" customWidth="1"/>
    <col min="30" max="16384" width="9.140625" style="82"/>
  </cols>
  <sheetData>
    <row r="2" spans="2:30" ht="19.5" customHeight="1" x14ac:dyDescent="0.25">
      <c r="C2" s="300" t="s">
        <v>0</v>
      </c>
      <c r="D2" s="300"/>
      <c r="E2" s="300"/>
      <c r="F2" s="300"/>
      <c r="G2" s="300"/>
      <c r="H2" s="300"/>
      <c r="I2" s="300"/>
      <c r="J2" s="300"/>
      <c r="K2" s="300"/>
      <c r="L2" s="300"/>
    </row>
    <row r="3" spans="2:30" ht="15.75" x14ac:dyDescent="0.25">
      <c r="C3" s="68" t="s">
        <v>89</v>
      </c>
    </row>
    <row r="4" spans="2:30" s="142" customFormat="1" ht="45" x14ac:dyDescent="0.2">
      <c r="B4" s="141"/>
      <c r="C4" s="178" t="s">
        <v>1</v>
      </c>
      <c r="D4" s="178"/>
      <c r="E4" s="178" t="s">
        <v>2</v>
      </c>
      <c r="F4" s="178" t="s">
        <v>3</v>
      </c>
      <c r="G4" s="178" t="s">
        <v>4</v>
      </c>
      <c r="H4" s="178" t="s">
        <v>5</v>
      </c>
      <c r="I4" s="178" t="s">
        <v>6</v>
      </c>
      <c r="J4" s="178" t="s">
        <v>7</v>
      </c>
      <c r="K4" s="178" t="s">
        <v>8</v>
      </c>
      <c r="L4" s="179" t="s">
        <v>15</v>
      </c>
      <c r="M4" s="179"/>
    </row>
    <row r="5" spans="2:30" x14ac:dyDescent="0.2">
      <c r="C5" s="181"/>
      <c r="D5" s="182"/>
      <c r="E5" s="183">
        <v>15</v>
      </c>
      <c r="F5" s="184">
        <v>1</v>
      </c>
      <c r="G5" s="185" t="s">
        <v>9</v>
      </c>
      <c r="H5" s="186">
        <f>'Electric EES CE Std Energy'!D23</f>
        <v>2.9272803769652217E-2</v>
      </c>
      <c r="I5" s="187">
        <f>'Electric EES CE Std Capacity'!E23</f>
        <v>1.0272736787701207E-2</v>
      </c>
      <c r="J5" s="187">
        <f>H5+I5</f>
        <v>3.9545540557353424E-2</v>
      </c>
      <c r="K5" s="188">
        <f>J5</f>
        <v>3.9545540557353424E-2</v>
      </c>
      <c r="L5" s="189">
        <f>K5*1000</f>
        <v>39.545540557353426</v>
      </c>
      <c r="M5" s="172"/>
    </row>
    <row r="6" spans="2:30" x14ac:dyDescent="0.2">
      <c r="C6" s="180"/>
      <c r="D6" s="180"/>
      <c r="E6" s="145"/>
      <c r="F6" s="145"/>
      <c r="G6" s="145"/>
      <c r="H6" s="48"/>
      <c r="I6" s="147"/>
      <c r="J6" s="48"/>
      <c r="K6" s="147"/>
      <c r="L6" s="147">
        <f>L5*(1-M6)</f>
        <v>38.359174340632819</v>
      </c>
      <c r="M6" s="148">
        <v>0.03</v>
      </c>
      <c r="N6" s="149" t="s">
        <v>47</v>
      </c>
    </row>
    <row r="7" spans="2:30" x14ac:dyDescent="0.2">
      <c r="C7" s="150"/>
      <c r="D7" s="146"/>
      <c r="H7" s="64"/>
      <c r="I7" s="144"/>
      <c r="J7" s="64"/>
      <c r="K7" s="144"/>
      <c r="L7" s="144"/>
      <c r="M7" s="145"/>
    </row>
    <row r="8" spans="2:30" x14ac:dyDescent="0.2">
      <c r="C8" s="145"/>
      <c r="D8" s="145"/>
      <c r="E8" s="145"/>
      <c r="F8" s="145"/>
      <c r="G8" s="145"/>
      <c r="H8" s="151"/>
      <c r="I8" s="151"/>
      <c r="J8" s="151"/>
      <c r="K8" s="151"/>
      <c r="L8" s="151"/>
      <c r="M8" s="151"/>
      <c r="N8" s="151"/>
      <c r="O8" s="151"/>
      <c r="P8" s="151"/>
      <c r="Q8" s="151"/>
      <c r="R8" s="151"/>
      <c r="S8" s="151"/>
      <c r="T8" s="151"/>
      <c r="U8" s="152"/>
      <c r="V8" s="152"/>
      <c r="W8" s="246" t="s">
        <v>119</v>
      </c>
      <c r="X8" s="152"/>
      <c r="Y8" s="152"/>
      <c r="Z8" s="152"/>
      <c r="AA8" s="152"/>
      <c r="AB8" s="151"/>
      <c r="AC8" s="145"/>
    </row>
    <row r="9" spans="2:30" x14ac:dyDescent="0.2">
      <c r="C9" s="153" t="s">
        <v>10</v>
      </c>
      <c r="D9" s="153"/>
      <c r="E9" s="153"/>
      <c r="F9" s="154">
        <f>+L6</f>
        <v>38.359174340632819</v>
      </c>
      <c r="G9" s="154">
        <f t="shared" ref="G9:T9" si="0">F9</f>
        <v>38.359174340632819</v>
      </c>
      <c r="H9" s="154">
        <f t="shared" si="0"/>
        <v>38.359174340632819</v>
      </c>
      <c r="I9" s="154">
        <f t="shared" si="0"/>
        <v>38.359174340632819</v>
      </c>
      <c r="J9" s="154">
        <f t="shared" si="0"/>
        <v>38.359174340632819</v>
      </c>
      <c r="K9" s="154">
        <f t="shared" si="0"/>
        <v>38.359174340632819</v>
      </c>
      <c r="L9" s="154">
        <f t="shared" si="0"/>
        <v>38.359174340632819</v>
      </c>
      <c r="M9" s="154">
        <f t="shared" si="0"/>
        <v>38.359174340632819</v>
      </c>
      <c r="N9" s="154">
        <f t="shared" si="0"/>
        <v>38.359174340632819</v>
      </c>
      <c r="O9" s="154">
        <f t="shared" si="0"/>
        <v>38.359174340632819</v>
      </c>
      <c r="P9" s="154">
        <f t="shared" si="0"/>
        <v>38.359174340632819</v>
      </c>
      <c r="Q9" s="154">
        <f t="shared" si="0"/>
        <v>38.359174340632819</v>
      </c>
      <c r="R9" s="154">
        <f t="shared" si="0"/>
        <v>38.359174340632819</v>
      </c>
      <c r="S9" s="154">
        <f t="shared" si="0"/>
        <v>38.359174340632819</v>
      </c>
      <c r="T9" s="154">
        <f t="shared" si="0"/>
        <v>38.359174340632819</v>
      </c>
      <c r="U9" s="64"/>
      <c r="V9" s="64"/>
      <c r="W9" s="245">
        <f>NPV(Rate_of_Return,F9:T9)</f>
        <v>336.50831777315767</v>
      </c>
      <c r="X9" s="245">
        <f>-PMT(Rate_of_Return,15,W9)</f>
        <v>38.359174340632791</v>
      </c>
      <c r="Y9" s="64"/>
      <c r="Z9" s="64"/>
      <c r="AA9" s="64"/>
    </row>
    <row r="10" spans="2:30" x14ac:dyDescent="0.2">
      <c r="C10" s="145"/>
      <c r="D10" s="145"/>
      <c r="E10" s="145"/>
      <c r="F10" s="155"/>
      <c r="G10" s="155"/>
      <c r="H10" s="155"/>
      <c r="I10" s="155"/>
      <c r="J10" s="155"/>
      <c r="K10" s="155"/>
      <c r="L10" s="155"/>
      <c r="M10" s="155"/>
      <c r="N10" s="155"/>
      <c r="O10" s="155"/>
      <c r="P10" s="155"/>
      <c r="Q10" s="155"/>
      <c r="R10" s="155"/>
      <c r="S10" s="155"/>
      <c r="T10" s="155"/>
      <c r="U10" s="64"/>
      <c r="V10" s="64"/>
      <c r="W10" s="48"/>
      <c r="X10" s="48"/>
      <c r="Y10" s="64"/>
      <c r="Z10" s="64"/>
      <c r="AA10" s="64"/>
    </row>
    <row r="11" spans="2:30" x14ac:dyDescent="0.2">
      <c r="F11" s="48"/>
      <c r="G11" s="48"/>
      <c r="H11" s="48"/>
      <c r="I11" s="48"/>
      <c r="J11" s="48"/>
      <c r="K11" s="48"/>
      <c r="L11" s="48"/>
      <c r="M11" s="48"/>
      <c r="N11" s="48"/>
      <c r="O11" s="48"/>
      <c r="P11" s="48"/>
      <c r="Q11" s="48"/>
      <c r="R11" s="48"/>
      <c r="S11" s="48"/>
      <c r="T11" s="48"/>
      <c r="U11" s="64"/>
      <c r="V11" s="64"/>
      <c r="W11" s="64"/>
      <c r="X11" s="64"/>
      <c r="Y11" s="64"/>
      <c r="Z11" s="64"/>
      <c r="AA11" s="64"/>
    </row>
    <row r="12" spans="2:30" x14ac:dyDescent="0.2">
      <c r="C12" s="145"/>
      <c r="D12" s="143"/>
      <c r="E12" s="145"/>
      <c r="F12" s="156">
        <v>2019</v>
      </c>
      <c r="G12" s="156">
        <v>2020</v>
      </c>
      <c r="H12" s="156">
        <v>2021</v>
      </c>
      <c r="I12" s="156">
        <v>2022</v>
      </c>
      <c r="J12" s="156">
        <v>2023</v>
      </c>
      <c r="K12" s="156">
        <v>2024</v>
      </c>
      <c r="L12" s="156">
        <v>2025</v>
      </c>
      <c r="M12" s="156">
        <v>2026</v>
      </c>
      <c r="N12" s="156">
        <v>2027</v>
      </c>
      <c r="O12" s="156">
        <v>2028</v>
      </c>
      <c r="P12" s="156">
        <v>2029</v>
      </c>
      <c r="Q12" s="156">
        <v>2030</v>
      </c>
      <c r="R12" s="156">
        <v>2031</v>
      </c>
      <c r="S12" s="156">
        <v>2032</v>
      </c>
      <c r="T12" s="156">
        <v>2033</v>
      </c>
      <c r="U12" s="156">
        <v>2034</v>
      </c>
      <c r="V12" s="298"/>
      <c r="W12" s="246" t="s">
        <v>119</v>
      </c>
      <c r="X12" s="48"/>
      <c r="Y12" s="152"/>
      <c r="Z12" s="152"/>
      <c r="AA12" s="152"/>
    </row>
    <row r="13" spans="2:30" ht="52.9" customHeight="1" x14ac:dyDescent="0.2">
      <c r="B13" s="145"/>
      <c r="C13" s="296" t="s">
        <v>125</v>
      </c>
      <c r="D13" s="145"/>
      <c r="F13" s="194">
        <f t="shared" ref="F13:T13" si="1">F$9*F$20</f>
        <v>33.175718700119837</v>
      </c>
      <c r="G13" s="195">
        <f t="shared" si="1"/>
        <v>34.005111667622835</v>
      </c>
      <c r="H13" s="196">
        <f t="shared" si="1"/>
        <v>34.855239459313403</v>
      </c>
      <c r="I13" s="196">
        <f t="shared" si="1"/>
        <v>35.726620445796229</v>
      </c>
      <c r="J13" s="196">
        <f t="shared" si="1"/>
        <v>36.619785956941129</v>
      </c>
      <c r="K13" s="196">
        <f t="shared" si="1"/>
        <v>37.535280605864656</v>
      </c>
      <c r="L13" s="196">
        <f t="shared" si="1"/>
        <v>38.473662621011265</v>
      </c>
      <c r="M13" s="196">
        <f t="shared" si="1"/>
        <v>39.435504186536548</v>
      </c>
      <c r="N13" s="196">
        <f t="shared" si="1"/>
        <v>40.421391791199959</v>
      </c>
      <c r="O13" s="196">
        <f t="shared" si="1"/>
        <v>41.431926585979951</v>
      </c>
      <c r="P13" s="196">
        <f t="shared" si="1"/>
        <v>42.467724750629451</v>
      </c>
      <c r="Q13" s="196">
        <f t="shared" si="1"/>
        <v>43.529417869395175</v>
      </c>
      <c r="R13" s="196">
        <f t="shared" si="1"/>
        <v>44.61765331613006</v>
      </c>
      <c r="S13" s="196">
        <f t="shared" si="1"/>
        <v>45.733094649033298</v>
      </c>
      <c r="T13" s="196">
        <f t="shared" si="1"/>
        <v>46.876422015259124</v>
      </c>
      <c r="U13" s="297">
        <f>T13*1.025</f>
        <v>48.0483325656406</v>
      </c>
      <c r="V13" s="159"/>
      <c r="W13" s="245">
        <f>NPV(Rate_of_Return,F13:T13)</f>
        <v>336.5083177731579</v>
      </c>
      <c r="X13" s="245">
        <f>-PMT(Rate_of_Return,15,W13)</f>
        <v>38.359174340632819</v>
      </c>
      <c r="Y13" s="159"/>
      <c r="Z13" s="159"/>
      <c r="AA13" s="159"/>
      <c r="AD13" s="160"/>
    </row>
    <row r="14" spans="2:30" x14ac:dyDescent="0.2">
      <c r="C14" s="157"/>
      <c r="E14" s="161"/>
      <c r="F14" s="159"/>
      <c r="G14" s="159"/>
      <c r="H14" s="159"/>
      <c r="I14" s="159"/>
      <c r="J14" s="159"/>
      <c r="K14" s="159"/>
      <c r="L14" s="159"/>
      <c r="M14" s="159"/>
      <c r="N14" s="159"/>
      <c r="O14" s="159"/>
      <c r="P14" s="159"/>
      <c r="Q14" s="159"/>
      <c r="R14" s="159"/>
      <c r="S14" s="159"/>
      <c r="T14" s="159"/>
      <c r="U14" s="159"/>
      <c r="V14" s="159"/>
      <c r="W14" s="152"/>
      <c r="X14" s="152"/>
      <c r="Y14" s="152"/>
      <c r="Z14" s="152"/>
      <c r="AA14" s="152"/>
      <c r="AB14" s="151"/>
      <c r="AC14" s="145"/>
    </row>
    <row r="15" spans="2:30" x14ac:dyDescent="0.2">
      <c r="C15" s="162"/>
      <c r="E15" s="161"/>
      <c r="F15" s="159"/>
      <c r="G15" s="159"/>
      <c r="H15" s="159"/>
      <c r="I15" s="159"/>
      <c r="J15" s="159"/>
      <c r="K15" s="159"/>
      <c r="L15" s="159"/>
      <c r="M15" s="159"/>
      <c r="N15" s="159"/>
      <c r="O15" s="159"/>
      <c r="P15" s="159"/>
      <c r="Q15" s="159"/>
      <c r="R15" s="159"/>
      <c r="S15" s="159"/>
      <c r="T15" s="159"/>
      <c r="U15" s="159"/>
      <c r="V15" s="159"/>
      <c r="W15" s="152"/>
      <c r="X15" s="152"/>
      <c r="Y15" s="152"/>
      <c r="Z15" s="152"/>
      <c r="AA15" s="152"/>
      <c r="AB15" s="152"/>
    </row>
    <row r="16" spans="2:30" x14ac:dyDescent="0.2">
      <c r="C16" s="82" t="s">
        <v>11</v>
      </c>
      <c r="Q16" s="152"/>
      <c r="R16" s="152"/>
    </row>
    <row r="17" spans="2:27" x14ac:dyDescent="0.2">
      <c r="Q17" s="152"/>
      <c r="R17" s="152"/>
    </row>
    <row r="18" spans="2:27" x14ac:dyDescent="0.2">
      <c r="C18" s="145"/>
      <c r="D18" s="145"/>
      <c r="E18" s="145"/>
      <c r="F18" s="145"/>
      <c r="G18" s="145"/>
      <c r="H18" s="145"/>
      <c r="I18" s="145"/>
      <c r="J18" s="145"/>
      <c r="K18" s="145"/>
      <c r="L18" s="145"/>
      <c r="M18" s="145"/>
      <c r="N18" s="145"/>
      <c r="O18" s="145"/>
      <c r="P18" s="145"/>
      <c r="Q18" s="151"/>
      <c r="R18" s="151"/>
      <c r="S18" s="145"/>
      <c r="T18" s="145"/>
      <c r="W18" s="246" t="s">
        <v>119</v>
      </c>
      <c r="X18" s="145"/>
    </row>
    <row r="19" spans="2:27" x14ac:dyDescent="0.2">
      <c r="C19" s="153" t="s">
        <v>12</v>
      </c>
      <c r="D19" s="153"/>
      <c r="E19" s="153"/>
      <c r="F19" s="173">
        <v>100</v>
      </c>
      <c r="G19" s="173">
        <f t="shared" ref="G19:T19" si="2">F19*1.025</f>
        <v>102.49999999999999</v>
      </c>
      <c r="H19" s="173">
        <f t="shared" si="2"/>
        <v>105.06249999999997</v>
      </c>
      <c r="I19" s="173">
        <f t="shared" si="2"/>
        <v>107.68906249999996</v>
      </c>
      <c r="J19" s="173">
        <f t="shared" si="2"/>
        <v>110.38128906249996</v>
      </c>
      <c r="K19" s="173">
        <f t="shared" si="2"/>
        <v>113.14082128906244</v>
      </c>
      <c r="L19" s="173">
        <f t="shared" si="2"/>
        <v>115.96934182128899</v>
      </c>
      <c r="M19" s="173">
        <f t="shared" si="2"/>
        <v>118.8685753668212</v>
      </c>
      <c r="N19" s="173">
        <f t="shared" si="2"/>
        <v>121.84028975099173</v>
      </c>
      <c r="O19" s="173">
        <f t="shared" si="2"/>
        <v>124.88629699476651</v>
      </c>
      <c r="P19" s="173">
        <f t="shared" si="2"/>
        <v>128.00845441963565</v>
      </c>
      <c r="Q19" s="173">
        <f t="shared" si="2"/>
        <v>131.20866578012652</v>
      </c>
      <c r="R19" s="173">
        <f t="shared" si="2"/>
        <v>134.48888242462968</v>
      </c>
      <c r="S19" s="173">
        <f t="shared" si="2"/>
        <v>137.8511044852454</v>
      </c>
      <c r="T19" s="173">
        <f t="shared" si="2"/>
        <v>141.29738209737653</v>
      </c>
      <c r="U19" s="163"/>
      <c r="V19" s="163"/>
      <c r="W19" s="198">
        <f>NPV(Rate_of_Return,F19:T19)</f>
        <v>1014.3211088052249</v>
      </c>
      <c r="X19" s="198">
        <f>-PMT(Rate_of_Return,15,W19)</f>
        <v>115.62424521188822</v>
      </c>
      <c r="Y19" s="152"/>
      <c r="Z19" s="152"/>
      <c r="AA19" s="152"/>
    </row>
    <row r="20" spans="2:27" x14ac:dyDescent="0.2">
      <c r="C20" s="176" t="s">
        <v>13</v>
      </c>
      <c r="D20" s="176"/>
      <c r="E20" s="176"/>
      <c r="F20" s="177">
        <f>F19/$X$19</f>
        <v>0.86487051065063492</v>
      </c>
      <c r="G20" s="177">
        <f t="shared" ref="G20:T20" si="3">G19/$X$19</f>
        <v>0.88649227341690073</v>
      </c>
      <c r="H20" s="177">
        <f t="shared" si="3"/>
        <v>0.90865458025232315</v>
      </c>
      <c r="I20" s="177">
        <f t="shared" si="3"/>
        <v>0.93137094475863114</v>
      </c>
      <c r="J20" s="177">
        <f t="shared" si="3"/>
        <v>0.95465521837759681</v>
      </c>
      <c r="K20" s="177">
        <f t="shared" si="3"/>
        <v>0.97852159883703671</v>
      </c>
      <c r="L20" s="177">
        <f t="shared" si="3"/>
        <v>1.0029846388079624</v>
      </c>
      <c r="M20" s="177">
        <f t="shared" si="3"/>
        <v>1.0280592547781615</v>
      </c>
      <c r="N20" s="177">
        <f t="shared" si="3"/>
        <v>1.0537607361476153</v>
      </c>
      <c r="O20" s="177">
        <f t="shared" si="3"/>
        <v>1.0801047545513056</v>
      </c>
      <c r="P20" s="177">
        <f t="shared" si="3"/>
        <v>1.1071073734150882</v>
      </c>
      <c r="Q20" s="177">
        <f t="shared" si="3"/>
        <v>1.1347850577504652</v>
      </c>
      <c r="R20" s="177">
        <f t="shared" si="3"/>
        <v>1.1631546841942269</v>
      </c>
      <c r="S20" s="177">
        <f t="shared" si="3"/>
        <v>1.1922335512990823</v>
      </c>
      <c r="T20" s="177">
        <f t="shared" si="3"/>
        <v>1.2220393900815592</v>
      </c>
      <c r="U20" s="164"/>
      <c r="V20" s="164"/>
      <c r="W20" s="197">
        <f>NPV(Rate_of_Return,F20:T20)</f>
        <v>8.7725641533609284</v>
      </c>
      <c r="X20" s="197">
        <f>-PMT(Rate_of_Return,15,W20)</f>
        <v>0.99999999999999967</v>
      </c>
      <c r="Y20" s="152"/>
      <c r="Z20" s="152"/>
      <c r="AA20" s="152"/>
    </row>
    <row r="21" spans="2:27" x14ac:dyDescent="0.2">
      <c r="C21" s="145"/>
      <c r="D21" s="145"/>
      <c r="E21" s="174"/>
      <c r="F21" s="174"/>
      <c r="G21" s="174"/>
      <c r="H21" s="174"/>
      <c r="I21" s="174"/>
      <c r="J21" s="174"/>
      <c r="K21" s="174"/>
      <c r="L21" s="174"/>
      <c r="M21" s="175"/>
      <c r="N21" s="175"/>
      <c r="O21" s="175"/>
      <c r="P21" s="175"/>
      <c r="Q21" s="175"/>
      <c r="R21" s="175"/>
      <c r="S21" s="175"/>
      <c r="T21" s="175"/>
      <c r="W21" s="145"/>
      <c r="X21" s="145"/>
    </row>
    <row r="22" spans="2:27" x14ac:dyDescent="0.2">
      <c r="B22" s="165" t="s">
        <v>14</v>
      </c>
      <c r="C22" s="166"/>
      <c r="D22" s="167"/>
      <c r="E22" s="167"/>
      <c r="F22" s="167"/>
      <c r="G22" s="167"/>
      <c r="H22" s="167"/>
      <c r="I22" s="167"/>
      <c r="J22" s="167"/>
      <c r="K22" s="167"/>
      <c r="L22" s="167"/>
      <c r="M22" s="167"/>
      <c r="N22" s="167"/>
      <c r="O22" s="167"/>
      <c r="Y22" s="162"/>
    </row>
    <row r="23" spans="2:27" x14ac:dyDescent="0.2">
      <c r="B23" s="168">
        <v>1</v>
      </c>
      <c r="C23" s="167" t="s">
        <v>65</v>
      </c>
      <c r="D23" s="167"/>
      <c r="E23" s="167"/>
      <c r="F23" s="167"/>
      <c r="G23" s="167"/>
      <c r="H23" s="167"/>
      <c r="I23" s="167"/>
      <c r="J23" s="167"/>
      <c r="K23" s="167"/>
      <c r="L23" s="167"/>
      <c r="M23" s="167"/>
      <c r="N23" s="167"/>
      <c r="O23" s="167"/>
      <c r="Y23" s="157"/>
    </row>
    <row r="24" spans="2:27" x14ac:dyDescent="0.2">
      <c r="B24" s="168">
        <v>2</v>
      </c>
      <c r="C24" s="167" t="s">
        <v>128</v>
      </c>
      <c r="D24" s="167"/>
      <c r="E24" s="167"/>
      <c r="F24" s="167"/>
      <c r="G24" s="167"/>
      <c r="H24" s="167"/>
      <c r="I24" s="167"/>
      <c r="J24" s="167"/>
      <c r="K24" s="167"/>
      <c r="L24" s="167"/>
      <c r="M24" s="167"/>
      <c r="N24" s="167"/>
      <c r="O24" s="167"/>
      <c r="Y24" s="159"/>
    </row>
    <row r="25" spans="2:27" x14ac:dyDescent="0.2">
      <c r="B25" s="168">
        <v>3</v>
      </c>
      <c r="C25" s="167" t="s">
        <v>62</v>
      </c>
      <c r="D25" s="167"/>
      <c r="E25" s="167"/>
      <c r="F25" s="167"/>
      <c r="G25" s="167"/>
      <c r="H25" s="167"/>
      <c r="I25" s="167"/>
      <c r="J25" s="167"/>
      <c r="K25" s="167"/>
      <c r="L25" s="167"/>
      <c r="M25" s="167"/>
      <c r="N25" s="167"/>
      <c r="O25" s="167"/>
      <c r="Y25" s="169"/>
    </row>
    <row r="26" spans="2:27" x14ac:dyDescent="0.2">
      <c r="B26" s="168">
        <v>4</v>
      </c>
      <c r="C26" s="167" t="s">
        <v>79</v>
      </c>
      <c r="D26" s="167"/>
      <c r="E26" s="167"/>
      <c r="F26" s="167"/>
      <c r="G26" s="167"/>
      <c r="H26" s="167"/>
      <c r="I26" s="167"/>
      <c r="J26" s="167"/>
      <c r="K26" s="167"/>
      <c r="L26" s="167"/>
      <c r="M26" s="167"/>
      <c r="N26" s="167"/>
      <c r="O26" s="167"/>
      <c r="Y26" s="169"/>
    </row>
    <row r="27" spans="2:27" x14ac:dyDescent="0.2">
      <c r="B27" s="168">
        <v>5</v>
      </c>
      <c r="C27" s="167" t="s">
        <v>63</v>
      </c>
      <c r="D27" s="167"/>
      <c r="E27" s="167"/>
      <c r="F27" s="167"/>
      <c r="G27" s="167"/>
      <c r="H27" s="167"/>
      <c r="I27" s="167"/>
      <c r="J27" s="167"/>
      <c r="K27" s="167"/>
      <c r="L27" s="167"/>
      <c r="M27" s="167"/>
      <c r="N27" s="167"/>
      <c r="O27" s="167"/>
      <c r="Y27" s="157"/>
    </row>
    <row r="28" spans="2:27" x14ac:dyDescent="0.2">
      <c r="B28" s="168">
        <v>6</v>
      </c>
      <c r="C28" s="167" t="s">
        <v>76</v>
      </c>
      <c r="D28" s="167"/>
      <c r="E28" s="167"/>
      <c r="F28" s="167"/>
      <c r="G28" s="167"/>
      <c r="H28" s="167"/>
      <c r="I28" s="167"/>
      <c r="J28" s="167"/>
      <c r="K28" s="167"/>
      <c r="L28" s="167"/>
      <c r="M28" s="167"/>
      <c r="N28" s="167"/>
      <c r="O28" s="167"/>
      <c r="Y28" s="159"/>
    </row>
    <row r="29" spans="2:27" x14ac:dyDescent="0.2">
      <c r="B29" s="168">
        <v>7</v>
      </c>
      <c r="C29" s="167" t="s">
        <v>77</v>
      </c>
      <c r="D29" s="167"/>
      <c r="E29" s="167"/>
      <c r="F29" s="167"/>
      <c r="G29" s="167"/>
      <c r="H29" s="167"/>
      <c r="I29" s="167"/>
      <c r="J29" s="167"/>
      <c r="K29" s="167"/>
      <c r="L29" s="167"/>
      <c r="M29" s="167"/>
      <c r="N29" s="167"/>
      <c r="O29" s="167"/>
      <c r="P29" s="167"/>
      <c r="Q29" s="167"/>
    </row>
    <row r="30" spans="2:27" x14ac:dyDescent="0.2">
      <c r="B30" s="168">
        <v>8</v>
      </c>
      <c r="C30" s="167" t="s">
        <v>78</v>
      </c>
      <c r="D30" s="167"/>
      <c r="E30" s="167"/>
      <c r="F30" s="167"/>
      <c r="G30" s="167"/>
      <c r="H30" s="167"/>
      <c r="I30" s="167"/>
      <c r="J30" s="167"/>
      <c r="K30" s="167"/>
      <c r="L30" s="167"/>
      <c r="M30" s="167"/>
      <c r="N30" s="167"/>
      <c r="O30" s="167"/>
      <c r="P30" s="167"/>
      <c r="Q30" s="167"/>
    </row>
    <row r="31" spans="2:27" x14ac:dyDescent="0.2">
      <c r="B31" s="168">
        <v>9</v>
      </c>
      <c r="C31" s="167" t="s">
        <v>80</v>
      </c>
      <c r="D31" s="167"/>
      <c r="E31" s="167"/>
      <c r="F31" s="167"/>
      <c r="G31" s="167"/>
      <c r="H31" s="167"/>
      <c r="I31" s="167"/>
      <c r="J31" s="167"/>
      <c r="K31" s="167"/>
      <c r="L31" s="167"/>
      <c r="M31" s="167"/>
      <c r="N31" s="167"/>
      <c r="O31" s="167"/>
      <c r="P31" s="167"/>
      <c r="Q31" s="167"/>
    </row>
    <row r="32" spans="2:27" x14ac:dyDescent="0.2">
      <c r="B32" s="168">
        <v>10</v>
      </c>
      <c r="C32" s="82" t="s">
        <v>64</v>
      </c>
    </row>
    <row r="33" spans="2:20" x14ac:dyDescent="0.2">
      <c r="B33" s="168">
        <v>11</v>
      </c>
      <c r="C33" s="82" t="s">
        <v>126</v>
      </c>
    </row>
    <row r="34" spans="2:20" ht="15.75" x14ac:dyDescent="0.25">
      <c r="B34" s="170"/>
      <c r="C34" s="5"/>
      <c r="D34" s="5"/>
      <c r="E34" s="5"/>
      <c r="F34" s="5"/>
    </row>
    <row r="35" spans="2:20" ht="15.75" x14ac:dyDescent="0.25">
      <c r="B35" s="170"/>
      <c r="C35" s="5"/>
      <c r="D35" s="5"/>
      <c r="E35" s="5"/>
      <c r="F35" s="5"/>
    </row>
    <row r="37" spans="2:20" x14ac:dyDescent="0.2">
      <c r="F37" s="152"/>
      <c r="G37" s="171"/>
      <c r="H37" s="171"/>
      <c r="I37" s="171"/>
      <c r="J37" s="171"/>
      <c r="K37" s="171"/>
      <c r="L37" s="171"/>
      <c r="M37" s="171"/>
      <c r="N37" s="171"/>
      <c r="O37" s="171"/>
      <c r="P37" s="171"/>
      <c r="Q37" s="171"/>
      <c r="R37" s="171"/>
      <c r="S37" s="171"/>
      <c r="T37" s="171"/>
    </row>
    <row r="38" spans="2:20" x14ac:dyDescent="0.2">
      <c r="G38" s="171"/>
      <c r="H38" s="171"/>
      <c r="I38" s="171"/>
      <c r="J38" s="171"/>
      <c r="K38" s="171"/>
      <c r="L38" s="171"/>
      <c r="M38" s="171"/>
      <c r="N38" s="171"/>
      <c r="O38" s="171"/>
      <c r="P38" s="171"/>
      <c r="Q38" s="171"/>
      <c r="R38" s="171"/>
      <c r="S38" s="171"/>
      <c r="T38" s="171"/>
    </row>
    <row r="39" spans="2:20" x14ac:dyDescent="0.2">
      <c r="F39" s="152"/>
      <c r="G39" s="152"/>
      <c r="H39" s="152"/>
      <c r="I39" s="152"/>
      <c r="J39" s="152"/>
      <c r="K39" s="152"/>
      <c r="L39" s="152"/>
      <c r="M39" s="152"/>
      <c r="N39" s="152"/>
      <c r="O39" s="152"/>
      <c r="P39" s="152"/>
      <c r="Q39" s="152"/>
      <c r="R39" s="152"/>
      <c r="S39" s="152"/>
      <c r="T39" s="152"/>
    </row>
    <row r="40" spans="2:20" x14ac:dyDescent="0.2">
      <c r="D40" s="163"/>
    </row>
  </sheetData>
  <mergeCells count="1">
    <mergeCell ref="C2:L2"/>
  </mergeCells>
  <phoneticPr fontId="7" type="noConversion"/>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1"/>
  <headerFooter alignWithMargins="0">
    <oddFooter>&amp;L&amp;F&amp;C&amp;A&amp;RPSE Advice No. 2018-48 &amp;D
Page &amp;P of &amp;N</oddFoot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
  <sheetViews>
    <sheetView workbookViewId="0">
      <selection activeCell="F13" sqref="F13"/>
    </sheetView>
  </sheetViews>
  <sheetFormatPr defaultColWidth="9.140625" defaultRowHeight="15" x14ac:dyDescent="0.25"/>
  <cols>
    <col min="1" max="16384" width="9.140625" style="107"/>
  </cols>
  <sheetData/>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P29"/>
  <sheetViews>
    <sheetView zoomScale="80" zoomScaleNormal="80" workbookViewId="0">
      <selection activeCell="F13" sqref="F13"/>
    </sheetView>
  </sheetViews>
  <sheetFormatPr defaultColWidth="8.85546875" defaultRowHeight="15" x14ac:dyDescent="0.2"/>
  <cols>
    <col min="1" max="1" width="2.7109375" style="88" customWidth="1"/>
    <col min="2" max="2" width="9.7109375" style="88" customWidth="1"/>
    <col min="3" max="15" width="10" style="88" customWidth="1"/>
    <col min="16" max="16" width="14.140625" style="96" customWidth="1"/>
    <col min="17" max="16384" width="8.85546875" style="88"/>
  </cols>
  <sheetData>
    <row r="2" spans="2:16" x14ac:dyDescent="0.2">
      <c r="B2" s="87" t="s">
        <v>93</v>
      </c>
      <c r="P2" s="104"/>
    </row>
    <row r="3" spans="2:16" ht="15.75" thickBot="1" x14ac:dyDescent="0.25">
      <c r="B3" s="87"/>
      <c r="P3" s="104"/>
    </row>
    <row r="4" spans="2:16" ht="15.75" x14ac:dyDescent="0.2">
      <c r="B4" s="89"/>
      <c r="C4" s="99" t="s">
        <v>92</v>
      </c>
      <c r="D4" s="99">
        <v>2</v>
      </c>
      <c r="E4" s="99">
        <v>3</v>
      </c>
      <c r="F4" s="99">
        <v>4</v>
      </c>
      <c r="G4" s="99">
        <v>5</v>
      </c>
      <c r="H4" s="99">
        <v>6</v>
      </c>
      <c r="I4" s="99">
        <v>7</v>
      </c>
      <c r="J4" s="99">
        <v>8</v>
      </c>
      <c r="K4" s="99">
        <v>9</v>
      </c>
      <c r="L4" s="99">
        <v>10</v>
      </c>
      <c r="M4" s="99">
        <v>11</v>
      </c>
      <c r="N4" s="99">
        <v>12</v>
      </c>
      <c r="O4" s="100" t="s">
        <v>48</v>
      </c>
      <c r="P4" s="104"/>
    </row>
    <row r="5" spans="2:16" ht="16.5" thickBot="1" x14ac:dyDescent="0.25">
      <c r="B5" s="101" t="s">
        <v>49</v>
      </c>
      <c r="C5" s="102"/>
      <c r="D5" s="102"/>
      <c r="E5" s="102"/>
      <c r="F5" s="102"/>
      <c r="G5" s="102"/>
      <c r="H5" s="102"/>
      <c r="I5" s="102"/>
      <c r="J5" s="102"/>
      <c r="K5" s="102"/>
      <c r="L5" s="102"/>
      <c r="M5" s="102"/>
      <c r="N5" s="102"/>
      <c r="O5" s="103"/>
      <c r="P5" s="104"/>
    </row>
    <row r="6" spans="2:16" ht="15.75" thickBot="1" x14ac:dyDescent="0.25">
      <c r="B6" s="90">
        <v>2019</v>
      </c>
      <c r="C6" s="91">
        <v>24.4840412</v>
      </c>
      <c r="D6" s="91">
        <v>24.623416899999999</v>
      </c>
      <c r="E6" s="91">
        <v>21.020440000000001</v>
      </c>
      <c r="F6" s="91">
        <v>18.2538071</v>
      </c>
      <c r="G6" s="91">
        <v>14.081795700000001</v>
      </c>
      <c r="H6" s="91">
        <v>15.991354899999999</v>
      </c>
      <c r="I6" s="91">
        <v>20.624631900000001</v>
      </c>
      <c r="J6" s="91">
        <v>23.252903</v>
      </c>
      <c r="K6" s="91">
        <v>24.5030365</v>
      </c>
      <c r="L6" s="91">
        <v>23.7673016</v>
      </c>
      <c r="M6" s="91">
        <v>23.482463800000001</v>
      </c>
      <c r="N6" s="91">
        <v>24.547492999999999</v>
      </c>
      <c r="O6" s="91">
        <v>21.552723799999999</v>
      </c>
      <c r="P6" s="104"/>
    </row>
    <row r="7" spans="2:16" ht="15.75" thickBot="1" x14ac:dyDescent="0.25">
      <c r="B7" s="90">
        <v>2020</v>
      </c>
      <c r="C7" s="91">
        <v>23.55</v>
      </c>
      <c r="D7" s="91">
        <v>24.1</v>
      </c>
      <c r="E7" s="91">
        <v>21.53</v>
      </c>
      <c r="F7" s="91">
        <v>18.95</v>
      </c>
      <c r="G7" s="91">
        <v>14.95</v>
      </c>
      <c r="H7" s="91">
        <v>16.22</v>
      </c>
      <c r="I7" s="91">
        <v>21.27</v>
      </c>
      <c r="J7" s="91">
        <v>23.84</v>
      </c>
      <c r="K7" s="91">
        <v>24.73</v>
      </c>
      <c r="L7" s="91">
        <v>24.49</v>
      </c>
      <c r="M7" s="91">
        <v>23.75</v>
      </c>
      <c r="N7" s="91">
        <v>25.52</v>
      </c>
      <c r="O7" s="91">
        <v>21.91</v>
      </c>
      <c r="P7" s="106">
        <f>O7/O6-1</f>
        <v>1.6576846774234655E-2</v>
      </c>
    </row>
    <row r="8" spans="2:16" ht="15.75" thickBot="1" x14ac:dyDescent="0.25">
      <c r="B8" s="90">
        <v>2021</v>
      </c>
      <c r="C8" s="91">
        <v>24.08</v>
      </c>
      <c r="D8" s="91">
        <v>23.97</v>
      </c>
      <c r="E8" s="91">
        <v>20.59</v>
      </c>
      <c r="F8" s="91">
        <v>18.350000000000001</v>
      </c>
      <c r="G8" s="91">
        <v>13.97</v>
      </c>
      <c r="H8" s="91">
        <v>16.190000000000001</v>
      </c>
      <c r="I8" s="91">
        <v>21.56</v>
      </c>
      <c r="J8" s="91">
        <v>24.12</v>
      </c>
      <c r="K8" s="91">
        <v>25.33</v>
      </c>
      <c r="L8" s="91">
        <v>26.09</v>
      </c>
      <c r="M8" s="91">
        <v>24.5</v>
      </c>
      <c r="N8" s="91">
        <v>25.53</v>
      </c>
      <c r="O8" s="91">
        <v>22.02</v>
      </c>
      <c r="P8" s="106">
        <f t="shared" ref="P8:P25" si="0">O8/O7-1</f>
        <v>5.0205385668644631E-3</v>
      </c>
    </row>
    <row r="9" spans="2:16" ht="15.75" thickBot="1" x14ac:dyDescent="0.25">
      <c r="B9" s="90">
        <v>2022</v>
      </c>
      <c r="C9" s="91">
        <v>24.63</v>
      </c>
      <c r="D9" s="91">
        <v>24.34</v>
      </c>
      <c r="E9" s="91">
        <v>21</v>
      </c>
      <c r="F9" s="91">
        <v>18.52</v>
      </c>
      <c r="G9" s="91">
        <v>14.28</v>
      </c>
      <c r="H9" s="91">
        <v>16.399999999999999</v>
      </c>
      <c r="I9" s="91">
        <v>22.42</v>
      </c>
      <c r="J9" s="91">
        <v>24.79</v>
      </c>
      <c r="K9" s="91">
        <v>25.98</v>
      </c>
      <c r="L9" s="91">
        <v>26</v>
      </c>
      <c r="M9" s="91">
        <v>24.67</v>
      </c>
      <c r="N9" s="91">
        <v>26.12</v>
      </c>
      <c r="O9" s="91">
        <v>22.43</v>
      </c>
      <c r="P9" s="106">
        <f t="shared" si="0"/>
        <v>1.8619436875567663E-2</v>
      </c>
    </row>
    <row r="10" spans="2:16" ht="15.75" thickBot="1" x14ac:dyDescent="0.25">
      <c r="B10" s="90">
        <v>2023</v>
      </c>
      <c r="C10" s="91">
        <v>25.12</v>
      </c>
      <c r="D10" s="91">
        <v>24.83</v>
      </c>
      <c r="E10" s="91">
        <v>21.37</v>
      </c>
      <c r="F10" s="91">
        <v>20.16</v>
      </c>
      <c r="G10" s="91">
        <v>15.81</v>
      </c>
      <c r="H10" s="91">
        <v>17.29</v>
      </c>
      <c r="I10" s="91">
        <v>22.91</v>
      </c>
      <c r="J10" s="91">
        <v>24.98</v>
      </c>
      <c r="K10" s="91">
        <v>26.65</v>
      </c>
      <c r="L10" s="91">
        <v>26.48</v>
      </c>
      <c r="M10" s="91">
        <v>25.61</v>
      </c>
      <c r="N10" s="91">
        <v>26.9</v>
      </c>
      <c r="O10" s="91">
        <v>23.18</v>
      </c>
      <c r="P10" s="106">
        <f t="shared" si="0"/>
        <v>3.3437360677663897E-2</v>
      </c>
    </row>
    <row r="11" spans="2:16" ht="15.75" thickBot="1" x14ac:dyDescent="0.25">
      <c r="B11" s="90">
        <v>2024</v>
      </c>
      <c r="C11" s="91">
        <v>26.66</v>
      </c>
      <c r="D11" s="91">
        <v>27.23</v>
      </c>
      <c r="E11" s="91">
        <v>23.38</v>
      </c>
      <c r="F11" s="91">
        <v>22.19</v>
      </c>
      <c r="G11" s="91">
        <v>15.98</v>
      </c>
      <c r="H11" s="91">
        <v>19.29</v>
      </c>
      <c r="I11" s="91">
        <v>24.77</v>
      </c>
      <c r="J11" s="91">
        <v>28.07</v>
      </c>
      <c r="K11" s="91">
        <v>30.08</v>
      </c>
      <c r="L11" s="91">
        <v>28.98</v>
      </c>
      <c r="M11" s="91">
        <v>28.23</v>
      </c>
      <c r="N11" s="91">
        <v>29.17</v>
      </c>
      <c r="O11" s="91">
        <v>25.34</v>
      </c>
      <c r="P11" s="106">
        <f t="shared" si="0"/>
        <v>9.3183779119931032E-2</v>
      </c>
    </row>
    <row r="12" spans="2:16" ht="15.75" thickBot="1" x14ac:dyDescent="0.25">
      <c r="B12" s="90">
        <v>2025</v>
      </c>
      <c r="C12" s="91">
        <v>28.23</v>
      </c>
      <c r="D12" s="91">
        <v>29.31</v>
      </c>
      <c r="E12" s="91">
        <v>25.55</v>
      </c>
      <c r="F12" s="91">
        <v>23.75</v>
      </c>
      <c r="G12" s="91">
        <v>17.2</v>
      </c>
      <c r="H12" s="91">
        <v>21.17</v>
      </c>
      <c r="I12" s="91">
        <v>26.69</v>
      </c>
      <c r="J12" s="91">
        <v>30.7</v>
      </c>
      <c r="K12" s="91">
        <v>32.659999999999997</v>
      </c>
      <c r="L12" s="91">
        <v>31.36</v>
      </c>
      <c r="M12" s="91">
        <v>30.25</v>
      </c>
      <c r="N12" s="91">
        <v>31.15</v>
      </c>
      <c r="O12" s="91">
        <v>27.34</v>
      </c>
      <c r="P12" s="106">
        <f t="shared" si="0"/>
        <v>7.8926598263614922E-2</v>
      </c>
    </row>
    <row r="13" spans="2:16" ht="15.75" thickBot="1" x14ac:dyDescent="0.25">
      <c r="B13" s="90">
        <v>2026</v>
      </c>
      <c r="C13" s="91">
        <v>30.03</v>
      </c>
      <c r="D13" s="91">
        <v>31.63</v>
      </c>
      <c r="E13" s="91">
        <v>27.03</v>
      </c>
      <c r="F13" s="91">
        <v>26.31</v>
      </c>
      <c r="G13" s="91">
        <v>20.62</v>
      </c>
      <c r="H13" s="91">
        <v>23.02</v>
      </c>
      <c r="I13" s="91">
        <v>28.8</v>
      </c>
      <c r="J13" s="91">
        <v>32.99</v>
      </c>
      <c r="K13" s="91">
        <v>34.909999999999997</v>
      </c>
      <c r="L13" s="91">
        <v>34.33</v>
      </c>
      <c r="M13" s="91">
        <v>32.799999999999997</v>
      </c>
      <c r="N13" s="91">
        <v>32.82</v>
      </c>
      <c r="O13" s="91">
        <v>29.61</v>
      </c>
      <c r="P13" s="106">
        <f t="shared" si="0"/>
        <v>8.30285296269202E-2</v>
      </c>
    </row>
    <row r="14" spans="2:16" ht="15.75" thickBot="1" x14ac:dyDescent="0.25">
      <c r="B14" s="90">
        <v>2027</v>
      </c>
      <c r="C14" s="91">
        <v>33.590000000000003</v>
      </c>
      <c r="D14" s="91">
        <v>35.11</v>
      </c>
      <c r="E14" s="91">
        <v>29.86</v>
      </c>
      <c r="F14" s="91">
        <v>27.98</v>
      </c>
      <c r="G14" s="91">
        <v>21.17</v>
      </c>
      <c r="H14" s="91">
        <v>24.76</v>
      </c>
      <c r="I14" s="91">
        <v>32.270000000000003</v>
      </c>
      <c r="J14" s="91">
        <v>36.130000000000003</v>
      </c>
      <c r="K14" s="91">
        <v>38.770000000000003</v>
      </c>
      <c r="L14" s="91">
        <v>38.880000000000003</v>
      </c>
      <c r="M14" s="91">
        <v>36.950000000000003</v>
      </c>
      <c r="N14" s="91">
        <v>36.86</v>
      </c>
      <c r="O14" s="91">
        <v>32.69</v>
      </c>
      <c r="P14" s="106">
        <f t="shared" si="0"/>
        <v>0.10401891252955076</v>
      </c>
    </row>
    <row r="15" spans="2:16" ht="15.75" thickBot="1" x14ac:dyDescent="0.25">
      <c r="B15" s="90">
        <v>2028</v>
      </c>
      <c r="C15" s="91">
        <v>35.630000000000003</v>
      </c>
      <c r="D15" s="91">
        <v>37.11</v>
      </c>
      <c r="E15" s="91">
        <v>30.29</v>
      </c>
      <c r="F15" s="91">
        <v>29.09</v>
      </c>
      <c r="G15" s="91">
        <v>21.73</v>
      </c>
      <c r="H15" s="91">
        <v>26.29</v>
      </c>
      <c r="I15" s="91">
        <v>34.17</v>
      </c>
      <c r="J15" s="91">
        <v>37.56</v>
      </c>
      <c r="K15" s="91">
        <v>41.55</v>
      </c>
      <c r="L15" s="91">
        <v>40.619999999999997</v>
      </c>
      <c r="M15" s="91">
        <v>39.08</v>
      </c>
      <c r="N15" s="91">
        <v>39.58</v>
      </c>
      <c r="O15" s="91">
        <v>34.39</v>
      </c>
      <c r="P15" s="106">
        <f t="shared" si="0"/>
        <v>5.2003670847353911E-2</v>
      </c>
    </row>
    <row r="16" spans="2:16" ht="15.75" thickBot="1" x14ac:dyDescent="0.25">
      <c r="B16" s="90">
        <v>2029</v>
      </c>
      <c r="C16" s="91">
        <v>37.729999999999997</v>
      </c>
      <c r="D16" s="91">
        <v>39.71</v>
      </c>
      <c r="E16" s="91">
        <v>31.99</v>
      </c>
      <c r="F16" s="91">
        <v>31.43</v>
      </c>
      <c r="G16" s="91">
        <v>23.6</v>
      </c>
      <c r="H16" s="91">
        <v>27.6</v>
      </c>
      <c r="I16" s="91">
        <v>35.43</v>
      </c>
      <c r="J16" s="91">
        <v>40.479999999999997</v>
      </c>
      <c r="K16" s="91">
        <v>44.88</v>
      </c>
      <c r="L16" s="91">
        <v>42.14</v>
      </c>
      <c r="M16" s="91">
        <v>40.549999999999997</v>
      </c>
      <c r="N16" s="91">
        <v>42.05</v>
      </c>
      <c r="O16" s="91">
        <v>36.47</v>
      </c>
      <c r="P16" s="106">
        <f t="shared" si="0"/>
        <v>6.0482698458854234E-2</v>
      </c>
    </row>
    <row r="17" spans="2:16" ht="15.75" thickBot="1" x14ac:dyDescent="0.25">
      <c r="B17" s="90">
        <v>2030</v>
      </c>
      <c r="C17" s="91">
        <v>39.479999999999997</v>
      </c>
      <c r="D17" s="91">
        <v>41.51</v>
      </c>
      <c r="E17" s="91">
        <v>32.880000000000003</v>
      </c>
      <c r="F17" s="91">
        <v>30.75</v>
      </c>
      <c r="G17" s="91">
        <v>22.13</v>
      </c>
      <c r="H17" s="91">
        <v>27.92</v>
      </c>
      <c r="I17" s="91">
        <v>36.72</v>
      </c>
      <c r="J17" s="91">
        <v>42.83</v>
      </c>
      <c r="K17" s="91">
        <v>46.65</v>
      </c>
      <c r="L17" s="91">
        <v>44.4</v>
      </c>
      <c r="M17" s="91">
        <v>43.66</v>
      </c>
      <c r="N17" s="91">
        <v>43.95</v>
      </c>
      <c r="O17" s="91">
        <v>37.74</v>
      </c>
      <c r="P17" s="106">
        <f t="shared" si="0"/>
        <v>3.4823142308747057E-2</v>
      </c>
    </row>
    <row r="18" spans="2:16" ht="15.75" thickBot="1" x14ac:dyDescent="0.25">
      <c r="B18" s="90">
        <v>2031</v>
      </c>
      <c r="C18" s="91">
        <v>41.72</v>
      </c>
      <c r="D18" s="91">
        <v>42.99</v>
      </c>
      <c r="E18" s="91">
        <v>34.99</v>
      </c>
      <c r="F18" s="91">
        <v>32.159999999999997</v>
      </c>
      <c r="G18" s="91">
        <v>24.04</v>
      </c>
      <c r="H18" s="91">
        <v>29.34</v>
      </c>
      <c r="I18" s="91">
        <v>38.83</v>
      </c>
      <c r="J18" s="91">
        <v>45.1</v>
      </c>
      <c r="K18" s="91">
        <v>48.52</v>
      </c>
      <c r="L18" s="91">
        <v>46.19</v>
      </c>
      <c r="M18" s="91">
        <v>45.04</v>
      </c>
      <c r="N18" s="91">
        <v>46.57</v>
      </c>
      <c r="O18" s="91">
        <v>39.630000000000003</v>
      </c>
      <c r="P18" s="106">
        <f t="shared" si="0"/>
        <v>5.0079491255961894E-2</v>
      </c>
    </row>
    <row r="19" spans="2:16" ht="15.75" thickBot="1" x14ac:dyDescent="0.25">
      <c r="B19" s="90">
        <v>2032</v>
      </c>
      <c r="C19" s="91">
        <v>43.79</v>
      </c>
      <c r="D19" s="91">
        <v>44.94</v>
      </c>
      <c r="E19" s="91">
        <v>36.630000000000003</v>
      </c>
      <c r="F19" s="91">
        <v>34.79</v>
      </c>
      <c r="G19" s="91">
        <v>29.08</v>
      </c>
      <c r="H19" s="91">
        <v>31.68</v>
      </c>
      <c r="I19" s="91">
        <v>42.03</v>
      </c>
      <c r="J19" s="91">
        <v>47.51</v>
      </c>
      <c r="K19" s="91">
        <v>50.95</v>
      </c>
      <c r="L19" s="91">
        <v>49.15</v>
      </c>
      <c r="M19" s="91">
        <v>48.77</v>
      </c>
      <c r="N19" s="91">
        <v>49.81</v>
      </c>
      <c r="O19" s="91">
        <v>42.43</v>
      </c>
      <c r="P19" s="106">
        <f t="shared" si="0"/>
        <v>7.0653545293969167E-2</v>
      </c>
    </row>
    <row r="20" spans="2:16" ht="15.75" thickBot="1" x14ac:dyDescent="0.25">
      <c r="B20" s="90">
        <v>2033</v>
      </c>
      <c r="C20" s="91">
        <v>47.78</v>
      </c>
      <c r="D20" s="91">
        <v>49.55</v>
      </c>
      <c r="E20" s="91">
        <v>40.21</v>
      </c>
      <c r="F20" s="91">
        <v>38.119999999999997</v>
      </c>
      <c r="G20" s="91">
        <v>29.97</v>
      </c>
      <c r="H20" s="91">
        <v>35.65</v>
      </c>
      <c r="I20" s="91">
        <v>46.6</v>
      </c>
      <c r="J20" s="91">
        <v>51.95</v>
      </c>
      <c r="K20" s="91">
        <v>56.19</v>
      </c>
      <c r="L20" s="91">
        <v>55.06</v>
      </c>
      <c r="M20" s="91">
        <v>53.78</v>
      </c>
      <c r="N20" s="91">
        <v>54.01</v>
      </c>
      <c r="O20" s="91">
        <v>46.57</v>
      </c>
      <c r="P20" s="106">
        <f t="shared" si="0"/>
        <v>9.7572472307329683E-2</v>
      </c>
    </row>
    <row r="21" spans="2:16" ht="15.75" thickBot="1" x14ac:dyDescent="0.25">
      <c r="B21" s="90">
        <v>2034</v>
      </c>
      <c r="C21" s="91">
        <v>51.02</v>
      </c>
      <c r="D21" s="91">
        <v>53.37</v>
      </c>
      <c r="E21" s="91">
        <v>43.29</v>
      </c>
      <c r="F21" s="91">
        <v>40.85</v>
      </c>
      <c r="G21" s="91">
        <v>32.369999999999997</v>
      </c>
      <c r="H21" s="91">
        <v>38.71</v>
      </c>
      <c r="I21" s="91">
        <v>50.46</v>
      </c>
      <c r="J21" s="91">
        <v>55.3</v>
      </c>
      <c r="K21" s="91">
        <v>60.39</v>
      </c>
      <c r="L21" s="91">
        <v>57.74</v>
      </c>
      <c r="M21" s="91">
        <v>56.59</v>
      </c>
      <c r="N21" s="91">
        <v>57.83</v>
      </c>
      <c r="O21" s="91">
        <v>49.82</v>
      </c>
      <c r="P21" s="106">
        <f t="shared" si="0"/>
        <v>6.9787416791926127E-2</v>
      </c>
    </row>
    <row r="22" spans="2:16" ht="15.75" thickBot="1" x14ac:dyDescent="0.25">
      <c r="B22" s="90">
        <v>2035</v>
      </c>
      <c r="C22" s="91">
        <v>54.29</v>
      </c>
      <c r="D22" s="91">
        <v>57.21</v>
      </c>
      <c r="E22" s="91">
        <v>45.72</v>
      </c>
      <c r="F22" s="91">
        <v>45.29</v>
      </c>
      <c r="G22" s="91">
        <v>35.49</v>
      </c>
      <c r="H22" s="91">
        <v>40.24</v>
      </c>
      <c r="I22" s="91">
        <v>51.78</v>
      </c>
      <c r="J22" s="91">
        <v>59.35</v>
      </c>
      <c r="K22" s="91">
        <v>65.209999999999994</v>
      </c>
      <c r="L22" s="91">
        <v>59.58</v>
      </c>
      <c r="M22" s="91">
        <v>58</v>
      </c>
      <c r="N22" s="91">
        <v>60.55</v>
      </c>
      <c r="O22" s="91">
        <v>52.73</v>
      </c>
      <c r="P22" s="106">
        <f t="shared" si="0"/>
        <v>5.8410276997189925E-2</v>
      </c>
    </row>
    <row r="23" spans="2:16" ht="15.75" thickBot="1" x14ac:dyDescent="0.25">
      <c r="B23" s="90">
        <v>2036</v>
      </c>
      <c r="C23" s="91">
        <v>58.49</v>
      </c>
      <c r="D23" s="91">
        <v>60.54</v>
      </c>
      <c r="E23" s="91">
        <v>49.36</v>
      </c>
      <c r="F23" s="91">
        <v>46.48</v>
      </c>
      <c r="G23" s="91">
        <v>36.31</v>
      </c>
      <c r="H23" s="91">
        <v>44.79</v>
      </c>
      <c r="I23" s="91">
        <v>57.77</v>
      </c>
      <c r="J23" s="91">
        <v>66.63</v>
      </c>
      <c r="K23" s="91">
        <v>69.28</v>
      </c>
      <c r="L23" s="91">
        <v>65.180000000000007</v>
      </c>
      <c r="M23" s="91">
        <v>64.47</v>
      </c>
      <c r="N23" s="91">
        <v>65.400000000000006</v>
      </c>
      <c r="O23" s="91">
        <v>57.06</v>
      </c>
      <c r="P23" s="106">
        <f t="shared" si="0"/>
        <v>8.2116442252986976E-2</v>
      </c>
    </row>
    <row r="24" spans="2:16" ht="15.75" thickBot="1" x14ac:dyDescent="0.25">
      <c r="B24" s="90">
        <v>2037</v>
      </c>
      <c r="C24" s="91">
        <v>61.93</v>
      </c>
      <c r="D24" s="91">
        <v>63.53</v>
      </c>
      <c r="E24" s="91">
        <v>52.04</v>
      </c>
      <c r="F24" s="91">
        <v>47.33</v>
      </c>
      <c r="G24" s="91">
        <v>39.19</v>
      </c>
      <c r="H24" s="91">
        <v>45.35</v>
      </c>
      <c r="I24" s="91">
        <v>59.59</v>
      </c>
      <c r="J24" s="91">
        <v>68.56</v>
      </c>
      <c r="K24" s="91">
        <v>71.010000000000005</v>
      </c>
      <c r="L24" s="91">
        <v>67.650000000000006</v>
      </c>
      <c r="M24" s="91">
        <v>66.45</v>
      </c>
      <c r="N24" s="91">
        <v>68.430000000000007</v>
      </c>
      <c r="O24" s="91">
        <v>59.25</v>
      </c>
      <c r="P24" s="106">
        <f t="shared" si="0"/>
        <v>3.8380651945320698E-2</v>
      </c>
    </row>
    <row r="25" spans="2:16" ht="15.75" thickBot="1" x14ac:dyDescent="0.25">
      <c r="B25" s="90">
        <v>2038</v>
      </c>
      <c r="C25" s="91">
        <v>64.760000000000005</v>
      </c>
      <c r="D25" s="91">
        <v>66.98</v>
      </c>
      <c r="E25" s="91">
        <v>54.15</v>
      </c>
      <c r="F25" s="91">
        <v>50.87</v>
      </c>
      <c r="G25" s="91">
        <v>44.06</v>
      </c>
      <c r="H25" s="91">
        <v>46.77</v>
      </c>
      <c r="I25" s="91">
        <v>62.5</v>
      </c>
      <c r="J25" s="91">
        <v>71.78</v>
      </c>
      <c r="K25" s="91">
        <v>74.16</v>
      </c>
      <c r="L25" s="91">
        <v>70.959999999999994</v>
      </c>
      <c r="M25" s="91">
        <v>70.28</v>
      </c>
      <c r="N25" s="91">
        <v>72.17</v>
      </c>
      <c r="O25" s="91">
        <v>62.45</v>
      </c>
      <c r="P25" s="106">
        <f t="shared" si="0"/>
        <v>5.4008438818565541E-2</v>
      </c>
    </row>
    <row r="26" spans="2:16" ht="15.75" thickBot="1" x14ac:dyDescent="0.25">
      <c r="B26" s="90">
        <v>2039</v>
      </c>
      <c r="C26" s="91">
        <v>67.900000000000006</v>
      </c>
      <c r="D26" s="91">
        <v>69.75</v>
      </c>
      <c r="E26" s="91">
        <v>54.73</v>
      </c>
      <c r="F26" s="91">
        <v>51.47</v>
      </c>
      <c r="G26" s="91">
        <v>42.78</v>
      </c>
      <c r="H26" s="91">
        <v>47.83</v>
      </c>
      <c r="I26" s="91">
        <v>65.459999999999994</v>
      </c>
      <c r="J26" s="91">
        <v>73.95</v>
      </c>
      <c r="K26" s="91">
        <v>77.98</v>
      </c>
      <c r="L26" s="91">
        <v>76.75</v>
      </c>
      <c r="M26" s="91">
        <v>75.77</v>
      </c>
      <c r="N26" s="91">
        <v>76.17</v>
      </c>
      <c r="O26" s="91">
        <v>65.040000000000006</v>
      </c>
      <c r="P26" s="104"/>
    </row>
    <row r="27" spans="2:16" ht="15.75" thickBot="1" x14ac:dyDescent="0.25">
      <c r="B27" s="92"/>
      <c r="C27" s="93"/>
      <c r="D27" s="93"/>
      <c r="E27" s="93"/>
      <c r="F27" s="93"/>
      <c r="G27" s="93"/>
      <c r="H27" s="93"/>
      <c r="I27" s="93"/>
      <c r="J27" s="93"/>
      <c r="K27" s="93"/>
      <c r="L27" s="93"/>
      <c r="M27" s="93"/>
      <c r="N27" s="93"/>
      <c r="O27" s="94"/>
      <c r="P27" s="105"/>
    </row>
    <row r="28" spans="2:16" ht="15.75" thickBot="1" x14ac:dyDescent="0.25">
      <c r="N28" s="96" t="s">
        <v>84</v>
      </c>
      <c r="O28" s="97">
        <f>-PMT(Rate_of_Return,20,NPV(Rate_of_Return,O6:O26))</f>
        <v>33.511752819957849</v>
      </c>
      <c r="P28" s="104"/>
    </row>
    <row r="29" spans="2:16" ht="15.75" thickBot="1" x14ac:dyDescent="0.25">
      <c r="N29" s="96" t="s">
        <v>85</v>
      </c>
      <c r="O29" s="98">
        <f>-PMT(Rate_of_Return,15,NPV(Rate_of_Return,O6:O20))</f>
        <v>28.503216913001175</v>
      </c>
      <c r="P29" s="104"/>
    </row>
  </sheetData>
  <pageMargins left="0.75" right="0.5" top="0.76" bottom="0.79" header="0.5" footer="0.26"/>
  <pageSetup scale="81" orientation="landscape" r:id="rId1"/>
  <headerFooter alignWithMargins="0">
    <oddFooter>&amp;L&amp;F&amp;C&amp;A&amp;RPSE Advice No. 2018-48 &amp;D
Page &amp;P of &amp;N</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J48"/>
  <sheetViews>
    <sheetView workbookViewId="0"/>
  </sheetViews>
  <sheetFormatPr defaultColWidth="8.85546875" defaultRowHeight="15" x14ac:dyDescent="0.2"/>
  <cols>
    <col min="1" max="1" width="2.7109375" style="88" customWidth="1"/>
    <col min="2" max="2" width="3.85546875" style="88" bestFit="1" customWidth="1"/>
    <col min="3" max="3" width="9" style="88" bestFit="1" customWidth="1"/>
    <col min="4" max="4" width="23" style="88" customWidth="1"/>
    <col min="5" max="5" width="16.28515625" style="88" customWidth="1"/>
    <col min="6" max="6" width="21.28515625" style="88" customWidth="1"/>
    <col min="7" max="7" width="2.140625" style="82" customWidth="1"/>
    <col min="8" max="8" width="14.140625" style="88" customWidth="1"/>
    <col min="9" max="9" width="14.28515625" style="88" customWidth="1"/>
    <col min="10" max="10" width="14.5703125" style="88" customWidth="1"/>
    <col min="11" max="16384" width="8.85546875" style="88"/>
  </cols>
  <sheetData>
    <row r="2" spans="1:10" x14ac:dyDescent="0.2">
      <c r="C2" s="88" t="s">
        <v>50</v>
      </c>
    </row>
    <row r="3" spans="1:10" ht="15.75" thickBot="1" x14ac:dyDescent="0.25">
      <c r="H3" s="306" t="s">
        <v>51</v>
      </c>
      <c r="I3" s="306"/>
      <c r="J3" s="306"/>
    </row>
    <row r="4" spans="1:10" ht="63.75" customHeight="1" x14ac:dyDescent="0.2">
      <c r="D4" s="248" t="s">
        <v>52</v>
      </c>
      <c r="E4" s="248" t="s">
        <v>53</v>
      </c>
      <c r="F4" s="249" t="s">
        <v>54</v>
      </c>
      <c r="H4" s="250" t="s">
        <v>122</v>
      </c>
      <c r="I4" s="251" t="s">
        <v>123</v>
      </c>
      <c r="J4" s="252" t="s">
        <v>124</v>
      </c>
    </row>
    <row r="5" spans="1:10" ht="15.75" thickBot="1" x14ac:dyDescent="0.25">
      <c r="B5" s="95"/>
      <c r="C5" s="253"/>
      <c r="D5" s="254"/>
      <c r="E5" s="255"/>
      <c r="F5" s="256"/>
      <c r="H5" s="257">
        <v>1</v>
      </c>
      <c r="I5" s="258">
        <v>0.16</v>
      </c>
      <c r="J5" s="259">
        <v>0.02</v>
      </c>
    </row>
    <row r="6" spans="1:10" x14ac:dyDescent="0.2">
      <c r="A6" s="95"/>
      <c r="B6" s="260">
        <v>1</v>
      </c>
      <c r="C6" s="261">
        <v>2019</v>
      </c>
      <c r="D6" s="262" t="s">
        <v>55</v>
      </c>
      <c r="E6" s="263">
        <v>0.10236603221083454</v>
      </c>
      <c r="F6" s="264">
        <v>0.10236603221083454</v>
      </c>
      <c r="H6" s="265">
        <f>H$5*$E6</f>
        <v>0.10236603221083454</v>
      </c>
      <c r="I6" s="266">
        <f>I$5*$E6</f>
        <v>1.6378565153733527E-2</v>
      </c>
      <c r="J6" s="267">
        <f>J$5*$E6</f>
        <v>2.0473206442166909E-3</v>
      </c>
    </row>
    <row r="7" spans="1:10" x14ac:dyDescent="0.2">
      <c r="A7" s="95"/>
      <c r="B7" s="268">
        <v>2</v>
      </c>
      <c r="C7" s="269">
        <f>+C6+1</f>
        <v>2020</v>
      </c>
      <c r="D7" s="270"/>
      <c r="E7" s="263">
        <v>0.10236603221083454</v>
      </c>
      <c r="F7" s="264">
        <v>0.10236603221083454</v>
      </c>
      <c r="H7" s="271">
        <f t="shared" ref="H7:J25" si="0">H$5*$E7</f>
        <v>0.10236603221083454</v>
      </c>
      <c r="I7" s="266">
        <f t="shared" si="0"/>
        <v>1.6378565153733527E-2</v>
      </c>
      <c r="J7" s="272">
        <f t="shared" si="0"/>
        <v>2.0473206442166909E-3</v>
      </c>
    </row>
    <row r="8" spans="1:10" x14ac:dyDescent="0.2">
      <c r="A8" s="95"/>
      <c r="B8" s="268">
        <v>3</v>
      </c>
      <c r="C8" s="269">
        <f t="shared" ref="C8:C25" si="1">+C7+1</f>
        <v>2021</v>
      </c>
      <c r="D8" s="270"/>
      <c r="E8" s="263">
        <v>0.10236603221083454</v>
      </c>
      <c r="F8" s="264">
        <v>0.10236603221083454</v>
      </c>
      <c r="H8" s="271">
        <f t="shared" si="0"/>
        <v>0.10236603221083454</v>
      </c>
      <c r="I8" s="266">
        <f t="shared" si="0"/>
        <v>1.6378565153733527E-2</v>
      </c>
      <c r="J8" s="272">
        <f t="shared" si="0"/>
        <v>2.0473206442166909E-3</v>
      </c>
    </row>
    <row r="9" spans="1:10" x14ac:dyDescent="0.2">
      <c r="A9" s="95"/>
      <c r="B9" s="268">
        <v>4</v>
      </c>
      <c r="C9" s="269">
        <f t="shared" si="1"/>
        <v>2022</v>
      </c>
      <c r="D9" s="270"/>
      <c r="E9" s="273">
        <v>3.26</v>
      </c>
      <c r="F9" s="264">
        <v>0.10236603221083454</v>
      </c>
      <c r="H9" s="271">
        <f t="shared" si="0"/>
        <v>3.26</v>
      </c>
      <c r="I9" s="266">
        <f t="shared" si="0"/>
        <v>0.52159999999999995</v>
      </c>
      <c r="J9" s="272">
        <f t="shared" si="0"/>
        <v>6.5199999999999994E-2</v>
      </c>
    </row>
    <row r="10" spans="1:10" x14ac:dyDescent="0.2">
      <c r="A10" s="95"/>
      <c r="B10" s="268">
        <v>5</v>
      </c>
      <c r="C10" s="269">
        <f t="shared" si="1"/>
        <v>2023</v>
      </c>
      <c r="D10" s="274" t="s">
        <v>56</v>
      </c>
      <c r="E10" s="273">
        <v>93</v>
      </c>
      <c r="F10" s="264">
        <v>0.10236603221083454</v>
      </c>
      <c r="H10" s="271">
        <f>H$5*$E10</f>
        <v>93</v>
      </c>
      <c r="I10" s="266">
        <f t="shared" si="0"/>
        <v>14.88</v>
      </c>
      <c r="J10" s="272">
        <f t="shared" si="0"/>
        <v>1.86</v>
      </c>
    </row>
    <row r="11" spans="1:10" x14ac:dyDescent="0.2">
      <c r="A11" s="95"/>
      <c r="B11" s="268">
        <v>6</v>
      </c>
      <c r="C11" s="269">
        <f t="shared" si="1"/>
        <v>2024</v>
      </c>
      <c r="D11" s="275" t="s">
        <v>57</v>
      </c>
      <c r="E11" s="273">
        <v>93</v>
      </c>
      <c r="F11" s="264">
        <v>0.10236603221083454</v>
      </c>
      <c r="H11" s="271">
        <f t="shared" si="0"/>
        <v>93</v>
      </c>
      <c r="I11" s="266">
        <f t="shared" si="0"/>
        <v>14.88</v>
      </c>
      <c r="J11" s="272">
        <f t="shared" si="0"/>
        <v>1.86</v>
      </c>
    </row>
    <row r="12" spans="1:10" x14ac:dyDescent="0.2">
      <c r="A12" s="95"/>
      <c r="B12" s="268">
        <v>7</v>
      </c>
      <c r="C12" s="269">
        <f t="shared" si="1"/>
        <v>2025</v>
      </c>
      <c r="D12" s="275" t="s">
        <v>57</v>
      </c>
      <c r="E12" s="276">
        <v>80</v>
      </c>
      <c r="F12" s="264">
        <v>0.10236603221083454</v>
      </c>
      <c r="H12" s="271">
        <f t="shared" si="0"/>
        <v>80</v>
      </c>
      <c r="I12" s="266">
        <f t="shared" si="0"/>
        <v>12.8</v>
      </c>
      <c r="J12" s="272">
        <f t="shared" si="0"/>
        <v>1.6</v>
      </c>
    </row>
    <row r="13" spans="1:10" x14ac:dyDescent="0.2">
      <c r="A13" s="95"/>
      <c r="B13" s="268">
        <v>8</v>
      </c>
      <c r="C13" s="269">
        <f t="shared" si="1"/>
        <v>2026</v>
      </c>
      <c r="D13" s="275" t="s">
        <v>58</v>
      </c>
      <c r="E13" s="273">
        <v>80</v>
      </c>
      <c r="F13" s="264">
        <v>0.10236603221083454</v>
      </c>
      <c r="H13" s="271">
        <f t="shared" si="0"/>
        <v>80</v>
      </c>
      <c r="I13" s="266">
        <f t="shared" si="0"/>
        <v>12.8</v>
      </c>
      <c r="J13" s="272">
        <f t="shared" si="0"/>
        <v>1.6</v>
      </c>
    </row>
    <row r="14" spans="1:10" x14ac:dyDescent="0.2">
      <c r="A14" s="95"/>
      <c r="B14" s="268">
        <v>9</v>
      </c>
      <c r="C14" s="269">
        <f t="shared" si="1"/>
        <v>2027</v>
      </c>
      <c r="D14" s="275" t="s">
        <v>58</v>
      </c>
      <c r="E14" s="273">
        <v>80.477938899565444</v>
      </c>
      <c r="F14" s="264">
        <v>0.10236603221083454</v>
      </c>
      <c r="H14" s="271">
        <f t="shared" si="0"/>
        <v>80.477938899565444</v>
      </c>
      <c r="I14" s="266">
        <f t="shared" si="0"/>
        <v>12.876470223930472</v>
      </c>
      <c r="J14" s="272">
        <f t="shared" si="0"/>
        <v>1.609558777991309</v>
      </c>
    </row>
    <row r="15" spans="1:10" x14ac:dyDescent="0.2">
      <c r="A15" s="95"/>
      <c r="B15" s="268">
        <v>10</v>
      </c>
      <c r="C15" s="269">
        <f t="shared" si="1"/>
        <v>2028</v>
      </c>
      <c r="D15" s="275" t="s">
        <v>58</v>
      </c>
      <c r="E15" s="273">
        <v>80.477938899565444</v>
      </c>
      <c r="F15" s="264">
        <v>0.10236603221083454</v>
      </c>
      <c r="H15" s="271">
        <f t="shared" si="0"/>
        <v>80.477938899565444</v>
      </c>
      <c r="I15" s="266">
        <f t="shared" si="0"/>
        <v>12.876470223930472</v>
      </c>
      <c r="J15" s="272">
        <f t="shared" si="0"/>
        <v>1.609558777991309</v>
      </c>
    </row>
    <row r="16" spans="1:10" x14ac:dyDescent="0.2">
      <c r="A16" s="95"/>
      <c r="B16" s="268">
        <v>11</v>
      </c>
      <c r="C16" s="269">
        <f t="shared" si="1"/>
        <v>2029</v>
      </c>
      <c r="D16" s="275"/>
      <c r="E16" s="273">
        <v>80.477938899565444</v>
      </c>
      <c r="F16" s="264">
        <v>0.10236603221083454</v>
      </c>
      <c r="H16" s="271">
        <f t="shared" si="0"/>
        <v>80.477938899565444</v>
      </c>
      <c r="I16" s="266">
        <f t="shared" si="0"/>
        <v>12.876470223930472</v>
      </c>
      <c r="J16" s="272">
        <f t="shared" si="0"/>
        <v>1.609558777991309</v>
      </c>
    </row>
    <row r="17" spans="1:10" x14ac:dyDescent="0.2">
      <c r="A17" s="95"/>
      <c r="B17" s="268">
        <v>12</v>
      </c>
      <c r="C17" s="269">
        <f t="shared" si="1"/>
        <v>2030</v>
      </c>
      <c r="D17" s="275"/>
      <c r="E17" s="273">
        <v>80.477938899565444</v>
      </c>
      <c r="F17" s="264">
        <v>0.10236603221083454</v>
      </c>
      <c r="H17" s="271">
        <f t="shared" si="0"/>
        <v>80.477938899565444</v>
      </c>
      <c r="I17" s="266">
        <f t="shared" si="0"/>
        <v>12.876470223930472</v>
      </c>
      <c r="J17" s="272">
        <f t="shared" si="0"/>
        <v>1.609558777991309</v>
      </c>
    </row>
    <row r="18" spans="1:10" x14ac:dyDescent="0.2">
      <c r="A18" s="95"/>
      <c r="B18" s="268">
        <v>13</v>
      </c>
      <c r="C18" s="269">
        <f t="shared" si="1"/>
        <v>2031</v>
      </c>
      <c r="D18" s="275"/>
      <c r="E18" s="273">
        <v>84.157096346974001</v>
      </c>
      <c r="F18" s="264">
        <v>0.10236603221083454</v>
      </c>
      <c r="H18" s="271">
        <f t="shared" si="0"/>
        <v>84.157096346974001</v>
      </c>
      <c r="I18" s="266">
        <f t="shared" si="0"/>
        <v>13.46513541551584</v>
      </c>
      <c r="J18" s="272">
        <f t="shared" si="0"/>
        <v>1.6831419269394801</v>
      </c>
    </row>
    <row r="19" spans="1:10" x14ac:dyDescent="0.2">
      <c r="A19" s="95"/>
      <c r="B19" s="268">
        <v>14</v>
      </c>
      <c r="C19" s="269">
        <f t="shared" si="1"/>
        <v>2032</v>
      </c>
      <c r="D19" s="275" t="s">
        <v>58</v>
      </c>
      <c r="E19" s="273">
        <v>84.157096346974001</v>
      </c>
      <c r="F19" s="264">
        <v>0.10236603221083454</v>
      </c>
      <c r="H19" s="271">
        <f t="shared" si="0"/>
        <v>84.157096346974001</v>
      </c>
      <c r="I19" s="266">
        <f t="shared" si="0"/>
        <v>13.46513541551584</v>
      </c>
      <c r="J19" s="272">
        <f t="shared" si="0"/>
        <v>1.6831419269394801</v>
      </c>
    </row>
    <row r="20" spans="1:10" x14ac:dyDescent="0.2">
      <c r="A20" s="95"/>
      <c r="B20" s="268">
        <v>15</v>
      </c>
      <c r="C20" s="269">
        <f t="shared" si="1"/>
        <v>2033</v>
      </c>
      <c r="D20" s="275"/>
      <c r="E20" s="273">
        <v>84.157096346974001</v>
      </c>
      <c r="F20" s="264">
        <v>0.10236603221083454</v>
      </c>
      <c r="H20" s="271">
        <f t="shared" si="0"/>
        <v>84.157096346974001</v>
      </c>
      <c r="I20" s="266">
        <f t="shared" si="0"/>
        <v>13.46513541551584</v>
      </c>
      <c r="J20" s="272">
        <f t="shared" si="0"/>
        <v>1.6831419269394801</v>
      </c>
    </row>
    <row r="21" spans="1:10" x14ac:dyDescent="0.2">
      <c r="A21" s="95"/>
      <c r="B21" s="268">
        <v>16</v>
      </c>
      <c r="C21" s="269">
        <f t="shared" si="1"/>
        <v>2034</v>
      </c>
      <c r="D21" s="275"/>
      <c r="E21" s="273">
        <v>88.306829270347322</v>
      </c>
      <c r="F21" s="264">
        <v>0.10236603221083454</v>
      </c>
      <c r="H21" s="271">
        <f t="shared" si="0"/>
        <v>88.306829270347322</v>
      </c>
      <c r="I21" s="266">
        <f t="shared" si="0"/>
        <v>14.129092683255571</v>
      </c>
      <c r="J21" s="272">
        <f t="shared" si="0"/>
        <v>1.7661365854069464</v>
      </c>
    </row>
    <row r="22" spans="1:10" x14ac:dyDescent="0.2">
      <c r="A22" s="95"/>
      <c r="B22" s="268">
        <v>17</v>
      </c>
      <c r="C22" s="269">
        <f t="shared" si="1"/>
        <v>2035</v>
      </c>
      <c r="D22" s="275" t="s">
        <v>58</v>
      </c>
      <c r="E22" s="273">
        <v>88.306829270347322</v>
      </c>
      <c r="F22" s="264">
        <v>0.10236603221083454</v>
      </c>
      <c r="H22" s="271">
        <f t="shared" si="0"/>
        <v>88.306829270347322</v>
      </c>
      <c r="I22" s="266">
        <f t="shared" si="0"/>
        <v>14.129092683255571</v>
      </c>
      <c r="J22" s="272">
        <f t="shared" si="0"/>
        <v>1.7661365854069464</v>
      </c>
    </row>
    <row r="23" spans="1:10" x14ac:dyDescent="0.2">
      <c r="A23" s="95"/>
      <c r="B23" s="268">
        <v>18</v>
      </c>
      <c r="C23" s="269">
        <f t="shared" si="1"/>
        <v>2036</v>
      </c>
      <c r="D23" s="275"/>
      <c r="E23" s="277">
        <v>91.089450907608253</v>
      </c>
      <c r="F23" s="264">
        <v>0.10236603221083454</v>
      </c>
      <c r="H23" s="271">
        <f t="shared" si="0"/>
        <v>91.089450907608253</v>
      </c>
      <c r="I23" s="266">
        <f t="shared" si="0"/>
        <v>14.57431214521732</v>
      </c>
      <c r="J23" s="272">
        <f t="shared" si="0"/>
        <v>1.821789018152165</v>
      </c>
    </row>
    <row r="24" spans="1:10" x14ac:dyDescent="0.2">
      <c r="A24" s="95"/>
      <c r="B24" s="268">
        <v>19</v>
      </c>
      <c r="C24" s="269">
        <f t="shared" si="1"/>
        <v>2037</v>
      </c>
      <c r="D24" s="275" t="s">
        <v>58</v>
      </c>
      <c r="E24" s="278">
        <v>91.089450907608253</v>
      </c>
      <c r="F24" s="279">
        <v>0.10236603221083454</v>
      </c>
      <c r="H24" s="280">
        <f t="shared" si="0"/>
        <v>91.089450907608253</v>
      </c>
      <c r="I24" s="281">
        <f t="shared" si="0"/>
        <v>14.57431214521732</v>
      </c>
      <c r="J24" s="282">
        <f t="shared" si="0"/>
        <v>1.821789018152165</v>
      </c>
    </row>
    <row r="25" spans="1:10" ht="15.75" thickBot="1" x14ac:dyDescent="0.25">
      <c r="A25" s="95"/>
      <c r="B25" s="283">
        <v>20</v>
      </c>
      <c r="C25" s="284">
        <f t="shared" si="1"/>
        <v>2038</v>
      </c>
      <c r="D25" s="285"/>
      <c r="E25" s="286">
        <v>91.089450907608253</v>
      </c>
      <c r="F25" s="287">
        <v>0.10236603221083454</v>
      </c>
      <c r="H25" s="288">
        <f t="shared" si="0"/>
        <v>91.089450907608253</v>
      </c>
      <c r="I25" s="289">
        <f t="shared" si="0"/>
        <v>14.57431214521732</v>
      </c>
      <c r="J25" s="290">
        <f t="shared" si="0"/>
        <v>1.821789018152165</v>
      </c>
    </row>
    <row r="26" spans="1:10" x14ac:dyDescent="0.2">
      <c r="B26" s="95"/>
      <c r="C26" s="95"/>
    </row>
    <row r="28" spans="1:10" x14ac:dyDescent="0.2">
      <c r="D28" s="291"/>
    </row>
    <row r="29" spans="1:10" x14ac:dyDescent="0.2">
      <c r="D29" s="292"/>
    </row>
    <row r="30" spans="1:10" x14ac:dyDescent="0.2">
      <c r="D30" s="292"/>
    </row>
    <row r="31" spans="1:10" x14ac:dyDescent="0.2">
      <c r="D31" s="292"/>
    </row>
    <row r="32" spans="1:10" x14ac:dyDescent="0.2">
      <c r="D32" s="292"/>
    </row>
    <row r="33" spans="4:4" x14ac:dyDescent="0.2">
      <c r="D33" s="292"/>
    </row>
    <row r="34" spans="4:4" x14ac:dyDescent="0.2">
      <c r="D34" s="292"/>
    </row>
    <row r="35" spans="4:4" x14ac:dyDescent="0.2">
      <c r="D35" s="292"/>
    </row>
    <row r="36" spans="4:4" x14ac:dyDescent="0.2">
      <c r="D36" s="292"/>
    </row>
    <row r="37" spans="4:4" x14ac:dyDescent="0.2">
      <c r="D37" s="292"/>
    </row>
    <row r="38" spans="4:4" x14ac:dyDescent="0.2">
      <c r="D38" s="292"/>
    </row>
    <row r="39" spans="4:4" x14ac:dyDescent="0.2">
      <c r="D39" s="292"/>
    </row>
    <row r="40" spans="4:4" x14ac:dyDescent="0.2">
      <c r="D40" s="292"/>
    </row>
    <row r="41" spans="4:4" x14ac:dyDescent="0.2">
      <c r="D41" s="292"/>
    </row>
    <row r="42" spans="4:4" x14ac:dyDescent="0.2">
      <c r="D42" s="292"/>
    </row>
    <row r="43" spans="4:4" x14ac:dyDescent="0.2">
      <c r="D43" s="292"/>
    </row>
    <row r="44" spans="4:4" x14ac:dyDescent="0.2">
      <c r="D44" s="292"/>
    </row>
    <row r="45" spans="4:4" x14ac:dyDescent="0.2">
      <c r="D45" s="292"/>
    </row>
    <row r="46" spans="4:4" x14ac:dyDescent="0.2">
      <c r="D46" s="292"/>
    </row>
    <row r="47" spans="4:4" x14ac:dyDescent="0.2">
      <c r="D47" s="292"/>
    </row>
    <row r="48" spans="4:4" x14ac:dyDescent="0.2">
      <c r="D48" s="292"/>
    </row>
  </sheetData>
  <mergeCells count="1">
    <mergeCell ref="H3:J3"/>
  </mergeCells>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G21"/>
  <sheetViews>
    <sheetView workbookViewId="0">
      <selection activeCell="J34" sqref="J34"/>
    </sheetView>
  </sheetViews>
  <sheetFormatPr defaultColWidth="9.140625" defaultRowHeight="15" x14ac:dyDescent="0.25"/>
  <cols>
    <col min="1" max="1" width="2.7109375" style="107" customWidth="1"/>
    <col min="2" max="2" width="41.28515625" style="107" bestFit="1" customWidth="1"/>
    <col min="3" max="3" width="32.85546875" style="107" bestFit="1" customWidth="1"/>
    <col min="4" max="4" width="11.5703125" style="107" bestFit="1" customWidth="1"/>
    <col min="5" max="5" width="7.5703125" style="107" bestFit="1" customWidth="1"/>
    <col min="6" max="6" width="19.85546875" style="107" bestFit="1" customWidth="1"/>
    <col min="7" max="16384" width="9.140625" style="107"/>
  </cols>
  <sheetData>
    <row r="1" spans="2:6" ht="15.75" thickBot="1" x14ac:dyDescent="0.3"/>
    <row r="2" spans="2:6" x14ac:dyDescent="0.25">
      <c r="B2" s="108"/>
      <c r="C2" s="109"/>
      <c r="D2" s="109"/>
      <c r="E2" s="109"/>
      <c r="F2" s="110" t="s">
        <v>94</v>
      </c>
    </row>
    <row r="3" spans="2:6" x14ac:dyDescent="0.25">
      <c r="B3" s="111"/>
      <c r="C3" s="112"/>
      <c r="D3" s="112"/>
      <c r="E3" s="112"/>
      <c r="F3" s="113"/>
    </row>
    <row r="4" spans="2:6" x14ac:dyDescent="0.25">
      <c r="B4" s="114"/>
      <c r="C4" s="112"/>
      <c r="D4" s="112"/>
      <c r="E4" s="112"/>
      <c r="F4" s="113" t="s">
        <v>95</v>
      </c>
    </row>
    <row r="5" spans="2:6" x14ac:dyDescent="0.25">
      <c r="B5" s="115" t="s">
        <v>96</v>
      </c>
      <c r="C5" s="112"/>
      <c r="D5" s="112"/>
      <c r="E5" s="112"/>
      <c r="F5" s="116"/>
    </row>
    <row r="6" spans="2:6" x14ac:dyDescent="0.25">
      <c r="B6" s="307" t="s">
        <v>97</v>
      </c>
      <c r="C6" s="308"/>
      <c r="D6" s="308"/>
      <c r="E6" s="308"/>
      <c r="F6" s="309"/>
    </row>
    <row r="7" spans="2:6" x14ac:dyDescent="0.25">
      <c r="B7" s="307" t="s">
        <v>98</v>
      </c>
      <c r="C7" s="308"/>
      <c r="D7" s="308"/>
      <c r="E7" s="308"/>
      <c r="F7" s="309"/>
    </row>
    <row r="8" spans="2:6" x14ac:dyDescent="0.25">
      <c r="B8" s="115" t="s">
        <v>99</v>
      </c>
      <c r="C8" s="112"/>
      <c r="D8" s="112"/>
      <c r="E8" s="112"/>
      <c r="F8" s="116"/>
    </row>
    <row r="9" spans="2:6" x14ac:dyDescent="0.25">
      <c r="B9" s="115" t="s">
        <v>100</v>
      </c>
      <c r="C9" s="112"/>
      <c r="D9" s="112"/>
      <c r="E9" s="112"/>
      <c r="F9" s="116"/>
    </row>
    <row r="10" spans="2:6" x14ac:dyDescent="0.25">
      <c r="B10" s="114"/>
      <c r="C10" s="112"/>
      <c r="D10" s="112"/>
      <c r="E10" s="112"/>
      <c r="F10" s="117"/>
    </row>
    <row r="11" spans="2:6" x14ac:dyDescent="0.25">
      <c r="B11" s="115" t="s">
        <v>101</v>
      </c>
      <c r="C11" s="112"/>
      <c r="D11" s="118" t="s">
        <v>102</v>
      </c>
      <c r="E11" s="112"/>
      <c r="F11" s="119" t="s">
        <v>103</v>
      </c>
    </row>
    <row r="12" spans="2:6" ht="15.75" thickBot="1" x14ac:dyDescent="0.3">
      <c r="B12" s="120" t="s">
        <v>104</v>
      </c>
      <c r="C12" s="121" t="s">
        <v>105</v>
      </c>
      <c r="D12" s="122" t="s">
        <v>106</v>
      </c>
      <c r="E12" s="122" t="s">
        <v>107</v>
      </c>
      <c r="F12" s="123" t="s">
        <v>108</v>
      </c>
    </row>
    <row r="13" spans="2:6" x14ac:dyDescent="0.25">
      <c r="B13" s="114"/>
      <c r="C13" s="112"/>
      <c r="D13" s="112"/>
      <c r="E13" s="112"/>
      <c r="F13" s="117"/>
    </row>
    <row r="14" spans="2:6" x14ac:dyDescent="0.25">
      <c r="B14" s="124">
        <v>1</v>
      </c>
      <c r="C14" s="125" t="s">
        <v>109</v>
      </c>
      <c r="D14" s="126">
        <v>0.51500000000000001</v>
      </c>
      <c r="E14" s="126">
        <v>5.8099999999999999E-2</v>
      </c>
      <c r="F14" s="127">
        <f>ROUND(D14*E14,4)</f>
        <v>2.9899999999999999E-2</v>
      </c>
    </row>
    <row r="15" spans="2:6" ht="15.75" thickBot="1" x14ac:dyDescent="0.3">
      <c r="B15" s="124">
        <v>2</v>
      </c>
      <c r="C15" s="125" t="s">
        <v>110</v>
      </c>
      <c r="D15" s="126">
        <v>0.48499999999999999</v>
      </c>
      <c r="E15" s="128">
        <v>9.5000000000000001E-2</v>
      </c>
      <c r="F15" s="127">
        <f>ROUND(D15*E15,4)</f>
        <v>4.6100000000000002E-2</v>
      </c>
    </row>
    <row r="16" spans="2:6" x14ac:dyDescent="0.25">
      <c r="B16" s="124">
        <v>3</v>
      </c>
      <c r="C16" s="125" t="s">
        <v>111</v>
      </c>
      <c r="D16" s="129">
        <v>1</v>
      </c>
      <c r="E16" s="130"/>
      <c r="F16" s="140">
        <f>SUM(F14:F15)</f>
        <v>7.5999999999999998E-2</v>
      </c>
    </row>
    <row r="17" spans="2:7" x14ac:dyDescent="0.25">
      <c r="B17" s="124">
        <v>4</v>
      </c>
      <c r="C17" s="112"/>
      <c r="D17" s="112"/>
      <c r="E17" s="112"/>
      <c r="F17" s="117"/>
    </row>
    <row r="18" spans="2:7" x14ac:dyDescent="0.25">
      <c r="B18" s="124">
        <v>5</v>
      </c>
      <c r="C18" s="125" t="s">
        <v>112</v>
      </c>
      <c r="D18" s="131">
        <v>0.51500000000000001</v>
      </c>
      <c r="E18" s="131">
        <f>E14*0.79</f>
        <v>4.5899000000000002E-2</v>
      </c>
      <c r="F18" s="132">
        <f>ROUND(D18*E18,4)</f>
        <v>2.3599999999999999E-2</v>
      </c>
      <c r="G18" s="133"/>
    </row>
    <row r="19" spans="2:7" ht="15.75" thickBot="1" x14ac:dyDescent="0.3">
      <c r="B19" s="124">
        <v>6</v>
      </c>
      <c r="C19" s="125" t="s">
        <v>110</v>
      </c>
      <c r="D19" s="131">
        <v>0.48499999999999999</v>
      </c>
      <c r="E19" s="134">
        <v>9.5000000000000001E-2</v>
      </c>
      <c r="F19" s="132">
        <f>ROUND(D19*E19,4)</f>
        <v>4.6100000000000002E-2</v>
      </c>
    </row>
    <row r="20" spans="2:7" x14ac:dyDescent="0.25">
      <c r="B20" s="124">
        <v>7</v>
      </c>
      <c r="C20" s="125" t="s">
        <v>113</v>
      </c>
      <c r="D20" s="135">
        <v>1</v>
      </c>
      <c r="E20" s="112"/>
      <c r="F20" s="136">
        <f>SUM(F18:F19)</f>
        <v>6.9699999999999998E-2</v>
      </c>
    </row>
    <row r="21" spans="2:7" ht="15.75" thickBot="1" x14ac:dyDescent="0.3">
      <c r="B21" s="137"/>
      <c r="C21" s="138"/>
      <c r="D21" s="138"/>
      <c r="E21" s="138"/>
      <c r="F21" s="139"/>
    </row>
  </sheetData>
  <mergeCells count="2">
    <mergeCell ref="B6:F6"/>
    <mergeCell ref="B7:F7"/>
  </mergeCells>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zoomScale="80" zoomScaleNormal="80" workbookViewId="0"/>
  </sheetViews>
  <sheetFormatPr defaultColWidth="9.140625" defaultRowHeight="15" x14ac:dyDescent="0.2"/>
  <cols>
    <col min="1" max="1" width="2.7109375" style="82" customWidth="1"/>
    <col min="2" max="2" width="5" style="82" customWidth="1"/>
    <col min="3" max="3" width="46.7109375" style="82" customWidth="1"/>
    <col min="4" max="4" width="2.7109375" style="82" customWidth="1"/>
    <col min="5" max="5" width="10.140625" style="82" bestFit="1" customWidth="1"/>
    <col min="6" max="22" width="12.28515625" style="82" customWidth="1"/>
    <col min="23" max="23" width="12.85546875" style="82" bestFit="1" customWidth="1"/>
    <col min="24" max="24" width="11" style="82" bestFit="1" customWidth="1"/>
    <col min="25" max="29" width="12.28515625" style="82" customWidth="1"/>
    <col min="30" max="16384" width="9.140625" style="82"/>
  </cols>
  <sheetData>
    <row r="2" spans="2:30" ht="19.5" customHeight="1" x14ac:dyDescent="0.25">
      <c r="C2" s="300" t="s">
        <v>0</v>
      </c>
      <c r="D2" s="300"/>
      <c r="E2" s="300"/>
      <c r="F2" s="300"/>
      <c r="G2" s="300"/>
      <c r="H2" s="300"/>
      <c r="I2" s="300"/>
      <c r="J2" s="300"/>
      <c r="K2" s="300"/>
      <c r="L2" s="300"/>
    </row>
    <row r="3" spans="2:30" ht="15.75" x14ac:dyDescent="0.25">
      <c r="C3" s="68" t="s">
        <v>60</v>
      </c>
    </row>
    <row r="4" spans="2:30" s="142" customFormat="1" ht="45" x14ac:dyDescent="0.2">
      <c r="B4" s="141"/>
      <c r="C4" s="178" t="s">
        <v>1</v>
      </c>
      <c r="D4" s="178"/>
      <c r="E4" s="178" t="s">
        <v>2</v>
      </c>
      <c r="F4" s="178" t="s">
        <v>3</v>
      </c>
      <c r="G4" s="178" t="s">
        <v>4</v>
      </c>
      <c r="H4" s="178" t="s">
        <v>5</v>
      </c>
      <c r="I4" s="178" t="s">
        <v>6</v>
      </c>
      <c r="J4" s="178" t="s">
        <v>7</v>
      </c>
      <c r="K4" s="178" t="s">
        <v>8</v>
      </c>
      <c r="L4" s="179" t="s">
        <v>15</v>
      </c>
      <c r="M4" s="179"/>
    </row>
    <row r="5" spans="2:30" x14ac:dyDescent="0.2">
      <c r="C5" s="181"/>
      <c r="D5" s="182"/>
      <c r="E5" s="183">
        <v>15</v>
      </c>
      <c r="F5" s="184">
        <v>0.16</v>
      </c>
      <c r="G5" s="185" t="s">
        <v>9</v>
      </c>
      <c r="H5" s="186">
        <f>'Electric EES CE Std Energy'!D23</f>
        <v>2.9272803769652217E-2</v>
      </c>
      <c r="I5" s="187">
        <f>'Electric EES CE Std Capacity'!I23</f>
        <v>5.245530660236775E-3</v>
      </c>
      <c r="J5" s="187">
        <f>H5+I5</f>
        <v>3.451833442988899E-2</v>
      </c>
      <c r="K5" s="188">
        <f>J5</f>
        <v>3.451833442988899E-2</v>
      </c>
      <c r="L5" s="189">
        <f>K5*1000</f>
        <v>34.518334429888988</v>
      </c>
      <c r="M5" s="172"/>
    </row>
    <row r="6" spans="2:30" x14ac:dyDescent="0.2">
      <c r="C6" s="180"/>
      <c r="D6" s="180"/>
      <c r="E6" s="145"/>
      <c r="F6" s="145"/>
      <c r="G6" s="145"/>
      <c r="H6" s="48"/>
      <c r="I6" s="147"/>
      <c r="J6" s="48"/>
      <c r="K6" s="147"/>
      <c r="L6" s="147">
        <f>L5*(1-M6)</f>
        <v>33.482784396992315</v>
      </c>
      <c r="M6" s="148">
        <v>0.03</v>
      </c>
      <c r="N6" s="149" t="s">
        <v>47</v>
      </c>
    </row>
    <row r="7" spans="2:30" x14ac:dyDescent="0.2">
      <c r="C7" s="150"/>
      <c r="D7" s="146"/>
      <c r="H7" s="64"/>
      <c r="I7" s="144"/>
      <c r="J7" s="64"/>
      <c r="K7" s="144"/>
      <c r="L7" s="144"/>
      <c r="M7" s="145"/>
    </row>
    <row r="8" spans="2:30" x14ac:dyDescent="0.2">
      <c r="C8" s="145"/>
      <c r="D8" s="145"/>
      <c r="E8" s="145"/>
      <c r="F8" s="145"/>
      <c r="G8" s="145"/>
      <c r="H8" s="151"/>
      <c r="I8" s="151"/>
      <c r="J8" s="151"/>
      <c r="K8" s="151"/>
      <c r="L8" s="151"/>
      <c r="M8" s="151"/>
      <c r="N8" s="151"/>
      <c r="O8" s="151"/>
      <c r="P8" s="151"/>
      <c r="Q8" s="151"/>
      <c r="R8" s="151"/>
      <c r="S8" s="151"/>
      <c r="T8" s="151"/>
      <c r="U8" s="152"/>
      <c r="V8" s="152"/>
      <c r="W8" s="246" t="s">
        <v>119</v>
      </c>
      <c r="X8" s="152"/>
      <c r="Y8" s="152"/>
      <c r="Z8" s="152"/>
      <c r="AA8" s="152"/>
      <c r="AB8" s="152"/>
    </row>
    <row r="9" spans="2:30" x14ac:dyDescent="0.2">
      <c r="C9" s="153" t="s">
        <v>10</v>
      </c>
      <c r="D9" s="153"/>
      <c r="E9" s="153"/>
      <c r="F9" s="154">
        <f>+L6</f>
        <v>33.482784396992315</v>
      </c>
      <c r="G9" s="154">
        <f t="shared" ref="G9:T9" si="0">F9</f>
        <v>33.482784396992315</v>
      </c>
      <c r="H9" s="154">
        <f t="shared" si="0"/>
        <v>33.482784396992315</v>
      </c>
      <c r="I9" s="154">
        <f t="shared" si="0"/>
        <v>33.482784396992315</v>
      </c>
      <c r="J9" s="154">
        <f t="shared" si="0"/>
        <v>33.482784396992315</v>
      </c>
      <c r="K9" s="154">
        <f t="shared" si="0"/>
        <v>33.482784396992315</v>
      </c>
      <c r="L9" s="154">
        <f t="shared" si="0"/>
        <v>33.482784396992315</v>
      </c>
      <c r="M9" s="154">
        <f t="shared" si="0"/>
        <v>33.482784396992315</v>
      </c>
      <c r="N9" s="154">
        <f t="shared" si="0"/>
        <v>33.482784396992315</v>
      </c>
      <c r="O9" s="154">
        <f t="shared" si="0"/>
        <v>33.482784396992315</v>
      </c>
      <c r="P9" s="154">
        <f t="shared" si="0"/>
        <v>33.482784396992315</v>
      </c>
      <c r="Q9" s="154">
        <f t="shared" si="0"/>
        <v>33.482784396992315</v>
      </c>
      <c r="R9" s="154">
        <f t="shared" si="0"/>
        <v>33.482784396992315</v>
      </c>
      <c r="S9" s="154">
        <f t="shared" si="0"/>
        <v>33.482784396992315</v>
      </c>
      <c r="T9" s="154">
        <f t="shared" si="0"/>
        <v>33.482784396992315</v>
      </c>
      <c r="U9" s="64"/>
      <c r="V9" s="64"/>
      <c r="W9" s="245">
        <f>NPV(Rate_of_Return,F9:T9)</f>
        <v>293.72987415576728</v>
      </c>
      <c r="X9" s="245">
        <f>-PMT(Rate_of_Return,15,W9)</f>
        <v>33.482784396992294</v>
      </c>
      <c r="Y9" s="64"/>
      <c r="Z9" s="64"/>
      <c r="AA9" s="64"/>
    </row>
    <row r="10" spans="2:30" x14ac:dyDescent="0.2">
      <c r="C10" s="145"/>
      <c r="D10" s="145"/>
      <c r="E10" s="145"/>
      <c r="F10" s="155"/>
      <c r="G10" s="155"/>
      <c r="H10" s="155"/>
      <c r="I10" s="155"/>
      <c r="J10" s="155"/>
      <c r="K10" s="155"/>
      <c r="L10" s="155"/>
      <c r="M10" s="155"/>
      <c r="N10" s="155"/>
      <c r="O10" s="155"/>
      <c r="P10" s="155"/>
      <c r="Q10" s="155"/>
      <c r="R10" s="155"/>
      <c r="S10" s="155"/>
      <c r="T10" s="155"/>
      <c r="U10" s="64"/>
      <c r="V10" s="64"/>
      <c r="W10" s="48"/>
      <c r="X10" s="48"/>
      <c r="Y10" s="64"/>
      <c r="Z10" s="64"/>
      <c r="AA10" s="64"/>
    </row>
    <row r="11" spans="2:30" x14ac:dyDescent="0.2">
      <c r="C11" s="82" t="s">
        <v>88</v>
      </c>
      <c r="F11" s="48"/>
      <c r="G11" s="48"/>
      <c r="H11" s="48"/>
      <c r="I11" s="48"/>
      <c r="J11" s="48"/>
      <c r="K11" s="48"/>
      <c r="L11" s="48"/>
      <c r="M11" s="48"/>
      <c r="N11" s="48"/>
      <c r="O11" s="48"/>
      <c r="P11" s="48"/>
      <c r="Q11" s="48"/>
      <c r="R11" s="48"/>
      <c r="S11" s="48"/>
      <c r="T11" s="48"/>
      <c r="U11" s="64"/>
      <c r="V11" s="64"/>
      <c r="W11" s="64"/>
      <c r="X11" s="64"/>
      <c r="Y11" s="64"/>
      <c r="Z11" s="64"/>
      <c r="AA11" s="64"/>
    </row>
    <row r="12" spans="2:30" x14ac:dyDescent="0.2">
      <c r="C12" s="145"/>
      <c r="D12" s="143"/>
      <c r="E12" s="145"/>
      <c r="F12" s="156">
        <v>2019</v>
      </c>
      <c r="G12" s="156">
        <v>2020</v>
      </c>
      <c r="H12" s="156">
        <v>2021</v>
      </c>
      <c r="I12" s="156">
        <v>2022</v>
      </c>
      <c r="J12" s="156">
        <v>2023</v>
      </c>
      <c r="K12" s="156">
        <v>2024</v>
      </c>
      <c r="L12" s="156">
        <v>2025</v>
      </c>
      <c r="M12" s="156">
        <v>2026</v>
      </c>
      <c r="N12" s="156">
        <v>2027</v>
      </c>
      <c r="O12" s="156">
        <v>2028</v>
      </c>
      <c r="P12" s="156">
        <v>2029</v>
      </c>
      <c r="Q12" s="156">
        <v>2030</v>
      </c>
      <c r="R12" s="156">
        <v>2031</v>
      </c>
      <c r="S12" s="156">
        <v>2032</v>
      </c>
      <c r="T12" s="156">
        <v>2033</v>
      </c>
      <c r="U12" s="156">
        <v>2034</v>
      </c>
      <c r="V12" s="298"/>
      <c r="W12" s="246" t="s">
        <v>119</v>
      </c>
      <c r="X12" s="48"/>
      <c r="Y12" s="152"/>
      <c r="Z12" s="152"/>
      <c r="AA12" s="152"/>
    </row>
    <row r="13" spans="2:30" ht="52.9" customHeight="1" x14ac:dyDescent="0.2">
      <c r="B13" s="145"/>
      <c r="C13" s="158" t="s">
        <v>87</v>
      </c>
      <c r="D13" s="145"/>
      <c r="F13" s="194">
        <f t="shared" ref="F13:T13" si="1">F$9*F$20</f>
        <v>28.958272839431853</v>
      </c>
      <c r="G13" s="195">
        <f t="shared" si="1"/>
        <v>29.682229660417651</v>
      </c>
      <c r="H13" s="196">
        <f t="shared" si="1"/>
        <v>30.424285401928088</v>
      </c>
      <c r="I13" s="196">
        <f t="shared" si="1"/>
        <v>31.184892536976285</v>
      </c>
      <c r="J13" s="196">
        <f t="shared" si="1"/>
        <v>31.96451485040069</v>
      </c>
      <c r="K13" s="196">
        <f t="shared" si="1"/>
        <v>32.763627721660704</v>
      </c>
      <c r="L13" s="196">
        <f t="shared" si="1"/>
        <v>33.582718414702214</v>
      </c>
      <c r="M13" s="196">
        <f t="shared" si="1"/>
        <v>34.422286375069774</v>
      </c>
      <c r="N13" s="196">
        <f t="shared" si="1"/>
        <v>35.282843534446513</v>
      </c>
      <c r="O13" s="196">
        <f t="shared" si="1"/>
        <v>36.164914622807672</v>
      </c>
      <c r="P13" s="196">
        <f t="shared" si="1"/>
        <v>37.069037488377859</v>
      </c>
      <c r="Q13" s="196">
        <f t="shared" si="1"/>
        <v>37.995763425587299</v>
      </c>
      <c r="R13" s="196">
        <f t="shared" si="1"/>
        <v>38.945657511226983</v>
      </c>
      <c r="S13" s="196">
        <f t="shared" si="1"/>
        <v>39.919298949007647</v>
      </c>
      <c r="T13" s="196">
        <f t="shared" si="1"/>
        <v>40.917281422732835</v>
      </c>
      <c r="U13" s="297">
        <f>T13*1.025</f>
        <v>41.940213458301152</v>
      </c>
      <c r="V13" s="159"/>
      <c r="W13" s="245">
        <f>NPV(Rate_of_Return,F13:T13)</f>
        <v>293.72987415576739</v>
      </c>
      <c r="X13" s="245">
        <f>-PMT(Rate_of_Return,15,W13)</f>
        <v>33.482784396992308</v>
      </c>
      <c r="Y13" s="159"/>
      <c r="Z13" s="159"/>
      <c r="AA13" s="159"/>
      <c r="AD13" s="160"/>
    </row>
    <row r="14" spans="2:30" x14ac:dyDescent="0.2">
      <c r="C14" s="157"/>
      <c r="E14" s="161"/>
      <c r="F14" s="159"/>
      <c r="G14" s="159"/>
      <c r="H14" s="159"/>
      <c r="I14" s="159"/>
      <c r="J14" s="159"/>
      <c r="K14" s="159"/>
      <c r="L14" s="159"/>
      <c r="M14" s="159"/>
      <c r="N14" s="159"/>
      <c r="O14" s="159"/>
      <c r="P14" s="159"/>
      <c r="Q14" s="159"/>
      <c r="R14" s="159"/>
      <c r="S14" s="159"/>
      <c r="T14" s="159"/>
      <c r="U14" s="159"/>
      <c r="V14" s="159"/>
      <c r="W14" s="152"/>
      <c r="X14" s="152"/>
      <c r="Y14" s="152"/>
      <c r="Z14" s="152"/>
      <c r="AA14" s="152"/>
      <c r="AB14" s="152"/>
    </row>
    <row r="15" spans="2:30" x14ac:dyDescent="0.2">
      <c r="C15" s="162"/>
      <c r="E15" s="161"/>
      <c r="F15" s="159"/>
      <c r="G15" s="159"/>
      <c r="H15" s="159"/>
      <c r="I15" s="159"/>
      <c r="J15" s="159"/>
      <c r="K15" s="159"/>
      <c r="L15" s="159"/>
      <c r="M15" s="159"/>
      <c r="N15" s="159"/>
      <c r="O15" s="159"/>
      <c r="P15" s="159"/>
      <c r="Q15" s="159"/>
      <c r="R15" s="159"/>
      <c r="S15" s="159"/>
      <c r="T15" s="159"/>
      <c r="U15" s="159"/>
      <c r="V15" s="159"/>
      <c r="W15" s="152"/>
      <c r="X15" s="152"/>
      <c r="Y15" s="152"/>
      <c r="Z15" s="152"/>
      <c r="AA15" s="152"/>
      <c r="AB15" s="152"/>
    </row>
    <row r="16" spans="2:30" x14ac:dyDescent="0.2">
      <c r="C16" s="82" t="s">
        <v>11</v>
      </c>
      <c r="Q16" s="152"/>
      <c r="R16" s="152"/>
    </row>
    <row r="17" spans="2:27" x14ac:dyDescent="0.2">
      <c r="Q17" s="152"/>
      <c r="R17" s="152"/>
    </row>
    <row r="18" spans="2:27" x14ac:dyDescent="0.2">
      <c r="C18" s="145"/>
      <c r="D18" s="145"/>
      <c r="E18" s="145"/>
      <c r="F18" s="145"/>
      <c r="G18" s="145"/>
      <c r="H18" s="145"/>
      <c r="I18" s="145"/>
      <c r="J18" s="145"/>
      <c r="K18" s="145"/>
      <c r="L18" s="145"/>
      <c r="M18" s="145"/>
      <c r="N18" s="145"/>
      <c r="O18" s="145"/>
      <c r="P18" s="145"/>
      <c r="Q18" s="151"/>
      <c r="R18" s="151"/>
      <c r="S18" s="145"/>
      <c r="T18" s="145"/>
      <c r="W18" s="246" t="s">
        <v>119</v>
      </c>
      <c r="X18" s="145"/>
    </row>
    <row r="19" spans="2:27" x14ac:dyDescent="0.2">
      <c r="C19" s="153" t="s">
        <v>12</v>
      </c>
      <c r="D19" s="153"/>
      <c r="E19" s="153"/>
      <c r="F19" s="173">
        <v>100</v>
      </c>
      <c r="G19" s="173">
        <f t="shared" ref="G19:T19" si="2">F19*1.025</f>
        <v>102.49999999999999</v>
      </c>
      <c r="H19" s="173">
        <f t="shared" si="2"/>
        <v>105.06249999999997</v>
      </c>
      <c r="I19" s="173">
        <f t="shared" si="2"/>
        <v>107.68906249999996</v>
      </c>
      <c r="J19" s="173">
        <f t="shared" si="2"/>
        <v>110.38128906249996</v>
      </c>
      <c r="K19" s="173">
        <f t="shared" si="2"/>
        <v>113.14082128906244</v>
      </c>
      <c r="L19" s="173">
        <f>K19*1.025</f>
        <v>115.96934182128899</v>
      </c>
      <c r="M19" s="173">
        <f t="shared" si="2"/>
        <v>118.8685753668212</v>
      </c>
      <c r="N19" s="173">
        <f t="shared" si="2"/>
        <v>121.84028975099173</v>
      </c>
      <c r="O19" s="173">
        <f t="shared" si="2"/>
        <v>124.88629699476651</v>
      </c>
      <c r="P19" s="173">
        <f t="shared" si="2"/>
        <v>128.00845441963565</v>
      </c>
      <c r="Q19" s="173">
        <f t="shared" si="2"/>
        <v>131.20866578012652</v>
      </c>
      <c r="R19" s="173">
        <f t="shared" si="2"/>
        <v>134.48888242462968</v>
      </c>
      <c r="S19" s="173">
        <f t="shared" si="2"/>
        <v>137.8511044852454</v>
      </c>
      <c r="T19" s="173">
        <f t="shared" si="2"/>
        <v>141.29738209737653</v>
      </c>
      <c r="U19" s="163"/>
      <c r="V19" s="163"/>
      <c r="W19" s="198">
        <f>NPV(Rate_of_Return,F19:T19)</f>
        <v>1014.3211088052249</v>
      </c>
      <c r="X19" s="198">
        <f>-PMT(Rate_of_Return,15,W19)</f>
        <v>115.62424521188822</v>
      </c>
      <c r="Y19" s="152"/>
      <c r="Z19" s="152"/>
      <c r="AA19" s="152"/>
    </row>
    <row r="20" spans="2:27" x14ac:dyDescent="0.2">
      <c r="C20" s="176" t="s">
        <v>13</v>
      </c>
      <c r="D20" s="176"/>
      <c r="E20" s="176"/>
      <c r="F20" s="177">
        <f>F19/$X$19</f>
        <v>0.86487051065063492</v>
      </c>
      <c r="G20" s="177">
        <f t="shared" ref="G20:T20" si="3">G19/$X$19</f>
        <v>0.88649227341690073</v>
      </c>
      <c r="H20" s="177">
        <f t="shared" si="3"/>
        <v>0.90865458025232315</v>
      </c>
      <c r="I20" s="177">
        <f t="shared" si="3"/>
        <v>0.93137094475863114</v>
      </c>
      <c r="J20" s="177">
        <f t="shared" si="3"/>
        <v>0.95465521837759681</v>
      </c>
      <c r="K20" s="177">
        <f t="shared" si="3"/>
        <v>0.97852159883703671</v>
      </c>
      <c r="L20" s="177">
        <f t="shared" si="3"/>
        <v>1.0029846388079624</v>
      </c>
      <c r="M20" s="177">
        <f t="shared" si="3"/>
        <v>1.0280592547781615</v>
      </c>
      <c r="N20" s="177">
        <f t="shared" si="3"/>
        <v>1.0537607361476153</v>
      </c>
      <c r="O20" s="177">
        <f t="shared" si="3"/>
        <v>1.0801047545513056</v>
      </c>
      <c r="P20" s="177">
        <f t="shared" si="3"/>
        <v>1.1071073734150882</v>
      </c>
      <c r="Q20" s="177">
        <f t="shared" si="3"/>
        <v>1.1347850577504652</v>
      </c>
      <c r="R20" s="177">
        <f t="shared" si="3"/>
        <v>1.1631546841942269</v>
      </c>
      <c r="S20" s="177">
        <f t="shared" si="3"/>
        <v>1.1922335512990823</v>
      </c>
      <c r="T20" s="177">
        <f t="shared" si="3"/>
        <v>1.2220393900815592</v>
      </c>
      <c r="U20" s="164"/>
      <c r="V20" s="164"/>
      <c r="W20" s="197">
        <f>NPV(Rate_of_Return,F20:T20)</f>
        <v>8.7725641533609284</v>
      </c>
      <c r="X20" s="197">
        <f>-PMT(Rate_of_Return,15,W20)</f>
        <v>0.99999999999999967</v>
      </c>
      <c r="Y20" s="152"/>
      <c r="Z20" s="152"/>
      <c r="AA20" s="152"/>
    </row>
    <row r="21" spans="2:27" x14ac:dyDescent="0.2">
      <c r="C21" s="145"/>
      <c r="D21" s="145"/>
      <c r="E21" s="174"/>
      <c r="F21" s="174"/>
      <c r="G21" s="174"/>
      <c r="H21" s="174"/>
      <c r="I21" s="174"/>
      <c r="J21" s="174"/>
      <c r="K21" s="174"/>
      <c r="L21" s="174"/>
      <c r="M21" s="175"/>
      <c r="N21" s="175"/>
      <c r="O21" s="175"/>
      <c r="P21" s="175"/>
      <c r="Q21" s="175"/>
      <c r="R21" s="175"/>
      <c r="S21" s="175"/>
      <c r="T21" s="175"/>
      <c r="W21" s="145"/>
      <c r="X21" s="145"/>
    </row>
    <row r="22" spans="2:27" x14ac:dyDescent="0.2">
      <c r="B22" s="165" t="s">
        <v>14</v>
      </c>
      <c r="C22" s="166"/>
      <c r="D22" s="167"/>
      <c r="E22" s="167"/>
      <c r="F22" s="167"/>
      <c r="G22" s="167"/>
      <c r="H22" s="167"/>
      <c r="I22" s="167"/>
      <c r="J22" s="167"/>
      <c r="K22" s="167"/>
      <c r="L22" s="167"/>
      <c r="M22" s="167"/>
      <c r="N22" s="167"/>
      <c r="O22" s="167"/>
      <c r="Y22" s="162"/>
    </row>
    <row r="23" spans="2:27" x14ac:dyDescent="0.2">
      <c r="B23" s="168">
        <v>1</v>
      </c>
      <c r="C23" s="167" t="s">
        <v>65</v>
      </c>
      <c r="D23" s="167"/>
      <c r="E23" s="167"/>
      <c r="F23" s="167"/>
      <c r="G23" s="167"/>
      <c r="H23" s="167"/>
      <c r="I23" s="167"/>
      <c r="J23" s="167"/>
      <c r="K23" s="167"/>
      <c r="L23" s="167"/>
      <c r="M23" s="167"/>
      <c r="N23" s="167"/>
      <c r="O23" s="167"/>
      <c r="Y23" s="157"/>
    </row>
    <row r="24" spans="2:27" x14ac:dyDescent="0.2">
      <c r="B24" s="168">
        <v>2</v>
      </c>
      <c r="C24" s="167" t="s">
        <v>128</v>
      </c>
      <c r="D24" s="167"/>
      <c r="E24" s="167"/>
      <c r="F24" s="167"/>
      <c r="G24" s="167"/>
      <c r="H24" s="167"/>
      <c r="I24" s="167"/>
      <c r="J24" s="167"/>
      <c r="K24" s="167"/>
      <c r="L24" s="167"/>
      <c r="M24" s="167"/>
      <c r="N24" s="167"/>
      <c r="O24" s="167"/>
      <c r="Y24" s="159"/>
    </row>
    <row r="25" spans="2:27" x14ac:dyDescent="0.2">
      <c r="B25" s="168">
        <v>3</v>
      </c>
      <c r="C25" s="167" t="s">
        <v>62</v>
      </c>
      <c r="D25" s="167"/>
      <c r="E25" s="167"/>
      <c r="F25" s="167"/>
      <c r="G25" s="167"/>
      <c r="H25" s="167"/>
      <c r="I25" s="167"/>
      <c r="J25" s="167"/>
      <c r="K25" s="167"/>
      <c r="L25" s="167"/>
      <c r="M25" s="167"/>
      <c r="N25" s="167"/>
      <c r="O25" s="167"/>
      <c r="Y25" s="169"/>
    </row>
    <row r="26" spans="2:27" x14ac:dyDescent="0.2">
      <c r="B26" s="168">
        <v>4</v>
      </c>
      <c r="C26" s="167" t="s">
        <v>79</v>
      </c>
      <c r="D26" s="167"/>
      <c r="E26" s="167"/>
      <c r="F26" s="167"/>
      <c r="G26" s="167"/>
      <c r="H26" s="167"/>
      <c r="I26" s="167"/>
      <c r="J26" s="167"/>
      <c r="K26" s="167"/>
      <c r="L26" s="167"/>
      <c r="M26" s="167"/>
      <c r="N26" s="167"/>
      <c r="O26" s="167"/>
      <c r="Y26" s="169"/>
    </row>
    <row r="27" spans="2:27" x14ac:dyDescent="0.2">
      <c r="B27" s="168">
        <v>5</v>
      </c>
      <c r="C27" s="167" t="s">
        <v>63</v>
      </c>
      <c r="D27" s="167"/>
      <c r="E27" s="167"/>
      <c r="F27" s="167"/>
      <c r="G27" s="167"/>
      <c r="H27" s="167"/>
      <c r="I27" s="167"/>
      <c r="J27" s="167"/>
      <c r="K27" s="167"/>
      <c r="L27" s="167"/>
      <c r="M27" s="167"/>
      <c r="N27" s="167"/>
      <c r="O27" s="167"/>
      <c r="Y27" s="157"/>
    </row>
    <row r="28" spans="2:27" x14ac:dyDescent="0.2">
      <c r="B28" s="168">
        <v>6</v>
      </c>
      <c r="C28" s="167" t="s">
        <v>76</v>
      </c>
      <c r="D28" s="167"/>
      <c r="E28" s="167"/>
      <c r="F28" s="167"/>
      <c r="G28" s="167"/>
      <c r="H28" s="167"/>
      <c r="I28" s="167"/>
      <c r="J28" s="167"/>
      <c r="K28" s="167"/>
      <c r="L28" s="167"/>
      <c r="M28" s="167"/>
      <c r="N28" s="167"/>
      <c r="O28" s="167"/>
      <c r="Y28" s="159"/>
    </row>
    <row r="29" spans="2:27" x14ac:dyDescent="0.2">
      <c r="B29" s="168">
        <v>7</v>
      </c>
      <c r="C29" s="167" t="s">
        <v>77</v>
      </c>
      <c r="D29" s="167"/>
      <c r="E29" s="167"/>
      <c r="F29" s="167"/>
      <c r="G29" s="167"/>
      <c r="H29" s="167"/>
      <c r="I29" s="167"/>
      <c r="J29" s="167"/>
      <c r="K29" s="167"/>
      <c r="L29" s="167"/>
      <c r="M29" s="167"/>
      <c r="N29" s="167"/>
      <c r="O29" s="167"/>
      <c r="P29" s="167"/>
      <c r="Q29" s="167"/>
    </row>
    <row r="30" spans="2:27" x14ac:dyDescent="0.2">
      <c r="B30" s="168">
        <v>8</v>
      </c>
      <c r="C30" s="167" t="s">
        <v>78</v>
      </c>
      <c r="D30" s="167"/>
      <c r="E30" s="167"/>
      <c r="F30" s="167"/>
      <c r="G30" s="167"/>
      <c r="H30" s="167"/>
      <c r="I30" s="167"/>
      <c r="J30" s="167"/>
      <c r="K30" s="167"/>
      <c r="L30" s="167"/>
      <c r="M30" s="167"/>
      <c r="N30" s="167"/>
      <c r="O30" s="167"/>
      <c r="P30" s="167"/>
      <c r="Q30" s="167"/>
    </row>
    <row r="31" spans="2:27" x14ac:dyDescent="0.2">
      <c r="B31" s="168">
        <v>9</v>
      </c>
      <c r="C31" s="167" t="s">
        <v>80</v>
      </c>
      <c r="D31" s="167"/>
      <c r="E31" s="167"/>
      <c r="F31" s="167"/>
      <c r="G31" s="167"/>
      <c r="H31" s="167"/>
      <c r="I31" s="167"/>
      <c r="J31" s="167"/>
      <c r="K31" s="167"/>
      <c r="L31" s="167"/>
      <c r="M31" s="167"/>
      <c r="N31" s="167"/>
      <c r="O31" s="167"/>
      <c r="P31" s="167"/>
      <c r="Q31" s="167"/>
    </row>
    <row r="32" spans="2:27" x14ac:dyDescent="0.2">
      <c r="B32" s="168">
        <v>10</v>
      </c>
      <c r="C32" s="82" t="s">
        <v>64</v>
      </c>
    </row>
    <row r="33" spans="2:20" x14ac:dyDescent="0.2">
      <c r="B33" s="168">
        <v>11</v>
      </c>
      <c r="C33" s="82" t="s">
        <v>126</v>
      </c>
    </row>
    <row r="34" spans="2:20" ht="15.75" x14ac:dyDescent="0.25">
      <c r="B34" s="170"/>
      <c r="C34" s="5"/>
      <c r="D34" s="5"/>
      <c r="E34" s="5"/>
      <c r="F34" s="5"/>
    </row>
    <row r="35" spans="2:20" ht="15.75" x14ac:dyDescent="0.25">
      <c r="B35" s="170"/>
      <c r="C35" s="299"/>
      <c r="D35" s="5"/>
      <c r="E35" s="5"/>
      <c r="F35" s="5"/>
    </row>
    <row r="37" spans="2:20" x14ac:dyDescent="0.2">
      <c r="F37" s="152"/>
      <c r="G37" s="171"/>
      <c r="H37" s="171"/>
      <c r="I37" s="171"/>
      <c r="J37" s="171"/>
      <c r="K37" s="171"/>
      <c r="L37" s="171"/>
      <c r="M37" s="171"/>
      <c r="N37" s="171"/>
      <c r="O37" s="171"/>
      <c r="P37" s="171"/>
      <c r="Q37" s="171"/>
      <c r="R37" s="171"/>
      <c r="S37" s="171"/>
      <c r="T37" s="171"/>
    </row>
    <row r="38" spans="2:20" x14ac:dyDescent="0.2">
      <c r="G38" s="171"/>
      <c r="H38" s="171"/>
      <c r="I38" s="171"/>
      <c r="J38" s="171"/>
      <c r="K38" s="171"/>
      <c r="L38" s="171"/>
      <c r="M38" s="171"/>
      <c r="N38" s="171"/>
      <c r="O38" s="171"/>
      <c r="P38" s="171"/>
      <c r="Q38" s="171"/>
      <c r="R38" s="171"/>
      <c r="S38" s="171"/>
      <c r="T38" s="171"/>
    </row>
    <row r="39" spans="2:20" x14ac:dyDescent="0.2">
      <c r="F39" s="152"/>
      <c r="G39" s="152"/>
      <c r="H39" s="152"/>
      <c r="I39" s="152"/>
      <c r="J39" s="152"/>
      <c r="K39" s="152"/>
      <c r="L39" s="152"/>
      <c r="M39" s="152"/>
      <c r="N39" s="152"/>
      <c r="O39" s="152"/>
      <c r="P39" s="152"/>
      <c r="Q39" s="152"/>
      <c r="R39" s="152"/>
      <c r="S39" s="152"/>
      <c r="T39" s="152"/>
    </row>
    <row r="40" spans="2:20" x14ac:dyDescent="0.2">
      <c r="D40" s="163"/>
    </row>
  </sheetData>
  <mergeCells count="1">
    <mergeCell ref="C2:L2"/>
  </mergeCells>
  <dataValidations count="3">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1"/>
  <headerFooter alignWithMargins="0">
    <oddFooter>&amp;L&amp;F&amp;C&amp;A&amp;RPSE Advice No. 2018-48 &amp;D
Page &amp;P of &amp;N</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zoomScale="80" zoomScaleNormal="80" workbookViewId="0"/>
  </sheetViews>
  <sheetFormatPr defaultColWidth="9.140625" defaultRowHeight="15" x14ac:dyDescent="0.2"/>
  <cols>
    <col min="1" max="1" width="2.7109375" style="82" customWidth="1"/>
    <col min="2" max="2" width="5" style="82" customWidth="1"/>
    <col min="3" max="3" width="46.7109375" style="82" customWidth="1"/>
    <col min="4" max="4" width="2.7109375" style="82" customWidth="1"/>
    <col min="5" max="5" width="10.140625" style="82" bestFit="1" customWidth="1"/>
    <col min="6" max="22" width="12.28515625" style="82" customWidth="1"/>
    <col min="23" max="23" width="12.85546875" style="82" bestFit="1" customWidth="1"/>
    <col min="24" max="24" width="11" style="82" bestFit="1" customWidth="1"/>
    <col min="25" max="29" width="12.28515625" style="82" customWidth="1"/>
    <col min="30" max="16384" width="9.140625" style="82"/>
  </cols>
  <sheetData>
    <row r="2" spans="2:30" ht="19.5" customHeight="1" x14ac:dyDescent="0.25">
      <c r="C2" s="300" t="s">
        <v>0</v>
      </c>
      <c r="D2" s="300"/>
      <c r="E2" s="300"/>
      <c r="F2" s="300"/>
      <c r="G2" s="300"/>
      <c r="H2" s="300"/>
      <c r="I2" s="300"/>
      <c r="J2" s="300"/>
      <c r="K2" s="300"/>
      <c r="L2" s="300"/>
    </row>
    <row r="3" spans="2:30" ht="15.75" x14ac:dyDescent="0.25">
      <c r="C3" s="68" t="s">
        <v>61</v>
      </c>
    </row>
    <row r="4" spans="2:30" s="142" customFormat="1" ht="45" x14ac:dyDescent="0.2">
      <c r="B4" s="141"/>
      <c r="C4" s="178" t="s">
        <v>1</v>
      </c>
      <c r="D4" s="178"/>
      <c r="E4" s="178" t="s">
        <v>2</v>
      </c>
      <c r="F4" s="178" t="s">
        <v>3</v>
      </c>
      <c r="G4" s="178" t="s">
        <v>4</v>
      </c>
      <c r="H4" s="178" t="s">
        <v>5</v>
      </c>
      <c r="I4" s="178" t="s">
        <v>6</v>
      </c>
      <c r="J4" s="178" t="s">
        <v>7</v>
      </c>
      <c r="K4" s="178" t="s">
        <v>8</v>
      </c>
      <c r="L4" s="179" t="s">
        <v>15</v>
      </c>
      <c r="M4" s="179"/>
    </row>
    <row r="5" spans="2:30" x14ac:dyDescent="0.2">
      <c r="C5" s="181"/>
      <c r="D5" s="182"/>
      <c r="E5" s="183">
        <v>15</v>
      </c>
      <c r="F5" s="184">
        <v>0.02</v>
      </c>
      <c r="G5" s="185" t="s">
        <v>9</v>
      </c>
      <c r="H5" s="186">
        <f>'Electric EES CE Std Energy'!D23</f>
        <v>2.9272803769652217E-2</v>
      </c>
      <c r="I5" s="187">
        <f>'Electric EES CE Std Capacity'!M23</f>
        <v>4.4076629723260362E-3</v>
      </c>
      <c r="J5" s="187">
        <f>H5+I5</f>
        <v>3.3680466741978256E-2</v>
      </c>
      <c r="K5" s="188">
        <f>J5</f>
        <v>3.3680466741978256E-2</v>
      </c>
      <c r="L5" s="189">
        <f>K5*1000</f>
        <v>33.680466741978258</v>
      </c>
      <c r="M5" s="172"/>
    </row>
    <row r="6" spans="2:30" x14ac:dyDescent="0.2">
      <c r="C6" s="180"/>
      <c r="D6" s="180"/>
      <c r="E6" s="145"/>
      <c r="F6" s="145"/>
      <c r="G6" s="145"/>
      <c r="H6" s="48"/>
      <c r="I6" s="147"/>
      <c r="J6" s="48"/>
      <c r="K6" s="147"/>
      <c r="L6" s="147">
        <f>L5*(1-M6)</f>
        <v>32.670052739718912</v>
      </c>
      <c r="M6" s="148">
        <v>0.03</v>
      </c>
      <c r="N6" s="149" t="s">
        <v>47</v>
      </c>
    </row>
    <row r="7" spans="2:30" x14ac:dyDescent="0.2">
      <c r="C7" s="150"/>
      <c r="D7" s="146"/>
      <c r="H7" s="64"/>
      <c r="I7" s="144"/>
      <c r="J7" s="64"/>
      <c r="K7" s="144"/>
      <c r="L7" s="144"/>
      <c r="M7" s="145"/>
    </row>
    <row r="8" spans="2:30" x14ac:dyDescent="0.2">
      <c r="C8" s="145"/>
      <c r="D8" s="145"/>
      <c r="E8" s="145"/>
      <c r="F8" s="145"/>
      <c r="G8" s="145"/>
      <c r="H8" s="151"/>
      <c r="I8" s="151"/>
      <c r="J8" s="151"/>
      <c r="K8" s="151"/>
      <c r="L8" s="151"/>
      <c r="M8" s="151"/>
      <c r="N8" s="151"/>
      <c r="O8" s="151"/>
      <c r="P8" s="151"/>
      <c r="Q8" s="151"/>
      <c r="R8" s="151"/>
      <c r="S8" s="151"/>
      <c r="T8" s="151"/>
      <c r="U8" s="152"/>
      <c r="V8" s="152"/>
      <c r="W8" s="246" t="s">
        <v>119</v>
      </c>
      <c r="X8" s="152"/>
      <c r="Y8" s="152"/>
      <c r="Z8" s="152"/>
    </row>
    <row r="9" spans="2:30" x14ac:dyDescent="0.2">
      <c r="C9" s="153" t="s">
        <v>10</v>
      </c>
      <c r="D9" s="153"/>
      <c r="E9" s="153"/>
      <c r="F9" s="154">
        <f>+L6</f>
        <v>32.670052739718912</v>
      </c>
      <c r="G9" s="154">
        <f t="shared" ref="G9:T9" si="0">F9</f>
        <v>32.670052739718912</v>
      </c>
      <c r="H9" s="154">
        <f t="shared" si="0"/>
        <v>32.670052739718912</v>
      </c>
      <c r="I9" s="154">
        <f t="shared" si="0"/>
        <v>32.670052739718912</v>
      </c>
      <c r="J9" s="154">
        <f t="shared" si="0"/>
        <v>32.670052739718912</v>
      </c>
      <c r="K9" s="154">
        <f t="shared" si="0"/>
        <v>32.670052739718912</v>
      </c>
      <c r="L9" s="154">
        <f t="shared" si="0"/>
        <v>32.670052739718912</v>
      </c>
      <c r="M9" s="154">
        <f t="shared" si="0"/>
        <v>32.670052739718912</v>
      </c>
      <c r="N9" s="154">
        <f t="shared" si="0"/>
        <v>32.670052739718912</v>
      </c>
      <c r="O9" s="154">
        <f t="shared" si="0"/>
        <v>32.670052739718912</v>
      </c>
      <c r="P9" s="154">
        <f t="shared" si="0"/>
        <v>32.670052739718912</v>
      </c>
      <c r="Q9" s="154">
        <f t="shared" si="0"/>
        <v>32.670052739718912</v>
      </c>
      <c r="R9" s="154">
        <f t="shared" si="0"/>
        <v>32.670052739718912</v>
      </c>
      <c r="S9" s="154">
        <f t="shared" si="0"/>
        <v>32.670052739718912</v>
      </c>
      <c r="T9" s="154">
        <f t="shared" si="0"/>
        <v>32.670052739718912</v>
      </c>
      <c r="U9" s="64"/>
      <c r="V9" s="64"/>
      <c r="W9" s="245">
        <f>NPV(Rate_of_Return,F9:T9)</f>
        <v>286.60013355286907</v>
      </c>
      <c r="X9" s="245">
        <f>-PMT(Rate_of_Return,15,W9)</f>
        <v>32.670052739718898</v>
      </c>
      <c r="Y9" s="64"/>
      <c r="Z9" s="64"/>
    </row>
    <row r="10" spans="2:30" x14ac:dyDescent="0.2">
      <c r="C10" s="145"/>
      <c r="D10" s="145"/>
      <c r="E10" s="145"/>
      <c r="F10" s="155"/>
      <c r="G10" s="155"/>
      <c r="H10" s="155"/>
      <c r="I10" s="155"/>
      <c r="J10" s="155"/>
      <c r="K10" s="155"/>
      <c r="L10" s="155"/>
      <c r="M10" s="155"/>
      <c r="N10" s="155"/>
      <c r="O10" s="155"/>
      <c r="P10" s="155"/>
      <c r="Q10" s="155"/>
      <c r="R10" s="155"/>
      <c r="S10" s="155"/>
      <c r="T10" s="155"/>
      <c r="U10" s="64"/>
      <c r="V10" s="64"/>
      <c r="W10" s="48"/>
      <c r="X10" s="48"/>
      <c r="Y10" s="64"/>
      <c r="Z10" s="64"/>
    </row>
    <row r="11" spans="2:30" x14ac:dyDescent="0.2">
      <c r="C11" s="82" t="s">
        <v>88</v>
      </c>
      <c r="F11" s="48"/>
      <c r="G11" s="48"/>
      <c r="H11" s="48"/>
      <c r="I11" s="48"/>
      <c r="J11" s="48"/>
      <c r="K11" s="48"/>
      <c r="L11" s="48"/>
      <c r="M11" s="48"/>
      <c r="N11" s="48"/>
      <c r="O11" s="48"/>
      <c r="P11" s="48"/>
      <c r="Q11" s="48"/>
      <c r="R11" s="48"/>
      <c r="S11" s="48"/>
      <c r="T11" s="48"/>
      <c r="U11" s="64"/>
      <c r="V11" s="64"/>
      <c r="W11" s="64"/>
      <c r="X11" s="64"/>
      <c r="Y11" s="64"/>
      <c r="Z11" s="64"/>
    </row>
    <row r="12" spans="2:30" x14ac:dyDescent="0.2">
      <c r="C12" s="145"/>
      <c r="D12" s="143"/>
      <c r="E12" s="145"/>
      <c r="F12" s="156">
        <v>2019</v>
      </c>
      <c r="G12" s="156">
        <v>2020</v>
      </c>
      <c r="H12" s="156">
        <v>2021</v>
      </c>
      <c r="I12" s="156">
        <v>2022</v>
      </c>
      <c r="J12" s="156">
        <v>2023</v>
      </c>
      <c r="K12" s="156">
        <v>2024</v>
      </c>
      <c r="L12" s="156">
        <v>2025</v>
      </c>
      <c r="M12" s="156">
        <v>2026</v>
      </c>
      <c r="N12" s="156">
        <v>2027</v>
      </c>
      <c r="O12" s="156">
        <v>2028</v>
      </c>
      <c r="P12" s="156">
        <v>2029</v>
      </c>
      <c r="Q12" s="156">
        <v>2030</v>
      </c>
      <c r="R12" s="156">
        <v>2031</v>
      </c>
      <c r="S12" s="156">
        <v>2032</v>
      </c>
      <c r="T12" s="156">
        <v>2033</v>
      </c>
      <c r="U12" s="156">
        <v>2034</v>
      </c>
      <c r="V12" s="298"/>
      <c r="W12" s="246" t="s">
        <v>119</v>
      </c>
      <c r="X12" s="48"/>
      <c r="Y12" s="152"/>
      <c r="Z12" s="152"/>
    </row>
    <row r="13" spans="2:30" ht="52.9" customHeight="1" x14ac:dyDescent="0.2">
      <c r="B13" s="145"/>
      <c r="C13" s="158" t="s">
        <v>86</v>
      </c>
      <c r="D13" s="145"/>
      <c r="F13" s="194">
        <f t="shared" ref="F13:T13" si="1">F$9*F$20</f>
        <v>28.25536519598387</v>
      </c>
      <c r="G13" s="195">
        <f t="shared" si="1"/>
        <v>28.961749325883464</v>
      </c>
      <c r="H13" s="196">
        <f t="shared" si="1"/>
        <v>29.685793059030548</v>
      </c>
      <c r="I13" s="196">
        <f t="shared" si="1"/>
        <v>30.42793788550631</v>
      </c>
      <c r="J13" s="196">
        <f t="shared" si="1"/>
        <v>31.188636332643963</v>
      </c>
      <c r="K13" s="196">
        <f t="shared" si="1"/>
        <v>31.968352240960062</v>
      </c>
      <c r="L13" s="196">
        <f t="shared" si="1"/>
        <v>32.767561046984056</v>
      </c>
      <c r="M13" s="196">
        <f t="shared" si="1"/>
        <v>33.586750073158662</v>
      </c>
      <c r="N13" s="196">
        <f t="shared" si="1"/>
        <v>34.426418824987621</v>
      </c>
      <c r="O13" s="196">
        <f t="shared" si="1"/>
        <v>35.287079295612308</v>
      </c>
      <c r="P13" s="196">
        <f t="shared" si="1"/>
        <v>36.169256278002614</v>
      </c>
      <c r="Q13" s="196">
        <f t="shared" si="1"/>
        <v>37.073487684952667</v>
      </c>
      <c r="R13" s="196">
        <f t="shared" si="1"/>
        <v>38.000324877076487</v>
      </c>
      <c r="S13" s="196">
        <f t="shared" si="1"/>
        <v>38.950332999003393</v>
      </c>
      <c r="T13" s="196">
        <f t="shared" si="1"/>
        <v>39.924091323978473</v>
      </c>
      <c r="U13" s="297">
        <f>T13*1.025</f>
        <v>40.922193607077929</v>
      </c>
      <c r="V13" s="159"/>
      <c r="W13" s="245">
        <f>NPV(Rate_of_Return,F13:T13)</f>
        <v>286.60013355286912</v>
      </c>
      <c r="X13" s="245">
        <f>-PMT(Rate_of_Return,15,W13)</f>
        <v>32.670052739718898</v>
      </c>
      <c r="Y13" s="159"/>
      <c r="Z13" s="159"/>
      <c r="AD13" s="160"/>
    </row>
    <row r="14" spans="2:30" x14ac:dyDescent="0.2">
      <c r="C14" s="157"/>
      <c r="E14" s="161"/>
      <c r="F14" s="159"/>
      <c r="G14" s="159"/>
      <c r="H14" s="159"/>
      <c r="I14" s="159"/>
      <c r="J14" s="159"/>
      <c r="K14" s="159"/>
      <c r="L14" s="159"/>
      <c r="M14" s="159"/>
      <c r="N14" s="159"/>
      <c r="O14" s="159"/>
      <c r="P14" s="159"/>
      <c r="Q14" s="159"/>
      <c r="R14" s="159"/>
      <c r="S14" s="159"/>
      <c r="T14" s="159"/>
      <c r="U14" s="159"/>
      <c r="V14" s="159"/>
      <c r="W14" s="152"/>
      <c r="X14" s="152"/>
      <c r="Y14" s="152"/>
      <c r="Z14" s="152"/>
    </row>
    <row r="15" spans="2:30" x14ac:dyDescent="0.2">
      <c r="C15" s="162"/>
      <c r="E15" s="161"/>
      <c r="F15" s="159"/>
      <c r="G15" s="159"/>
      <c r="H15" s="159"/>
      <c r="I15" s="159"/>
      <c r="J15" s="159"/>
      <c r="K15" s="159"/>
      <c r="L15" s="159"/>
      <c r="M15" s="159"/>
      <c r="N15" s="159"/>
      <c r="O15" s="159"/>
      <c r="P15" s="159"/>
      <c r="Q15" s="159"/>
      <c r="R15" s="159"/>
      <c r="S15" s="159"/>
      <c r="T15" s="159"/>
      <c r="U15" s="159"/>
      <c r="V15" s="159"/>
      <c r="W15" s="152"/>
      <c r="X15" s="152"/>
      <c r="Y15" s="152"/>
      <c r="Z15" s="152"/>
    </row>
    <row r="16" spans="2:30" x14ac:dyDescent="0.2">
      <c r="C16" s="82" t="s">
        <v>11</v>
      </c>
      <c r="Q16" s="152"/>
      <c r="R16" s="152"/>
    </row>
    <row r="17" spans="2:26" x14ac:dyDescent="0.2">
      <c r="Q17" s="152"/>
      <c r="R17" s="152"/>
    </row>
    <row r="18" spans="2:26" x14ac:dyDescent="0.2">
      <c r="C18" s="145"/>
      <c r="D18" s="145"/>
      <c r="E18" s="145"/>
      <c r="F18" s="145"/>
      <c r="G18" s="145"/>
      <c r="H18" s="145"/>
      <c r="I18" s="145"/>
      <c r="J18" s="145"/>
      <c r="K18" s="145"/>
      <c r="L18" s="145"/>
      <c r="M18" s="145"/>
      <c r="N18" s="145"/>
      <c r="O18" s="145"/>
      <c r="P18" s="145"/>
      <c r="Q18" s="151"/>
      <c r="R18" s="151"/>
      <c r="S18" s="145"/>
      <c r="T18" s="145"/>
      <c r="W18" s="246" t="s">
        <v>119</v>
      </c>
      <c r="X18" s="145"/>
    </row>
    <row r="19" spans="2:26" x14ac:dyDescent="0.2">
      <c r="C19" s="153" t="s">
        <v>12</v>
      </c>
      <c r="D19" s="153"/>
      <c r="E19" s="153"/>
      <c r="F19" s="173">
        <v>100</v>
      </c>
      <c r="G19" s="173">
        <f t="shared" ref="G19:T19" si="2">F19*1.025</f>
        <v>102.49999999999999</v>
      </c>
      <c r="H19" s="173">
        <f t="shared" si="2"/>
        <v>105.06249999999997</v>
      </c>
      <c r="I19" s="173">
        <f t="shared" si="2"/>
        <v>107.68906249999996</v>
      </c>
      <c r="J19" s="173">
        <f t="shared" si="2"/>
        <v>110.38128906249996</v>
      </c>
      <c r="K19" s="173">
        <f t="shared" si="2"/>
        <v>113.14082128906244</v>
      </c>
      <c r="L19" s="173">
        <f t="shared" si="2"/>
        <v>115.96934182128899</v>
      </c>
      <c r="M19" s="173">
        <f t="shared" si="2"/>
        <v>118.8685753668212</v>
      </c>
      <c r="N19" s="173">
        <f t="shared" si="2"/>
        <v>121.84028975099173</v>
      </c>
      <c r="O19" s="173">
        <f t="shared" si="2"/>
        <v>124.88629699476651</v>
      </c>
      <c r="P19" s="173">
        <f t="shared" si="2"/>
        <v>128.00845441963565</v>
      </c>
      <c r="Q19" s="173">
        <f t="shared" si="2"/>
        <v>131.20866578012652</v>
      </c>
      <c r="R19" s="173">
        <f t="shared" si="2"/>
        <v>134.48888242462968</v>
      </c>
      <c r="S19" s="173">
        <f t="shared" si="2"/>
        <v>137.8511044852454</v>
      </c>
      <c r="T19" s="173">
        <f t="shared" si="2"/>
        <v>141.29738209737653</v>
      </c>
      <c r="U19" s="163"/>
      <c r="V19" s="163"/>
      <c r="W19" s="198">
        <f>NPV(Rate_of_Return,F19:T19)</f>
        <v>1014.3211088052249</v>
      </c>
      <c r="X19" s="198">
        <f>-PMT(Rate_of_Return,15,W19)</f>
        <v>115.62424521188822</v>
      </c>
      <c r="Y19" s="152"/>
      <c r="Z19" s="152"/>
    </row>
    <row r="20" spans="2:26" x14ac:dyDescent="0.2">
      <c r="C20" s="176" t="s">
        <v>13</v>
      </c>
      <c r="D20" s="176"/>
      <c r="E20" s="176"/>
      <c r="F20" s="177">
        <f>F19/$X$19</f>
        <v>0.86487051065063492</v>
      </c>
      <c r="G20" s="177">
        <f t="shared" ref="G20:T20" si="3">G19/$X$19</f>
        <v>0.88649227341690073</v>
      </c>
      <c r="H20" s="177">
        <f t="shared" si="3"/>
        <v>0.90865458025232315</v>
      </c>
      <c r="I20" s="177">
        <f t="shared" si="3"/>
        <v>0.93137094475863114</v>
      </c>
      <c r="J20" s="177">
        <f t="shared" si="3"/>
        <v>0.95465521837759681</v>
      </c>
      <c r="K20" s="177">
        <f t="shared" si="3"/>
        <v>0.97852159883703671</v>
      </c>
      <c r="L20" s="177">
        <f t="shared" si="3"/>
        <v>1.0029846388079624</v>
      </c>
      <c r="M20" s="177">
        <f t="shared" si="3"/>
        <v>1.0280592547781615</v>
      </c>
      <c r="N20" s="177">
        <f t="shared" si="3"/>
        <v>1.0537607361476153</v>
      </c>
      <c r="O20" s="177">
        <f t="shared" si="3"/>
        <v>1.0801047545513056</v>
      </c>
      <c r="P20" s="177">
        <f t="shared" si="3"/>
        <v>1.1071073734150882</v>
      </c>
      <c r="Q20" s="177">
        <f t="shared" si="3"/>
        <v>1.1347850577504652</v>
      </c>
      <c r="R20" s="177">
        <f t="shared" si="3"/>
        <v>1.1631546841942269</v>
      </c>
      <c r="S20" s="177">
        <f t="shared" si="3"/>
        <v>1.1922335512990823</v>
      </c>
      <c r="T20" s="177">
        <f t="shared" si="3"/>
        <v>1.2220393900815592</v>
      </c>
      <c r="U20" s="164"/>
      <c r="V20" s="164"/>
      <c r="W20" s="197">
        <f>NPV(Rate_of_Return,F20:T20)</f>
        <v>8.7725641533609284</v>
      </c>
      <c r="X20" s="197">
        <f>-PMT(Rate_of_Return,15,W20)</f>
        <v>0.99999999999999967</v>
      </c>
      <c r="Y20" s="152"/>
      <c r="Z20" s="152"/>
    </row>
    <row r="21" spans="2:26" x14ac:dyDescent="0.2">
      <c r="C21" s="145"/>
      <c r="D21" s="145"/>
      <c r="E21" s="174"/>
      <c r="F21" s="174"/>
      <c r="G21" s="174"/>
      <c r="H21" s="174"/>
      <c r="I21" s="174"/>
      <c r="J21" s="174"/>
      <c r="K21" s="174"/>
      <c r="L21" s="174"/>
      <c r="M21" s="175"/>
      <c r="N21" s="175"/>
      <c r="O21" s="175"/>
      <c r="P21" s="175"/>
      <c r="Q21" s="175"/>
      <c r="R21" s="175"/>
      <c r="S21" s="175"/>
      <c r="T21" s="175"/>
      <c r="W21" s="145"/>
      <c r="X21" s="145"/>
    </row>
    <row r="22" spans="2:26" x14ac:dyDescent="0.2">
      <c r="B22" s="165" t="s">
        <v>14</v>
      </c>
      <c r="C22" s="166"/>
      <c r="D22" s="167"/>
      <c r="E22" s="167"/>
      <c r="F22" s="167"/>
      <c r="G22" s="167"/>
      <c r="H22" s="167"/>
      <c r="I22" s="167"/>
      <c r="J22" s="167"/>
      <c r="K22" s="167"/>
      <c r="L22" s="167"/>
      <c r="M22" s="167"/>
      <c r="N22" s="167"/>
      <c r="O22" s="167"/>
      <c r="Y22" s="162"/>
    </row>
    <row r="23" spans="2:26" x14ac:dyDescent="0.2">
      <c r="B23" s="168">
        <v>1</v>
      </c>
      <c r="C23" s="167" t="s">
        <v>65</v>
      </c>
      <c r="D23" s="167"/>
      <c r="E23" s="167"/>
      <c r="F23" s="167"/>
      <c r="G23" s="167"/>
      <c r="H23" s="167"/>
      <c r="I23" s="167"/>
      <c r="J23" s="167"/>
      <c r="K23" s="167"/>
      <c r="L23" s="167"/>
      <c r="M23" s="167"/>
      <c r="N23" s="167"/>
      <c r="O23" s="167"/>
      <c r="Y23" s="157"/>
    </row>
    <row r="24" spans="2:26" x14ac:dyDescent="0.2">
      <c r="B24" s="168">
        <v>2</v>
      </c>
      <c r="C24" s="167" t="s">
        <v>128</v>
      </c>
      <c r="D24" s="167"/>
      <c r="E24" s="167"/>
      <c r="F24" s="167"/>
      <c r="G24" s="167"/>
      <c r="H24" s="167"/>
      <c r="I24" s="167"/>
      <c r="J24" s="167"/>
      <c r="K24" s="167"/>
      <c r="L24" s="167"/>
      <c r="M24" s="167"/>
      <c r="N24" s="167"/>
      <c r="O24" s="167"/>
      <c r="Y24" s="159"/>
    </row>
    <row r="25" spans="2:26" x14ac:dyDescent="0.2">
      <c r="B25" s="168">
        <v>3</v>
      </c>
      <c r="C25" s="167" t="s">
        <v>62</v>
      </c>
      <c r="D25" s="167"/>
      <c r="E25" s="167"/>
      <c r="F25" s="167"/>
      <c r="G25" s="167"/>
      <c r="H25" s="167"/>
      <c r="I25" s="167"/>
      <c r="J25" s="167"/>
      <c r="K25" s="167"/>
      <c r="L25" s="167"/>
      <c r="M25" s="167"/>
      <c r="N25" s="167"/>
      <c r="O25" s="167"/>
      <c r="Y25" s="169"/>
    </row>
    <row r="26" spans="2:26" x14ac:dyDescent="0.2">
      <c r="B26" s="168">
        <v>4</v>
      </c>
      <c r="C26" s="167" t="s">
        <v>79</v>
      </c>
      <c r="D26" s="167"/>
      <c r="E26" s="167"/>
      <c r="F26" s="167"/>
      <c r="G26" s="167"/>
      <c r="H26" s="167"/>
      <c r="I26" s="167"/>
      <c r="J26" s="167"/>
      <c r="K26" s="167"/>
      <c r="L26" s="167"/>
      <c r="M26" s="167"/>
      <c r="N26" s="167"/>
      <c r="O26" s="167"/>
      <c r="Y26" s="169"/>
    </row>
    <row r="27" spans="2:26" x14ac:dyDescent="0.2">
      <c r="B27" s="168">
        <v>5</v>
      </c>
      <c r="C27" s="167" t="s">
        <v>63</v>
      </c>
      <c r="D27" s="167"/>
      <c r="E27" s="167"/>
      <c r="F27" s="167"/>
      <c r="G27" s="167"/>
      <c r="H27" s="167"/>
      <c r="I27" s="167"/>
      <c r="J27" s="167"/>
      <c r="K27" s="167"/>
      <c r="L27" s="167"/>
      <c r="M27" s="167"/>
      <c r="N27" s="167"/>
      <c r="O27" s="167"/>
      <c r="Y27" s="157"/>
    </row>
    <row r="28" spans="2:26" x14ac:dyDescent="0.2">
      <c r="B28" s="168">
        <v>6</v>
      </c>
      <c r="C28" s="167" t="s">
        <v>76</v>
      </c>
      <c r="D28" s="167"/>
      <c r="E28" s="167"/>
      <c r="F28" s="167"/>
      <c r="G28" s="167"/>
      <c r="H28" s="167"/>
      <c r="I28" s="167"/>
      <c r="J28" s="167"/>
      <c r="K28" s="167"/>
      <c r="L28" s="167"/>
      <c r="M28" s="167"/>
      <c r="N28" s="167"/>
      <c r="O28" s="167"/>
      <c r="Y28" s="159"/>
    </row>
    <row r="29" spans="2:26" x14ac:dyDescent="0.2">
      <c r="B29" s="168">
        <v>7</v>
      </c>
      <c r="C29" s="167" t="s">
        <v>77</v>
      </c>
      <c r="D29" s="167"/>
      <c r="E29" s="167"/>
      <c r="F29" s="167"/>
      <c r="G29" s="167"/>
      <c r="H29" s="167"/>
      <c r="I29" s="167"/>
      <c r="J29" s="167"/>
      <c r="K29" s="167"/>
      <c r="L29" s="167"/>
      <c r="M29" s="167"/>
      <c r="N29" s="167"/>
      <c r="O29" s="167"/>
      <c r="P29" s="167"/>
      <c r="Q29" s="167"/>
    </row>
    <row r="30" spans="2:26" x14ac:dyDescent="0.2">
      <c r="B30" s="168">
        <v>8</v>
      </c>
      <c r="C30" s="167" t="s">
        <v>78</v>
      </c>
      <c r="D30" s="167"/>
      <c r="E30" s="167"/>
      <c r="F30" s="167"/>
      <c r="G30" s="167"/>
      <c r="H30" s="167"/>
      <c r="I30" s="167"/>
      <c r="J30" s="167"/>
      <c r="K30" s="167"/>
      <c r="L30" s="167"/>
      <c r="M30" s="167"/>
      <c r="N30" s="167"/>
      <c r="O30" s="167"/>
      <c r="P30" s="167"/>
      <c r="Q30" s="167"/>
    </row>
    <row r="31" spans="2:26" x14ac:dyDescent="0.2">
      <c r="B31" s="168">
        <v>9</v>
      </c>
      <c r="C31" s="167" t="s">
        <v>80</v>
      </c>
      <c r="D31" s="167"/>
      <c r="E31" s="167"/>
      <c r="F31" s="167"/>
      <c r="G31" s="167"/>
      <c r="H31" s="167"/>
      <c r="I31" s="167"/>
      <c r="J31" s="167"/>
      <c r="K31" s="167"/>
      <c r="L31" s="167"/>
      <c r="M31" s="167"/>
      <c r="N31" s="167"/>
      <c r="O31" s="167"/>
      <c r="P31" s="167"/>
      <c r="Q31" s="167"/>
    </row>
    <row r="32" spans="2:26" x14ac:dyDescent="0.2">
      <c r="B32" s="168">
        <v>10</v>
      </c>
      <c r="C32" s="82" t="s">
        <v>64</v>
      </c>
    </row>
    <row r="33" spans="2:20" x14ac:dyDescent="0.2">
      <c r="B33" s="168">
        <v>11</v>
      </c>
      <c r="C33" s="82" t="s">
        <v>126</v>
      </c>
    </row>
    <row r="34" spans="2:20" ht="15.75" x14ac:dyDescent="0.25">
      <c r="B34" s="170"/>
      <c r="C34" s="5"/>
      <c r="D34" s="5"/>
      <c r="E34" s="5"/>
      <c r="F34" s="5"/>
    </row>
    <row r="35" spans="2:20" ht="15.75" x14ac:dyDescent="0.25">
      <c r="B35" s="170"/>
      <c r="C35" s="5"/>
      <c r="D35" s="5"/>
      <c r="E35" s="5"/>
      <c r="F35" s="5"/>
    </row>
    <row r="37" spans="2:20" x14ac:dyDescent="0.2">
      <c r="F37" s="152"/>
      <c r="G37" s="171"/>
      <c r="H37" s="171"/>
      <c r="I37" s="171"/>
      <c r="J37" s="171"/>
      <c r="K37" s="171"/>
      <c r="L37" s="171"/>
      <c r="M37" s="171"/>
      <c r="N37" s="171"/>
      <c r="O37" s="171"/>
      <c r="P37" s="171"/>
      <c r="Q37" s="171"/>
      <c r="R37" s="171"/>
      <c r="S37" s="171"/>
      <c r="T37" s="171"/>
    </row>
    <row r="38" spans="2:20" x14ac:dyDescent="0.2">
      <c r="G38" s="171"/>
      <c r="H38" s="171"/>
      <c r="I38" s="171"/>
      <c r="J38" s="171"/>
      <c r="K38" s="171"/>
      <c r="L38" s="171"/>
      <c r="M38" s="171"/>
      <c r="N38" s="171"/>
      <c r="O38" s="171"/>
      <c r="P38" s="171"/>
      <c r="Q38" s="171"/>
      <c r="R38" s="171"/>
      <c r="S38" s="171"/>
      <c r="T38" s="171"/>
    </row>
    <row r="39" spans="2:20" x14ac:dyDescent="0.2">
      <c r="F39" s="152"/>
      <c r="G39" s="152"/>
      <c r="H39" s="152"/>
      <c r="I39" s="152"/>
      <c r="J39" s="152"/>
      <c r="K39" s="152"/>
      <c r="L39" s="152"/>
      <c r="M39" s="152"/>
      <c r="N39" s="152"/>
      <c r="O39" s="152"/>
      <c r="P39" s="152"/>
      <c r="Q39" s="152"/>
      <c r="R39" s="152"/>
      <c r="S39" s="152"/>
      <c r="T39" s="152"/>
    </row>
    <row r="40" spans="2:20" x14ac:dyDescent="0.2">
      <c r="D40" s="163"/>
    </row>
  </sheetData>
  <mergeCells count="1">
    <mergeCell ref="C2:L2"/>
  </mergeCells>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1"/>
  <headerFooter alignWithMargins="0">
    <oddFooter>&amp;L&amp;F&amp;C&amp;A&amp;RPSE Advice No. 2018-48 &amp;D
Page &amp;P of &amp;N</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B2:F41"/>
  <sheetViews>
    <sheetView workbookViewId="0">
      <pane ySplit="8" topLeftCell="A9" activePane="bottomLeft" state="frozen"/>
      <selection activeCell="F13" sqref="F13"/>
      <selection pane="bottomLeft"/>
    </sheetView>
  </sheetViews>
  <sheetFormatPr defaultRowHeight="12.75" x14ac:dyDescent="0.2"/>
  <cols>
    <col min="1" max="1" width="2.7109375" customWidth="1"/>
    <col min="2" max="2" width="12.42578125" customWidth="1"/>
    <col min="3" max="4" width="14.7109375" customWidth="1"/>
    <col min="5" max="5" width="12.42578125" customWidth="1"/>
  </cols>
  <sheetData>
    <row r="2" spans="2:6" ht="15.75" x14ac:dyDescent="0.25">
      <c r="B2" s="5" t="str">
        <f>+FlatLoadShapeEnergy_perMWh!P4</f>
        <v>Levelized Cost Effectiveness Standard-Energy</v>
      </c>
    </row>
    <row r="3" spans="2:6" ht="15" x14ac:dyDescent="0.25">
      <c r="B3" s="301" t="s">
        <v>81</v>
      </c>
      <c r="C3" s="301"/>
      <c r="D3" s="53"/>
    </row>
    <row r="4" spans="2:6" x14ac:dyDescent="0.2">
      <c r="B4" s="302" t="str">
        <f>+FlatLoadShapeEnergy_perMWh!C6</f>
        <v xml:space="preserve"> T&amp;D Line Loss Reduction [4]</v>
      </c>
      <c r="C4" s="303"/>
      <c r="D4" s="201">
        <f>+FlatLoadShapeEnergy_perMWh!E6</f>
        <v>2.7E-2</v>
      </c>
      <c r="E4" s="53"/>
    </row>
    <row r="5" spans="2:6" x14ac:dyDescent="0.2">
      <c r="B5" s="304" t="s">
        <v>70</v>
      </c>
      <c r="C5" s="304"/>
      <c r="D5" s="202">
        <f>Rate_of_Return</f>
        <v>7.5999999999999998E-2</v>
      </c>
      <c r="E5" s="71"/>
    </row>
    <row r="6" spans="2:6" x14ac:dyDescent="0.2">
      <c r="B6" s="7"/>
      <c r="C6" s="32"/>
      <c r="D6" s="71"/>
      <c r="E6" s="1"/>
    </row>
    <row r="7" spans="2:6" x14ac:dyDescent="0.2">
      <c r="C7" s="2" t="s">
        <v>15</v>
      </c>
      <c r="D7" s="2" t="s">
        <v>8</v>
      </c>
    </row>
    <row r="8" spans="2:6" s="7" customFormat="1" ht="45.75" customHeight="1" x14ac:dyDescent="0.2">
      <c r="B8" s="6" t="s">
        <v>2</v>
      </c>
      <c r="C8" s="6" t="s">
        <v>9</v>
      </c>
      <c r="D8" s="38" t="str">
        <f>C8</f>
        <v>Flat</v>
      </c>
      <c r="E8"/>
      <c r="F8"/>
    </row>
    <row r="9" spans="2:6" x14ac:dyDescent="0.2">
      <c r="B9" s="8">
        <v>1</v>
      </c>
      <c r="C9" s="56">
        <f>+FlatLoadShapeEnergy_perMWh!P7</f>
        <v>22.134647342599997</v>
      </c>
      <c r="D9" s="199">
        <f t="shared" ref="D9:D27" si="0">C9/1000</f>
        <v>2.2134647342599997E-2</v>
      </c>
    </row>
    <row r="10" spans="2:6" x14ac:dyDescent="0.2">
      <c r="B10" s="8">
        <v>2</v>
      </c>
      <c r="C10" s="56">
        <f>+FlatLoadShapeEnergy_perMWh!P8</f>
        <v>22.311392360615415</v>
      </c>
      <c r="D10" s="199">
        <f t="shared" si="0"/>
        <v>2.2311392360615415E-2</v>
      </c>
    </row>
    <row r="11" spans="2:6" x14ac:dyDescent="0.2">
      <c r="B11" s="8">
        <v>3</v>
      </c>
      <c r="C11" s="56">
        <f>+FlatLoadShapeEnergy_perMWh!P9</f>
        <v>22.405136528233879</v>
      </c>
      <c r="D11" s="199">
        <f t="shared" si="0"/>
        <v>2.2405136528233879E-2</v>
      </c>
    </row>
    <row r="12" spans="2:6" x14ac:dyDescent="0.2">
      <c r="B12" s="8">
        <v>4</v>
      </c>
      <c r="C12" s="56">
        <f>+FlatLoadShapeEnergy_perMWh!P10</f>
        <v>22.545881571901059</v>
      </c>
      <c r="D12" s="199">
        <f t="shared" si="0"/>
        <v>2.2545881571901058E-2</v>
      </c>
    </row>
    <row r="13" spans="2:6" x14ac:dyDescent="0.2">
      <c r="B13" s="8">
        <v>5</v>
      </c>
      <c r="C13" s="56">
        <f>+FlatLoadShapeEnergy_perMWh!P11</f>
        <v>22.762373148115621</v>
      </c>
      <c r="D13" s="199">
        <f t="shared" si="0"/>
        <v>2.2762373148115623E-2</v>
      </c>
    </row>
    <row r="14" spans="2:6" x14ac:dyDescent="0.2">
      <c r="B14" s="8">
        <v>6</v>
      </c>
      <c r="C14" s="56">
        <f>+FlatLoadShapeEnergy_perMWh!P12</f>
        <v>23.211515093687716</v>
      </c>
      <c r="D14" s="199">
        <f t="shared" si="0"/>
        <v>2.3211515093687716E-2</v>
      </c>
    </row>
    <row r="15" spans="2:6" x14ac:dyDescent="0.2">
      <c r="B15" s="8">
        <v>7</v>
      </c>
      <c r="C15" s="56">
        <f>+FlatLoadShapeEnergy_perMWh!P13</f>
        <v>23.763651569621921</v>
      </c>
      <c r="D15" s="199">
        <f t="shared" si="0"/>
        <v>2.3763651569621919E-2</v>
      </c>
    </row>
    <row r="16" spans="2:6" x14ac:dyDescent="0.2">
      <c r="B16" s="8">
        <v>8</v>
      </c>
      <c r="C16" s="56">
        <f>+FlatLoadShapeEnergy_perMWh!P14</f>
        <v>24.397545035553701</v>
      </c>
      <c r="D16" s="199">
        <f t="shared" si="0"/>
        <v>2.4397545035553702E-2</v>
      </c>
    </row>
    <row r="17" spans="2:4" x14ac:dyDescent="0.2">
      <c r="B17" s="8">
        <v>9</v>
      </c>
      <c r="C17" s="56">
        <f>+FlatLoadShapeEnergy_perMWh!P15</f>
        <v>25.144645901144852</v>
      </c>
      <c r="D17" s="199">
        <f t="shared" si="0"/>
        <v>2.5144645901144853E-2</v>
      </c>
    </row>
    <row r="18" spans="2:4" x14ac:dyDescent="0.2">
      <c r="B18" s="8">
        <v>10</v>
      </c>
      <c r="C18" s="56">
        <f>+FlatLoadShapeEnergy_perMWh!P16</f>
        <v>25.860397408939956</v>
      </c>
      <c r="D18" s="199">
        <f t="shared" si="0"/>
        <v>2.5860397408939955E-2</v>
      </c>
    </row>
    <row r="19" spans="2:4" x14ac:dyDescent="0.2">
      <c r="B19" s="8">
        <v>11</v>
      </c>
      <c r="C19" s="56">
        <f>+FlatLoadShapeEnergy_perMWh!P17</f>
        <v>26.571941485725684</v>
      </c>
      <c r="D19" s="199">
        <f t="shared" si="0"/>
        <v>2.6571941485725684E-2</v>
      </c>
    </row>
    <row r="20" spans="2:4" x14ac:dyDescent="0.2">
      <c r="B20" s="8">
        <v>12</v>
      </c>
      <c r="C20" s="56">
        <f>+FlatLoadShapeEnergy_perMWh!P18</f>
        <v>27.229529501062903</v>
      </c>
      <c r="D20" s="199">
        <f t="shared" si="0"/>
        <v>2.7229529501062902E-2</v>
      </c>
    </row>
    <row r="21" spans="2:4" x14ac:dyDescent="0.2">
      <c r="B21" s="8">
        <v>13</v>
      </c>
      <c r="C21" s="56">
        <f>+FlatLoadShapeEnergy_perMWh!P19</f>
        <v>27.872774619002108</v>
      </c>
      <c r="D21" s="199">
        <f t="shared" si="0"/>
        <v>2.7872774619002109E-2</v>
      </c>
    </row>
    <row r="22" spans="2:4" x14ac:dyDescent="0.2">
      <c r="B22" s="8">
        <v>14</v>
      </c>
      <c r="C22" s="56">
        <f>+FlatLoadShapeEnergy_perMWh!P20</f>
        <v>28.540043594561258</v>
      </c>
      <c r="D22" s="199">
        <f t="shared" si="0"/>
        <v>2.8540043594561259E-2</v>
      </c>
    </row>
    <row r="23" spans="2:4" x14ac:dyDescent="0.2">
      <c r="B23" s="45">
        <v>15</v>
      </c>
      <c r="C23" s="57">
        <f>+FlatLoadShapeEnergy_perMWh!P21</f>
        <v>29.272803769652217</v>
      </c>
      <c r="D23" s="200">
        <f>C23/1000</f>
        <v>2.9272803769652217E-2</v>
      </c>
    </row>
    <row r="24" spans="2:4" x14ac:dyDescent="0.2">
      <c r="B24" s="8">
        <v>16</v>
      </c>
      <c r="C24" s="56">
        <f>+FlatLoadShapeEnergy_perMWh!P22</f>
        <v>30.019423580811527</v>
      </c>
      <c r="D24" s="199">
        <f t="shared" si="0"/>
        <v>3.0019423580811527E-2</v>
      </c>
    </row>
    <row r="25" spans="2:4" x14ac:dyDescent="0.2">
      <c r="B25" s="8">
        <v>17</v>
      </c>
      <c r="C25" s="56">
        <f>+FlatLoadShapeEnergy_perMWh!P23</f>
        <v>30.760867198278145</v>
      </c>
      <c r="D25" s="199">
        <f t="shared" si="0"/>
        <v>3.0760867198278145E-2</v>
      </c>
    </row>
    <row r="26" spans="2:4" x14ac:dyDescent="0.2">
      <c r="B26" s="8">
        <v>18</v>
      </c>
      <c r="C26" s="56">
        <f>+FlatLoadShapeEnergy_perMWh!P24</f>
        <v>31.533673511919577</v>
      </c>
      <c r="D26" s="199">
        <f t="shared" si="0"/>
        <v>3.1533673511919574E-2</v>
      </c>
    </row>
    <row r="27" spans="2:4" x14ac:dyDescent="0.2">
      <c r="B27" s="8">
        <v>19</v>
      </c>
      <c r="C27" s="56">
        <f>+FlatLoadShapeEnergy_perMWh!P25</f>
        <v>32.270960956266997</v>
      </c>
      <c r="D27" s="199">
        <f t="shared" si="0"/>
        <v>3.2270960956266997E-2</v>
      </c>
    </row>
    <row r="39" spans="2:3" x14ac:dyDescent="0.2">
      <c r="C39" s="9"/>
    </row>
    <row r="40" spans="2:3" x14ac:dyDescent="0.2">
      <c r="C40" s="10"/>
    </row>
    <row r="41" spans="2:3" s="13" customFormat="1" x14ac:dyDescent="0.2">
      <c r="B41" s="11"/>
      <c r="C41" s="12"/>
    </row>
  </sheetData>
  <mergeCells count="3">
    <mergeCell ref="B3:C3"/>
    <mergeCell ref="B4:C4"/>
    <mergeCell ref="B5:C5"/>
  </mergeCells>
  <phoneticPr fontId="0" type="noConversion"/>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B1:U31"/>
  <sheetViews>
    <sheetView zoomScale="80" zoomScaleNormal="80" workbookViewId="0"/>
  </sheetViews>
  <sheetFormatPr defaultColWidth="14.42578125" defaultRowHeight="15" x14ac:dyDescent="0.2"/>
  <cols>
    <col min="1" max="1" width="2.7109375" style="243" customWidth="1"/>
    <col min="2" max="2" width="4" style="243" bestFit="1" customWidth="1"/>
    <col min="3" max="3" width="30.85546875" style="243" customWidth="1"/>
    <col min="4" max="4" width="2.7109375" style="243" customWidth="1"/>
    <col min="5" max="5" width="10.42578125" style="243" customWidth="1"/>
    <col min="6" max="6" width="2.7109375" style="243" customWidth="1"/>
    <col min="7" max="7" width="9.42578125" style="243" customWidth="1"/>
    <col min="8" max="8" width="12.5703125" style="243" customWidth="1"/>
    <col min="9" max="9" width="17.7109375" style="243" customWidth="1"/>
    <col min="10" max="10" width="14.42578125" style="243" customWidth="1"/>
    <col min="11" max="11" width="17" style="243" customWidth="1"/>
    <col min="12" max="12" width="14.42578125" style="243" customWidth="1"/>
    <col min="13" max="13" width="16.28515625" style="243" bestFit="1" customWidth="1"/>
    <col min="14" max="14" width="15.7109375" style="243" customWidth="1"/>
    <col min="15" max="16" width="16.140625" style="243" customWidth="1"/>
    <col min="17" max="16384" width="14.42578125" style="243"/>
  </cols>
  <sheetData>
    <row r="1" spans="2:21" s="237" customFormat="1" x14ac:dyDescent="0.2"/>
    <row r="2" spans="2:21" s="237" customFormat="1" ht="15.75" x14ac:dyDescent="0.25">
      <c r="B2" s="238"/>
      <c r="C2" s="238"/>
      <c r="D2" s="238"/>
      <c r="E2" s="238"/>
      <c r="F2" s="238"/>
      <c r="G2" s="238"/>
      <c r="H2" s="238"/>
      <c r="I2" s="238"/>
      <c r="J2" s="239"/>
      <c r="K2" s="238"/>
      <c r="L2" s="238"/>
      <c r="M2" s="240"/>
      <c r="N2" s="238"/>
      <c r="O2" s="238"/>
      <c r="P2" s="238"/>
      <c r="Q2" s="238"/>
      <c r="R2" s="238"/>
      <c r="S2" s="238"/>
      <c r="T2" s="238"/>
      <c r="U2" s="238"/>
    </row>
    <row r="3" spans="2:21" ht="15.75" x14ac:dyDescent="0.25">
      <c r="B3" s="241"/>
      <c r="C3" s="241"/>
      <c r="D3" s="241"/>
      <c r="E3" s="241"/>
      <c r="F3" s="241"/>
      <c r="G3" s="241"/>
      <c r="H3" s="241"/>
      <c r="I3" s="241"/>
      <c r="J3" s="25"/>
      <c r="K3" s="238"/>
      <c r="L3" s="238"/>
      <c r="M3" s="242"/>
      <c r="N3" s="241"/>
      <c r="O3" s="241"/>
      <c r="P3" s="241"/>
      <c r="Q3" s="241"/>
      <c r="R3" s="241"/>
      <c r="S3" s="241"/>
      <c r="T3" s="241"/>
      <c r="U3" s="241"/>
    </row>
    <row r="4" spans="2:21" ht="66" customHeight="1" x14ac:dyDescent="0.25">
      <c r="B4" s="241"/>
      <c r="C4" s="241"/>
      <c r="D4" s="241"/>
      <c r="E4" s="241"/>
      <c r="F4" s="241"/>
      <c r="G4" s="26" t="s">
        <v>16</v>
      </c>
      <c r="H4" s="27" t="s">
        <v>2</v>
      </c>
      <c r="I4" s="28" t="s">
        <v>31</v>
      </c>
      <c r="J4" s="27" t="s">
        <v>72</v>
      </c>
      <c r="K4" s="28" t="s">
        <v>73</v>
      </c>
      <c r="L4" s="28" t="s">
        <v>74</v>
      </c>
      <c r="M4" s="27" t="s">
        <v>75</v>
      </c>
      <c r="N4" s="27" t="s">
        <v>37</v>
      </c>
      <c r="O4" s="27" t="s">
        <v>38</v>
      </c>
      <c r="P4" s="27" t="s">
        <v>32</v>
      </c>
      <c r="Q4" s="27"/>
      <c r="R4" s="26"/>
      <c r="S4" s="27"/>
      <c r="T4" s="27"/>
      <c r="U4" s="27"/>
    </row>
    <row r="5" spans="2:21" ht="15.75" x14ac:dyDescent="0.25">
      <c r="B5" s="222"/>
      <c r="C5" s="222"/>
      <c r="D5" s="222"/>
      <c r="E5" s="222"/>
      <c r="F5" s="222"/>
      <c r="G5" s="29"/>
      <c r="H5" s="29" t="s">
        <v>21</v>
      </c>
      <c r="I5" s="29" t="s">
        <v>82</v>
      </c>
      <c r="J5" s="29" t="s">
        <v>82</v>
      </c>
      <c r="K5" s="29" t="s">
        <v>82</v>
      </c>
      <c r="L5" s="29" t="s">
        <v>82</v>
      </c>
      <c r="M5" s="29" t="s">
        <v>82</v>
      </c>
      <c r="N5" s="29" t="s">
        <v>82</v>
      </c>
      <c r="O5" s="29" t="s">
        <v>82</v>
      </c>
      <c r="P5" s="29" t="s">
        <v>82</v>
      </c>
      <c r="Q5" s="26"/>
      <c r="R5" s="26"/>
      <c r="S5" s="26"/>
      <c r="T5" s="26"/>
      <c r="U5" s="26"/>
    </row>
    <row r="6" spans="2:21" ht="15.75" x14ac:dyDescent="0.25">
      <c r="B6" s="222"/>
      <c r="C6" s="31" t="s">
        <v>116</v>
      </c>
      <c r="D6" s="31"/>
      <c r="E6" s="223">
        <v>2.7E-2</v>
      </c>
      <c r="F6" s="80"/>
      <c r="G6" s="203" t="s">
        <v>23</v>
      </c>
      <c r="H6" s="203" t="s">
        <v>24</v>
      </c>
      <c r="I6" s="203" t="s">
        <v>25</v>
      </c>
      <c r="J6" s="203" t="s">
        <v>26</v>
      </c>
      <c r="K6" s="203" t="s">
        <v>27</v>
      </c>
      <c r="L6" s="203" t="s">
        <v>33</v>
      </c>
      <c r="M6" s="203" t="s">
        <v>28</v>
      </c>
      <c r="N6" s="203" t="s">
        <v>29</v>
      </c>
      <c r="O6" s="203" t="s">
        <v>43</v>
      </c>
      <c r="P6" s="203" t="s">
        <v>114</v>
      </c>
      <c r="Q6" s="30"/>
      <c r="R6" s="26"/>
      <c r="S6" s="241"/>
      <c r="T6" s="30"/>
      <c r="U6" s="26"/>
    </row>
    <row r="7" spans="2:21" ht="15.75" x14ac:dyDescent="0.25">
      <c r="B7" s="52"/>
      <c r="C7" s="31" t="s">
        <v>70</v>
      </c>
      <c r="D7" s="31"/>
      <c r="E7" s="224">
        <f>Rate_of_Return</f>
        <v>7.5999999999999998E-2</v>
      </c>
      <c r="F7" s="225"/>
      <c r="G7" s="213">
        <v>2019</v>
      </c>
      <c r="H7" s="213">
        <v>1</v>
      </c>
      <c r="I7" s="226">
        <f>'Energy Prices'!O6</f>
        <v>21.552723799999999</v>
      </c>
      <c r="J7" s="226">
        <f>I7*$E$6</f>
        <v>0.58192354260000001</v>
      </c>
      <c r="K7" s="226">
        <v>0</v>
      </c>
      <c r="L7" s="226">
        <v>0</v>
      </c>
      <c r="M7" s="226">
        <v>0</v>
      </c>
      <c r="N7" s="226">
        <f>(I7+J7+K7+L7+M7)/((1+$E$7)^H7)</f>
        <v>20.571233589776948</v>
      </c>
      <c r="O7" s="226">
        <f>N7</f>
        <v>20.571233589776948</v>
      </c>
      <c r="P7" s="226">
        <f>(-PMT($E$7,H7,(O7)))</f>
        <v>22.134647342599997</v>
      </c>
      <c r="Q7" s="227"/>
      <c r="R7" s="228"/>
      <c r="S7" s="229"/>
      <c r="T7" s="230"/>
      <c r="U7" s="230"/>
    </row>
    <row r="8" spans="2:21" ht="15.75" x14ac:dyDescent="0.25">
      <c r="B8" s="222"/>
      <c r="C8" s="31" t="s">
        <v>71</v>
      </c>
      <c r="D8" s="31"/>
      <c r="E8" s="224">
        <v>2.5000000000000001E-2</v>
      </c>
      <c r="F8" s="225"/>
      <c r="G8" s="60">
        <v>2020</v>
      </c>
      <c r="H8" s="60">
        <v>2</v>
      </c>
      <c r="I8" s="231">
        <f>'Energy Prices'!O7</f>
        <v>21.91</v>
      </c>
      <c r="J8" s="231">
        <f t="shared" ref="J8:J25" si="0">I8*$E$6</f>
        <v>0.59157000000000004</v>
      </c>
      <c r="K8" s="231">
        <f>+$K$7</f>
        <v>0</v>
      </c>
      <c r="L8" s="231">
        <v>0</v>
      </c>
      <c r="M8" s="231">
        <v>0</v>
      </c>
      <c r="N8" s="231">
        <f t="shared" ref="N8:N25" si="1">(I8+J8+K8+L8+M8)/((1+$E$7)^H8)</f>
        <v>19.435167078951366</v>
      </c>
      <c r="O8" s="231">
        <f t="shared" ref="O8:O25" si="2">N8+O7</f>
        <v>40.006400668728318</v>
      </c>
      <c r="P8" s="231">
        <f t="shared" ref="P8:P25" si="3">(-PMT($E$7,H8,(O8)))</f>
        <v>22.311392360615415</v>
      </c>
      <c r="Q8" s="227"/>
      <c r="R8" s="228"/>
      <c r="S8" s="229"/>
      <c r="T8" s="230"/>
      <c r="U8" s="230"/>
    </row>
    <row r="9" spans="2:21" ht="15.75" x14ac:dyDescent="0.25">
      <c r="B9" s="222"/>
      <c r="C9" s="31"/>
      <c r="D9" s="31"/>
      <c r="E9" s="225"/>
      <c r="F9" s="232"/>
      <c r="G9" s="60">
        <v>2021</v>
      </c>
      <c r="H9" s="60">
        <v>3</v>
      </c>
      <c r="I9" s="231">
        <f>'Energy Prices'!O8</f>
        <v>22.02</v>
      </c>
      <c r="J9" s="231">
        <f t="shared" si="0"/>
        <v>0.59453999999999996</v>
      </c>
      <c r="K9" s="231">
        <f t="shared" ref="K9:K25" si="4">+$K$7</f>
        <v>0</v>
      </c>
      <c r="L9" s="231">
        <v>0</v>
      </c>
      <c r="M9" s="231">
        <v>0</v>
      </c>
      <c r="N9" s="231">
        <f t="shared" si="1"/>
        <v>18.153106026788748</v>
      </c>
      <c r="O9" s="231">
        <f t="shared" si="2"/>
        <v>58.159506695517067</v>
      </c>
      <c r="P9" s="231">
        <f t="shared" si="3"/>
        <v>22.405136528233879</v>
      </c>
      <c r="Q9" s="227"/>
      <c r="R9" s="228"/>
      <c r="S9" s="229"/>
      <c r="T9" s="230"/>
      <c r="U9" s="230"/>
    </row>
    <row r="10" spans="2:21" x14ac:dyDescent="0.2">
      <c r="B10" s="222"/>
      <c r="C10" s="222"/>
      <c r="D10" s="222"/>
      <c r="E10" s="222"/>
      <c r="F10" s="225"/>
      <c r="G10" s="213">
        <v>2022</v>
      </c>
      <c r="H10" s="60">
        <v>4</v>
      </c>
      <c r="I10" s="231">
        <f>'Energy Prices'!O9</f>
        <v>22.43</v>
      </c>
      <c r="J10" s="231">
        <f t="shared" si="0"/>
        <v>0.60560999999999998</v>
      </c>
      <c r="K10" s="231">
        <f t="shared" si="4"/>
        <v>0</v>
      </c>
      <c r="L10" s="231">
        <v>0</v>
      </c>
      <c r="M10" s="231">
        <v>0</v>
      </c>
      <c r="N10" s="231">
        <f t="shared" si="1"/>
        <v>17.185043344377352</v>
      </c>
      <c r="O10" s="231">
        <f t="shared" si="2"/>
        <v>75.344550039894415</v>
      </c>
      <c r="P10" s="231">
        <f t="shared" si="3"/>
        <v>22.545881571901059</v>
      </c>
      <c r="Q10" s="227"/>
      <c r="R10" s="228"/>
      <c r="S10" s="229"/>
      <c r="T10" s="230"/>
      <c r="U10" s="230"/>
    </row>
    <row r="11" spans="2:21" x14ac:dyDescent="0.2">
      <c r="B11" s="222"/>
      <c r="C11" s="222"/>
      <c r="D11" s="222"/>
      <c r="E11" s="222"/>
      <c r="F11" s="225"/>
      <c r="G11" s="60">
        <v>2023</v>
      </c>
      <c r="H11" s="60">
        <v>5</v>
      </c>
      <c r="I11" s="231">
        <f>'Energy Prices'!O10</f>
        <v>23.18</v>
      </c>
      <c r="J11" s="231">
        <f t="shared" si="0"/>
        <v>0.62585999999999997</v>
      </c>
      <c r="K11" s="231">
        <f t="shared" si="4"/>
        <v>0</v>
      </c>
      <c r="L11" s="231">
        <v>0</v>
      </c>
      <c r="M11" s="231">
        <v>0</v>
      </c>
      <c r="N11" s="231">
        <f t="shared" si="1"/>
        <v>16.505265647718012</v>
      </c>
      <c r="O11" s="231">
        <f t="shared" si="2"/>
        <v>91.84981568761242</v>
      </c>
      <c r="P11" s="231">
        <f t="shared" si="3"/>
        <v>22.762373148115621</v>
      </c>
      <c r="Q11" s="227"/>
      <c r="R11" s="228"/>
      <c r="S11" s="229"/>
      <c r="T11" s="230"/>
      <c r="U11" s="230"/>
    </row>
    <row r="12" spans="2:21" x14ac:dyDescent="0.2">
      <c r="B12" s="241"/>
      <c r="C12" s="241"/>
      <c r="D12" s="241"/>
      <c r="E12" s="241"/>
      <c r="F12" s="222"/>
      <c r="G12" s="60">
        <v>2024</v>
      </c>
      <c r="H12" s="60">
        <v>6</v>
      </c>
      <c r="I12" s="231">
        <f>'Energy Prices'!O11</f>
        <v>25.34</v>
      </c>
      <c r="J12" s="231">
        <f t="shared" si="0"/>
        <v>0.68418000000000001</v>
      </c>
      <c r="K12" s="231">
        <f t="shared" si="4"/>
        <v>0</v>
      </c>
      <c r="L12" s="231">
        <v>0</v>
      </c>
      <c r="M12" s="231">
        <v>0</v>
      </c>
      <c r="N12" s="231">
        <f>(I12+J12+K12+L12+M12)/((1+$E$7)^H12)</f>
        <v>16.768855646980253</v>
      </c>
      <c r="O12" s="231">
        <f t="shared" si="2"/>
        <v>108.61867133459268</v>
      </c>
      <c r="P12" s="231">
        <f>(-PMT($E$7,H12,(O12)))</f>
        <v>23.211515093687716</v>
      </c>
      <c r="Q12" s="227"/>
      <c r="R12" s="228"/>
      <c r="S12" s="229"/>
      <c r="T12" s="230"/>
      <c r="U12" s="230"/>
    </row>
    <row r="13" spans="2:21" x14ac:dyDescent="0.2">
      <c r="B13" s="241"/>
      <c r="C13" s="241"/>
      <c r="D13" s="241"/>
      <c r="E13" s="241"/>
      <c r="F13" s="222"/>
      <c r="G13" s="213">
        <v>2025</v>
      </c>
      <c r="H13" s="60">
        <v>7</v>
      </c>
      <c r="I13" s="231">
        <f>'Energy Prices'!O12</f>
        <v>27.34</v>
      </c>
      <c r="J13" s="231">
        <f t="shared" si="0"/>
        <v>0.73817999999999995</v>
      </c>
      <c r="K13" s="231">
        <f t="shared" si="4"/>
        <v>0</v>
      </c>
      <c r="L13" s="231">
        <v>0</v>
      </c>
      <c r="M13" s="231">
        <v>0</v>
      </c>
      <c r="N13" s="231">
        <f t="shared" si="1"/>
        <v>16.814465037146849</v>
      </c>
      <c r="O13" s="231">
        <f t="shared" si="2"/>
        <v>125.43313637173952</v>
      </c>
      <c r="P13" s="231">
        <f>(-PMT($E$7,H13,(O13)))</f>
        <v>23.763651569621921</v>
      </c>
      <c r="Q13" s="227"/>
      <c r="R13" s="228"/>
      <c r="S13" s="229"/>
      <c r="T13" s="230"/>
      <c r="U13" s="230"/>
    </row>
    <row r="14" spans="2:21" x14ac:dyDescent="0.2">
      <c r="B14" s="241"/>
      <c r="C14" s="241"/>
      <c r="D14" s="241"/>
      <c r="E14" s="241"/>
      <c r="F14" s="225"/>
      <c r="G14" s="60">
        <v>2026</v>
      </c>
      <c r="H14" s="60">
        <v>8</v>
      </c>
      <c r="I14" s="231">
        <f>'Energy Prices'!O13</f>
        <v>29.61</v>
      </c>
      <c r="J14" s="231">
        <f t="shared" si="0"/>
        <v>0.79947000000000001</v>
      </c>
      <c r="K14" s="231">
        <f t="shared" si="4"/>
        <v>0</v>
      </c>
      <c r="L14" s="231">
        <v>0</v>
      </c>
      <c r="M14" s="231">
        <v>0</v>
      </c>
      <c r="N14" s="231">
        <f>(I14+J14+K14+L14+M14)/((1+$E$7)^H14)</f>
        <v>16.924298648368413</v>
      </c>
      <c r="O14" s="231">
        <f t="shared" si="2"/>
        <v>142.35743502010794</v>
      </c>
      <c r="P14" s="231">
        <f t="shared" si="3"/>
        <v>24.397545035553701</v>
      </c>
      <c r="Q14" s="227"/>
      <c r="R14" s="228"/>
      <c r="S14" s="229"/>
      <c r="T14" s="230"/>
      <c r="U14" s="230"/>
    </row>
    <row r="15" spans="2:21" x14ac:dyDescent="0.2">
      <c r="B15" s="241"/>
      <c r="C15" s="241"/>
      <c r="D15" s="241"/>
      <c r="E15" s="241"/>
      <c r="F15" s="222"/>
      <c r="G15" s="60">
        <v>2027</v>
      </c>
      <c r="H15" s="60">
        <v>9</v>
      </c>
      <c r="I15" s="231">
        <f>'Energy Prices'!O14</f>
        <v>32.69</v>
      </c>
      <c r="J15" s="231">
        <f t="shared" si="0"/>
        <v>0.88262999999999991</v>
      </c>
      <c r="K15" s="231">
        <f t="shared" si="4"/>
        <v>0</v>
      </c>
      <c r="L15" s="231">
        <v>0</v>
      </c>
      <c r="M15" s="231">
        <v>0</v>
      </c>
      <c r="N15" s="231">
        <f t="shared" si="1"/>
        <v>17.365005380201708</v>
      </c>
      <c r="O15" s="231">
        <f t="shared" si="2"/>
        <v>159.72244040030967</v>
      </c>
      <c r="P15" s="231">
        <f t="shared" si="3"/>
        <v>25.144645901144852</v>
      </c>
      <c r="Q15" s="227"/>
      <c r="R15" s="228"/>
      <c r="S15" s="229"/>
      <c r="T15" s="230"/>
      <c r="U15" s="230"/>
    </row>
    <row r="16" spans="2:21" x14ac:dyDescent="0.2">
      <c r="B16" s="241"/>
      <c r="C16" s="241"/>
      <c r="D16" s="241"/>
      <c r="E16" s="241"/>
      <c r="F16" s="233"/>
      <c r="G16" s="213">
        <v>2028</v>
      </c>
      <c r="H16" s="60">
        <v>10</v>
      </c>
      <c r="I16" s="231">
        <f>'Energy Prices'!O15</f>
        <v>34.39</v>
      </c>
      <c r="J16" s="231">
        <f t="shared" si="0"/>
        <v>0.92852999999999997</v>
      </c>
      <c r="K16" s="231">
        <f t="shared" si="4"/>
        <v>0</v>
      </c>
      <c r="L16" s="231">
        <v>0</v>
      </c>
      <c r="M16" s="231">
        <v>0</v>
      </c>
      <c r="N16" s="231">
        <f t="shared" si="1"/>
        <v>16.97774108202254</v>
      </c>
      <c r="O16" s="231">
        <f t="shared" si="2"/>
        <v>176.7001814823322</v>
      </c>
      <c r="P16" s="231">
        <f t="shared" si="3"/>
        <v>25.860397408939956</v>
      </c>
      <c r="Q16" s="227"/>
      <c r="R16" s="228"/>
      <c r="S16" s="229"/>
      <c r="T16" s="230"/>
      <c r="U16" s="230"/>
    </row>
    <row r="17" spans="2:21" x14ac:dyDescent="0.2">
      <c r="B17" s="241"/>
      <c r="C17" s="241"/>
      <c r="D17" s="241"/>
      <c r="E17" s="241"/>
      <c r="F17" s="234"/>
      <c r="G17" s="60">
        <v>2029</v>
      </c>
      <c r="H17" s="60">
        <v>11</v>
      </c>
      <c r="I17" s="231">
        <f>'Energy Prices'!O16</f>
        <v>36.47</v>
      </c>
      <c r="J17" s="231">
        <f t="shared" si="0"/>
        <v>0.98468999999999995</v>
      </c>
      <c r="K17" s="231">
        <f t="shared" si="4"/>
        <v>0</v>
      </c>
      <c r="L17" s="231">
        <v>0</v>
      </c>
      <c r="M17" s="231">
        <v>0</v>
      </c>
      <c r="N17" s="231">
        <f t="shared" si="1"/>
        <v>16.732900256876398</v>
      </c>
      <c r="O17" s="231">
        <f t="shared" si="2"/>
        <v>193.4330817392086</v>
      </c>
      <c r="P17" s="231">
        <f t="shared" si="3"/>
        <v>26.571941485725684</v>
      </c>
      <c r="Q17" s="227"/>
      <c r="R17" s="228"/>
      <c r="S17" s="229"/>
      <c r="T17" s="230"/>
      <c r="U17" s="230"/>
    </row>
    <row r="18" spans="2:21" x14ac:dyDescent="0.2">
      <c r="B18" s="241"/>
      <c r="C18" s="241"/>
      <c r="D18" s="241"/>
      <c r="E18" s="241"/>
      <c r="F18" s="234"/>
      <c r="G18" s="60">
        <v>2030</v>
      </c>
      <c r="H18" s="60">
        <v>12</v>
      </c>
      <c r="I18" s="231">
        <f>'Energy Prices'!O17</f>
        <v>37.74</v>
      </c>
      <c r="J18" s="231">
        <f t="shared" si="0"/>
        <v>1.01898</v>
      </c>
      <c r="K18" s="231">
        <f t="shared" si="4"/>
        <v>0</v>
      </c>
      <c r="L18" s="231">
        <v>0</v>
      </c>
      <c r="M18" s="231">
        <v>0</v>
      </c>
      <c r="N18" s="231">
        <f t="shared" si="1"/>
        <v>16.092558014646539</v>
      </c>
      <c r="O18" s="231">
        <f t="shared" si="2"/>
        <v>209.52563975385513</v>
      </c>
      <c r="P18" s="231">
        <f t="shared" si="3"/>
        <v>27.229529501062903</v>
      </c>
      <c r="Q18" s="227"/>
      <c r="R18" s="228"/>
      <c r="S18" s="229"/>
      <c r="T18" s="230"/>
      <c r="U18" s="230"/>
    </row>
    <row r="19" spans="2:21" x14ac:dyDescent="0.2">
      <c r="B19" s="241"/>
      <c r="C19" s="241"/>
      <c r="D19" s="241"/>
      <c r="E19" s="241"/>
      <c r="F19" s="234"/>
      <c r="G19" s="213">
        <v>2031</v>
      </c>
      <c r="H19" s="60">
        <v>13</v>
      </c>
      <c r="I19" s="231">
        <f>'Energy Prices'!O18</f>
        <v>39.630000000000003</v>
      </c>
      <c r="J19" s="231">
        <f t="shared" si="0"/>
        <v>1.0700100000000001</v>
      </c>
      <c r="K19" s="231">
        <f t="shared" si="4"/>
        <v>0</v>
      </c>
      <c r="L19" s="231">
        <v>0</v>
      </c>
      <c r="M19" s="231">
        <v>0</v>
      </c>
      <c r="N19" s="231">
        <f t="shared" si="1"/>
        <v>15.704893246307705</v>
      </c>
      <c r="O19" s="231">
        <f t="shared" si="2"/>
        <v>225.23053300016284</v>
      </c>
      <c r="P19" s="231">
        <f t="shared" si="3"/>
        <v>27.872774619002108</v>
      </c>
      <c r="Q19" s="227"/>
      <c r="R19" s="228"/>
      <c r="S19" s="229"/>
      <c r="T19" s="230"/>
      <c r="U19" s="230"/>
    </row>
    <row r="20" spans="2:21" x14ac:dyDescent="0.2">
      <c r="B20" s="241"/>
      <c r="C20" s="241"/>
      <c r="D20" s="241"/>
      <c r="E20" s="241"/>
      <c r="F20" s="234"/>
      <c r="G20" s="60">
        <v>2032</v>
      </c>
      <c r="H20" s="60">
        <v>14</v>
      </c>
      <c r="I20" s="231">
        <f>'Energy Prices'!O19</f>
        <v>42.43</v>
      </c>
      <c r="J20" s="231">
        <f t="shared" si="0"/>
        <v>1.14561</v>
      </c>
      <c r="K20" s="231">
        <f t="shared" si="4"/>
        <v>0</v>
      </c>
      <c r="L20" s="231">
        <v>0</v>
      </c>
      <c r="M20" s="231">
        <v>0</v>
      </c>
      <c r="N20" s="231">
        <f t="shared" si="1"/>
        <v>15.626858394630716</v>
      </c>
      <c r="O20" s="231">
        <f t="shared" si="2"/>
        <v>240.85739139479355</v>
      </c>
      <c r="P20" s="231">
        <f t="shared" si="3"/>
        <v>28.540043594561258</v>
      </c>
      <c r="Q20" s="227"/>
      <c r="R20" s="228"/>
      <c r="S20" s="229"/>
      <c r="T20" s="230"/>
      <c r="U20" s="230"/>
    </row>
    <row r="21" spans="2:21" x14ac:dyDescent="0.2">
      <c r="B21" s="241"/>
      <c r="C21" s="241"/>
      <c r="D21" s="241"/>
      <c r="E21" s="241"/>
      <c r="F21" s="234"/>
      <c r="G21" s="60">
        <v>2033</v>
      </c>
      <c r="H21" s="235">
        <v>15</v>
      </c>
      <c r="I21" s="236">
        <f>'Energy Prices'!O20</f>
        <v>46.57</v>
      </c>
      <c r="J21" s="236">
        <f t="shared" si="0"/>
        <v>1.25739</v>
      </c>
      <c r="K21" s="236">
        <f t="shared" si="4"/>
        <v>0</v>
      </c>
      <c r="L21" s="236">
        <v>0</v>
      </c>
      <c r="M21" s="236">
        <v>0</v>
      </c>
      <c r="N21" s="236">
        <f>(I21+J21+K21+L21+M21)/((1+$E$7)^H21)</f>
        <v>15.940157623226193</v>
      </c>
      <c r="O21" s="236">
        <f>N21+O20</f>
        <v>256.79754901801977</v>
      </c>
      <c r="P21" s="236">
        <f>(-PMT($E$7,H21,(O21)))</f>
        <v>29.272803769652217</v>
      </c>
      <c r="Q21" s="227"/>
      <c r="R21" s="228"/>
      <c r="S21" s="229"/>
      <c r="T21" s="230"/>
      <c r="U21" s="230"/>
    </row>
    <row r="22" spans="2:21" x14ac:dyDescent="0.2">
      <c r="B22" s="241"/>
      <c r="C22" s="241"/>
      <c r="D22" s="241"/>
      <c r="E22" s="241"/>
      <c r="F22" s="234"/>
      <c r="G22" s="213">
        <v>2034</v>
      </c>
      <c r="H22" s="60">
        <v>16</v>
      </c>
      <c r="I22" s="231">
        <f>'Energy Prices'!O21</f>
        <v>49.82</v>
      </c>
      <c r="J22" s="231">
        <f t="shared" si="0"/>
        <v>1.34514</v>
      </c>
      <c r="K22" s="231">
        <f t="shared" si="4"/>
        <v>0</v>
      </c>
      <c r="L22" s="231">
        <v>0</v>
      </c>
      <c r="M22" s="231">
        <v>0</v>
      </c>
      <c r="N22" s="231">
        <f t="shared" si="1"/>
        <v>15.848122720266991</v>
      </c>
      <c r="O22" s="231">
        <f t="shared" si="2"/>
        <v>272.64567173828675</v>
      </c>
      <c r="P22" s="231">
        <f t="shared" si="3"/>
        <v>30.019423580811527</v>
      </c>
      <c r="Q22" s="227"/>
      <c r="R22" s="228"/>
      <c r="S22" s="229"/>
      <c r="T22" s="230"/>
      <c r="U22" s="230"/>
    </row>
    <row r="23" spans="2:21" x14ac:dyDescent="0.2">
      <c r="B23" s="241"/>
      <c r="C23" s="241"/>
      <c r="D23" s="241"/>
      <c r="E23" s="241"/>
      <c r="F23" s="234"/>
      <c r="G23" s="60">
        <v>2035</v>
      </c>
      <c r="H23" s="60">
        <v>17</v>
      </c>
      <c r="I23" s="231">
        <f>'Energy Prices'!O22</f>
        <v>52.73</v>
      </c>
      <c r="J23" s="231">
        <f t="shared" si="0"/>
        <v>1.4237099999999998</v>
      </c>
      <c r="K23" s="231">
        <f t="shared" si="4"/>
        <v>0</v>
      </c>
      <c r="L23" s="231">
        <v>0</v>
      </c>
      <c r="M23" s="231">
        <v>0</v>
      </c>
      <c r="N23" s="231">
        <f t="shared" si="1"/>
        <v>15.589048288330151</v>
      </c>
      <c r="O23" s="231">
        <f t="shared" si="2"/>
        <v>288.23472002661691</v>
      </c>
      <c r="P23" s="231">
        <f t="shared" si="3"/>
        <v>30.760867198278145</v>
      </c>
      <c r="Q23" s="227"/>
      <c r="R23" s="228"/>
      <c r="S23" s="229"/>
      <c r="T23" s="230"/>
      <c r="U23" s="230"/>
    </row>
    <row r="24" spans="2:21" x14ac:dyDescent="0.2">
      <c r="B24" s="241"/>
      <c r="C24" s="241"/>
      <c r="D24" s="241"/>
      <c r="E24" s="241"/>
      <c r="F24" s="234"/>
      <c r="G24" s="60">
        <v>2036</v>
      </c>
      <c r="H24" s="60">
        <v>18</v>
      </c>
      <c r="I24" s="231">
        <f>'Energy Prices'!O23</f>
        <v>57.06</v>
      </c>
      <c r="J24" s="231">
        <f t="shared" si="0"/>
        <v>1.5406200000000001</v>
      </c>
      <c r="K24" s="231">
        <f t="shared" si="4"/>
        <v>0</v>
      </c>
      <c r="L24" s="231">
        <v>0</v>
      </c>
      <c r="M24" s="231">
        <v>0</v>
      </c>
      <c r="N24" s="231">
        <f t="shared" si="1"/>
        <v>15.67766307795338</v>
      </c>
      <c r="O24" s="231">
        <f t="shared" si="2"/>
        <v>303.91238310457027</v>
      </c>
      <c r="P24" s="231">
        <f t="shared" si="3"/>
        <v>31.533673511919577</v>
      </c>
      <c r="Q24" s="227"/>
      <c r="R24" s="228"/>
      <c r="S24" s="229"/>
      <c r="T24" s="230"/>
      <c r="U24" s="230"/>
    </row>
    <row r="25" spans="2:21" x14ac:dyDescent="0.2">
      <c r="B25" s="241"/>
      <c r="C25" s="241"/>
      <c r="D25" s="241"/>
      <c r="E25" s="241"/>
      <c r="F25" s="234"/>
      <c r="G25" s="213">
        <v>2037</v>
      </c>
      <c r="H25" s="60">
        <v>19</v>
      </c>
      <c r="I25" s="231">
        <f>'Energy Prices'!O24</f>
        <v>59.25</v>
      </c>
      <c r="J25" s="231">
        <f t="shared" si="0"/>
        <v>1.59975</v>
      </c>
      <c r="K25" s="231">
        <f t="shared" si="4"/>
        <v>0</v>
      </c>
      <c r="L25" s="231">
        <v>0</v>
      </c>
      <c r="M25" s="231">
        <v>0</v>
      </c>
      <c r="N25" s="231">
        <f t="shared" si="1"/>
        <v>15.129537182030033</v>
      </c>
      <c r="O25" s="231">
        <f t="shared" si="2"/>
        <v>319.04192028660032</v>
      </c>
      <c r="P25" s="231">
        <f t="shared" si="3"/>
        <v>32.270960956266997</v>
      </c>
      <c r="Q25" s="227"/>
      <c r="R25" s="228"/>
      <c r="S25" s="229"/>
      <c r="T25" s="230"/>
      <c r="U25" s="230"/>
    </row>
    <row r="26" spans="2:21" x14ac:dyDescent="0.2">
      <c r="C26" s="241"/>
      <c r="D26" s="241"/>
      <c r="E26" s="244"/>
      <c r="F26" s="241"/>
      <c r="H26" s="241"/>
      <c r="I26" s="241"/>
      <c r="J26" s="241"/>
      <c r="K26" s="241"/>
      <c r="L26" s="241"/>
      <c r="M26" s="241"/>
      <c r="N26" s="241"/>
      <c r="O26" s="241"/>
      <c r="P26" s="241"/>
      <c r="Q26" s="227"/>
      <c r="R26" s="228"/>
      <c r="S26" s="229"/>
      <c r="T26" s="230"/>
      <c r="U26" s="230"/>
    </row>
    <row r="27" spans="2:21" ht="15.75" x14ac:dyDescent="0.25">
      <c r="B27" s="31" t="s">
        <v>26</v>
      </c>
      <c r="C27" s="82" t="s">
        <v>117</v>
      </c>
      <c r="D27" s="241"/>
      <c r="E27" s="244"/>
      <c r="F27" s="241"/>
      <c r="H27" s="241"/>
      <c r="I27" s="241"/>
      <c r="J27" s="241"/>
      <c r="K27" s="241"/>
      <c r="L27" s="241"/>
      <c r="M27" s="241"/>
      <c r="N27" s="241"/>
      <c r="O27" s="241"/>
      <c r="P27" s="241"/>
      <c r="Q27" s="227"/>
      <c r="R27" s="228"/>
      <c r="S27" s="229"/>
      <c r="T27" s="230"/>
      <c r="U27" s="230"/>
    </row>
    <row r="28" spans="2:21" ht="15.75" x14ac:dyDescent="0.25">
      <c r="B28" s="31"/>
      <c r="C28" s="86" t="s">
        <v>118</v>
      </c>
      <c r="D28" s="241"/>
      <c r="E28" s="244"/>
      <c r="F28" s="241"/>
      <c r="H28" s="241"/>
      <c r="I28" s="241"/>
      <c r="J28" s="241"/>
      <c r="K28" s="241"/>
      <c r="L28" s="241"/>
      <c r="M28" s="241"/>
      <c r="N28" s="241"/>
      <c r="O28" s="241"/>
      <c r="P28" s="241"/>
      <c r="Q28" s="227"/>
      <c r="R28" s="228"/>
      <c r="S28" s="229"/>
      <c r="T28" s="230"/>
      <c r="U28" s="230"/>
    </row>
    <row r="29" spans="2:21" ht="15.75" x14ac:dyDescent="0.25">
      <c r="B29" s="31" t="s">
        <v>27</v>
      </c>
      <c r="C29" s="82" t="s">
        <v>45</v>
      </c>
      <c r="D29" s="82"/>
      <c r="F29" s="241"/>
      <c r="Q29" s="241"/>
      <c r="R29" s="241"/>
      <c r="S29" s="241"/>
      <c r="T29" s="241"/>
      <c r="U29" s="241"/>
    </row>
    <row r="30" spans="2:21" ht="15.75" x14ac:dyDescent="0.25">
      <c r="B30" s="25" t="s">
        <v>33</v>
      </c>
      <c r="C30" s="243" t="s">
        <v>46</v>
      </c>
    </row>
    <row r="31" spans="2:21" ht="15.75" x14ac:dyDescent="0.25">
      <c r="B31" s="31" t="s">
        <v>28</v>
      </c>
      <c r="C31" s="243" t="s">
        <v>83</v>
      </c>
    </row>
  </sheetData>
  <phoneticPr fontId="13" type="noConversion"/>
  <hyperlinks>
    <hyperlink ref="C28" r:id="rId1"/>
  </hyperlinks>
  <pageMargins left="0.75" right="0.5" top="0.76" bottom="0.79" header="0.5" footer="0.26"/>
  <pageSetup scale="63" orientation="landscape" r:id="rId2"/>
  <headerFooter alignWithMargins="0">
    <oddFooter>&amp;L&amp;F&amp;C&amp;A&amp;RPSE Advice No. 2018-48 &amp;D
Page &amp;P of &amp;N</oddFooter>
  </headerFooter>
  <customProperties>
    <customPr name="_pios_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39997558519241921"/>
    <pageSetUpPr fitToPage="1"/>
  </sheetPr>
  <dimension ref="B2:M41"/>
  <sheetViews>
    <sheetView workbookViewId="0">
      <pane ySplit="8" topLeftCell="A9" activePane="bottomLeft" state="frozen"/>
      <selection activeCell="F13" sqref="F13"/>
      <selection pane="bottomLeft"/>
    </sheetView>
  </sheetViews>
  <sheetFormatPr defaultRowHeight="12.75" x14ac:dyDescent="0.2"/>
  <cols>
    <col min="1" max="1" width="2.7109375" customWidth="1"/>
    <col min="2" max="2" width="11" customWidth="1"/>
    <col min="3" max="3" width="18.42578125" customWidth="1"/>
    <col min="4" max="4" width="13.85546875" customWidth="1"/>
    <col min="5" max="5" width="12.42578125" customWidth="1"/>
    <col min="6" max="6" width="2" customWidth="1"/>
    <col min="7" max="7" width="18.42578125" customWidth="1"/>
    <col min="8" max="8" width="13.140625" customWidth="1"/>
    <col min="9" max="9" width="12.140625" customWidth="1"/>
    <col min="10" max="10" width="2.140625" customWidth="1"/>
    <col min="11" max="11" width="17.28515625" customWidth="1"/>
    <col min="12" max="13" width="11.28515625" customWidth="1"/>
  </cols>
  <sheetData>
    <row r="2" spans="2:13" ht="15.75" x14ac:dyDescent="0.25">
      <c r="B2" s="51" t="str">
        <f>+C8</f>
        <v>Levelized Cost Effectiveness Standard-Capacity</v>
      </c>
    </row>
    <row r="3" spans="2:13" ht="15.75" x14ac:dyDescent="0.25">
      <c r="B3" s="51"/>
      <c r="C3" s="53"/>
      <c r="D3" s="53"/>
    </row>
    <row r="4" spans="2:13" x14ac:dyDescent="0.2">
      <c r="B4" s="191" t="s">
        <v>39</v>
      </c>
      <c r="C4" s="193" t="s">
        <v>40</v>
      </c>
      <c r="D4" s="190">
        <f>1/8760</f>
        <v>1.1415525114155251E-4</v>
      </c>
      <c r="E4" s="72" t="s">
        <v>120</v>
      </c>
    </row>
    <row r="5" spans="2:13" x14ac:dyDescent="0.2">
      <c r="B5" s="7"/>
      <c r="C5" s="192"/>
      <c r="D5" s="53"/>
    </row>
    <row r="6" spans="2:13" x14ac:dyDescent="0.2">
      <c r="B6" s="7"/>
      <c r="C6" s="34"/>
    </row>
    <row r="7" spans="2:13" ht="13.15" customHeight="1" x14ac:dyDescent="0.2">
      <c r="B7" s="41"/>
      <c r="C7" s="43" t="s">
        <v>44</v>
      </c>
      <c r="D7" s="44" t="s">
        <v>41</v>
      </c>
      <c r="E7" s="44" t="s">
        <v>42</v>
      </c>
      <c r="G7" s="42" t="s">
        <v>44</v>
      </c>
      <c r="H7" s="42" t="s">
        <v>41</v>
      </c>
      <c r="I7" s="42" t="s">
        <v>42</v>
      </c>
      <c r="K7" s="42" t="s">
        <v>44</v>
      </c>
      <c r="L7" s="42" t="s">
        <v>41</v>
      </c>
      <c r="M7" s="42" t="s">
        <v>42</v>
      </c>
    </row>
    <row r="8" spans="2:13" s="7" customFormat="1" ht="51" x14ac:dyDescent="0.2">
      <c r="B8" s="6" t="s">
        <v>2</v>
      </c>
      <c r="C8" s="33" t="str">
        <f>+'Firm Avoided Capacity Calcs'!M4</f>
        <v>Levelized Cost Effectiveness Standard-Capacity</v>
      </c>
      <c r="D8" s="36" t="s">
        <v>59</v>
      </c>
      <c r="E8" s="36" t="str">
        <f>+D8</f>
        <v>Base</v>
      </c>
      <c r="F8"/>
      <c r="G8" s="6" t="s">
        <v>20</v>
      </c>
      <c r="H8" s="6" t="s">
        <v>60</v>
      </c>
      <c r="I8" s="6" t="s">
        <v>60</v>
      </c>
      <c r="K8" s="6" t="s">
        <v>20</v>
      </c>
      <c r="L8" s="6" t="s">
        <v>61</v>
      </c>
      <c r="M8" s="6" t="s">
        <v>61</v>
      </c>
    </row>
    <row r="9" spans="2:13" x14ac:dyDescent="0.2">
      <c r="B9" s="8">
        <v>1</v>
      </c>
      <c r="C9" s="54">
        <f>+'Firm Avoided Capacity Calcs'!M7</f>
        <v>32.589147679963077</v>
      </c>
      <c r="D9" s="37">
        <f>+C9*$D$4*1000</f>
        <v>3.7202223378953279</v>
      </c>
      <c r="E9" s="39">
        <f t="shared" ref="E9:E28" si="0">D9/1000</f>
        <v>3.7202223378953281E-3</v>
      </c>
      <c r="F9" s="55"/>
      <c r="G9" s="56">
        <f>'Wind Avoided Capacity Calcs'!M7</f>
        <v>32.503160212905982</v>
      </c>
      <c r="H9" s="37">
        <f>+G9*$D$4*1000</f>
        <v>3.7104064169983997</v>
      </c>
      <c r="I9" s="39">
        <f t="shared" ref="I9:I28" si="1">H9/1000</f>
        <v>3.7104064169983996E-3</v>
      </c>
      <c r="J9" s="55"/>
      <c r="K9" s="56">
        <f>'Solar Avoided Capacity Calcs'!M7</f>
        <v>32.488828968396462</v>
      </c>
      <c r="L9" s="37">
        <f>+K9*$D$4*1000</f>
        <v>3.7087704301822444</v>
      </c>
      <c r="M9" s="199">
        <f t="shared" ref="M9:M28" si="2">L9/1000</f>
        <v>3.7087704301822445E-3</v>
      </c>
    </row>
    <row r="10" spans="2:13" x14ac:dyDescent="0.2">
      <c r="B10" s="8">
        <v>2</v>
      </c>
      <c r="C10" s="54">
        <f>+'Firm Avoided Capacity Calcs'!M8</f>
        <v>32.980366148746221</v>
      </c>
      <c r="D10" s="37">
        <f t="shared" ref="D10:D28" si="3">+C10*$D$4*1000</f>
        <v>3.7648819804504816</v>
      </c>
      <c r="E10" s="39">
        <f t="shared" si="0"/>
        <v>3.7648819804504815E-3</v>
      </c>
      <c r="F10" s="55"/>
      <c r="G10" s="56">
        <f>'Wind Avoided Capacity Calcs'!M8</f>
        <v>32.894378681689119</v>
      </c>
      <c r="H10" s="37">
        <f t="shared" ref="H10:H28" si="4">+G10*$D$4*1000</f>
        <v>3.7550660595535521</v>
      </c>
      <c r="I10" s="39">
        <f t="shared" si="1"/>
        <v>3.7550660595535522E-3</v>
      </c>
      <c r="J10" s="55"/>
      <c r="K10" s="56">
        <f>'Solar Avoided Capacity Calcs'!M8</f>
        <v>32.880047437179599</v>
      </c>
      <c r="L10" s="37">
        <f t="shared" ref="L10:L28" si="5">+K10*$D$4*1000</f>
        <v>3.7534300727373973</v>
      </c>
      <c r="M10" s="199">
        <f t="shared" si="2"/>
        <v>3.7534300727373971E-3</v>
      </c>
    </row>
    <row r="11" spans="2:13" x14ac:dyDescent="0.2">
      <c r="B11" s="8">
        <v>3</v>
      </c>
      <c r="C11" s="54">
        <f>+'Firm Avoided Capacity Calcs'!M9</f>
        <v>33.36797025371029</v>
      </c>
      <c r="D11" s="37">
        <f t="shared" si="3"/>
        <v>3.8091290243961518</v>
      </c>
      <c r="E11" s="39">
        <f t="shared" si="0"/>
        <v>3.8091290243961518E-3</v>
      </c>
      <c r="F11" s="55"/>
      <c r="G11" s="56">
        <f>'Wind Avoided Capacity Calcs'!M9</f>
        <v>33.281982786653188</v>
      </c>
      <c r="H11" s="37">
        <f t="shared" si="4"/>
        <v>3.7993131034992222</v>
      </c>
      <c r="I11" s="39">
        <f t="shared" si="1"/>
        <v>3.7993131034992221E-3</v>
      </c>
      <c r="J11" s="55"/>
      <c r="K11" s="56">
        <f>'Solar Avoided Capacity Calcs'!M9</f>
        <v>33.267651542143675</v>
      </c>
      <c r="L11" s="37">
        <f t="shared" si="5"/>
        <v>3.7976771166830678</v>
      </c>
      <c r="M11" s="199">
        <f t="shared" si="2"/>
        <v>3.7976771166830679E-3</v>
      </c>
    </row>
    <row r="12" spans="2:13" x14ac:dyDescent="0.2">
      <c r="B12" s="8">
        <v>4</v>
      </c>
      <c r="C12" s="54">
        <f>+'Firm Avoided Capacity Calcs'!M10</f>
        <v>34.456639424941422</v>
      </c>
      <c r="D12" s="37">
        <f>+C12*$D$4*1000</f>
        <v>3.9334063270481079</v>
      </c>
      <c r="E12" s="39">
        <f t="shared" si="0"/>
        <v>3.9334063270481077E-3</v>
      </c>
      <c r="F12" s="55"/>
      <c r="G12" s="56">
        <f>'Wind Avoided Capacity Calcs'!M10</f>
        <v>33.778535184554165</v>
      </c>
      <c r="H12" s="37">
        <f t="shared" si="4"/>
        <v>3.8559971671865485</v>
      </c>
      <c r="I12" s="39">
        <f t="shared" si="1"/>
        <v>3.8559971671865484E-3</v>
      </c>
      <c r="J12" s="55"/>
      <c r="K12" s="56">
        <f>'Solar Avoided Capacity Calcs'!M10</f>
        <v>33.665517811156278</v>
      </c>
      <c r="L12" s="37">
        <f t="shared" si="5"/>
        <v>3.8430956405429542</v>
      </c>
      <c r="M12" s="199">
        <f t="shared" si="2"/>
        <v>3.8430956405429541E-3</v>
      </c>
    </row>
    <row r="13" spans="2:13" x14ac:dyDescent="0.2">
      <c r="B13" s="8">
        <v>5</v>
      </c>
      <c r="C13" s="54">
        <f>+'Firm Avoided Capacity Calcs'!M11</f>
        <v>50.677065481587796</v>
      </c>
      <c r="D13" s="37">
        <f t="shared" si="3"/>
        <v>5.785053137167556</v>
      </c>
      <c r="E13" s="39">
        <f t="shared" si="0"/>
        <v>5.785053137167556E-3</v>
      </c>
      <c r="F13" s="55"/>
      <c r="G13" s="56">
        <f>'Wind Avoided Capacity Calcs'!M11</f>
        <v>36.692766703141054</v>
      </c>
      <c r="H13" s="37">
        <f t="shared" si="4"/>
        <v>4.1886719980754625</v>
      </c>
      <c r="I13" s="39">
        <f t="shared" si="1"/>
        <v>4.1886719980754623E-3</v>
      </c>
      <c r="J13" s="55"/>
      <c r="K13" s="56">
        <f>'Solar Avoided Capacity Calcs'!M11</f>
        <v>34.362050240066594</v>
      </c>
      <c r="L13" s="37">
        <f>+K13*$D$4*1000</f>
        <v>3.9226084748934467</v>
      </c>
      <c r="M13" s="199">
        <f t="shared" si="2"/>
        <v>3.9226084748934468E-3</v>
      </c>
    </row>
    <row r="14" spans="2:13" x14ac:dyDescent="0.2">
      <c r="B14" s="8">
        <v>6</v>
      </c>
      <c r="C14" s="54">
        <f>+'Firm Avoided Capacity Calcs'!M12</f>
        <v>61.565994067144118</v>
      </c>
      <c r="D14" s="37">
        <f t="shared" si="3"/>
        <v>7.0280815145141684</v>
      </c>
      <c r="E14" s="39">
        <f t="shared" si="0"/>
        <v>7.0280815145141685E-3</v>
      </c>
      <c r="F14" s="55"/>
      <c r="G14" s="56">
        <f>'Wind Avoided Capacity Calcs'!M12</f>
        <v>38.750383400736375</v>
      </c>
      <c r="H14" s="37">
        <f t="shared" si="4"/>
        <v>4.423559748942508</v>
      </c>
      <c r="I14" s="39">
        <f t="shared" si="1"/>
        <v>4.4235597489425084E-3</v>
      </c>
      <c r="J14" s="55"/>
      <c r="K14" s="56">
        <f>'Solar Avoided Capacity Calcs'!M12</f>
        <v>34.947781623001745</v>
      </c>
      <c r="L14" s="37">
        <f t="shared" si="5"/>
        <v>3.9894727880138978</v>
      </c>
      <c r="M14" s="199">
        <f t="shared" si="2"/>
        <v>3.989472788013898E-3</v>
      </c>
    </row>
    <row r="15" spans="2:13" x14ac:dyDescent="0.2">
      <c r="B15" s="8">
        <v>7</v>
      </c>
      <c r="C15" s="54">
        <f>+'Firm Avoided Capacity Calcs'!M13</f>
        <v>67.931681359104616</v>
      </c>
      <c r="D15" s="37">
        <f t="shared" si="3"/>
        <v>7.754758146016508</v>
      </c>
      <c r="E15" s="39">
        <f t="shared" si="0"/>
        <v>7.7547581460165084E-3</v>
      </c>
      <c r="F15" s="55"/>
      <c r="G15" s="56">
        <f>'Wind Avoided Capacity Calcs'!M13</f>
        <v>40.080540039794251</v>
      </c>
      <c r="H15" s="37">
        <f t="shared" si="4"/>
        <v>4.5754041141317643</v>
      </c>
      <c r="I15" s="39">
        <f t="shared" si="1"/>
        <v>4.5754041141317639E-3</v>
      </c>
      <c r="J15" s="55"/>
      <c r="K15" s="56">
        <f>'Solar Avoided Capacity Calcs'!M13</f>
        <v>35.438683153242515</v>
      </c>
      <c r="L15" s="37">
        <f t="shared" si="5"/>
        <v>4.0455117754843055</v>
      </c>
      <c r="M15" s="199">
        <f t="shared" si="2"/>
        <v>4.0455117754843051E-3</v>
      </c>
    </row>
    <row r="16" spans="2:13" x14ac:dyDescent="0.2">
      <c r="B16" s="8">
        <v>8</v>
      </c>
      <c r="C16" s="54">
        <f>+'Firm Avoided Capacity Calcs'!M14</f>
        <v>72.766123187044627</v>
      </c>
      <c r="D16" s="37">
        <f>+C16*$D$4*1000</f>
        <v>8.306635067014227</v>
      </c>
      <c r="E16" s="39">
        <f t="shared" si="0"/>
        <v>8.3066350670142272E-3</v>
      </c>
      <c r="F16" s="55"/>
      <c r="G16" s="56">
        <f>'Wind Avoided Capacity Calcs'!M14</f>
        <v>41.161797113912556</v>
      </c>
      <c r="H16" s="37">
        <f t="shared" si="4"/>
        <v>4.698835286976319</v>
      </c>
      <c r="I16" s="39">
        <f t="shared" si="1"/>
        <v>4.6988352869763187E-3</v>
      </c>
      <c r="J16" s="55"/>
      <c r="K16" s="56">
        <f>'Solar Avoided Capacity Calcs'!M14</f>
        <v>35.894409435057199</v>
      </c>
      <c r="L16" s="37">
        <f t="shared" si="5"/>
        <v>4.0975353236366665</v>
      </c>
      <c r="M16" s="199">
        <f t="shared" si="2"/>
        <v>4.0975353236366663E-3</v>
      </c>
    </row>
    <row r="17" spans="2:13" x14ac:dyDescent="0.2">
      <c r="B17" s="8">
        <v>9</v>
      </c>
      <c r="C17" s="54">
        <f>+'Firm Avoided Capacity Calcs'!M15</f>
        <v>76.617122114341015</v>
      </c>
      <c r="D17" s="37">
        <f t="shared" si="3"/>
        <v>8.7462468167055949</v>
      </c>
      <c r="E17" s="39">
        <f t="shared" si="0"/>
        <v>8.7462468167055947E-3</v>
      </c>
      <c r="F17" s="55"/>
      <c r="G17" s="56">
        <f>'Wind Avoided Capacity Calcs'!M15</f>
        <v>42.081651915421446</v>
      </c>
      <c r="H17" s="37">
        <f t="shared" si="4"/>
        <v>4.803841542856329</v>
      </c>
      <c r="I17" s="39">
        <f t="shared" si="1"/>
        <v>4.803841542856329E-3</v>
      </c>
      <c r="J17" s="55"/>
      <c r="K17" s="56">
        <f>'Solar Avoided Capacity Calcs'!M15</f>
        <v>36.325740215601506</v>
      </c>
      <c r="L17" s="37">
        <f t="shared" si="5"/>
        <v>4.1467739972147832</v>
      </c>
      <c r="M17" s="199">
        <f t="shared" si="2"/>
        <v>4.1467739972147833E-3</v>
      </c>
    </row>
    <row r="18" spans="2:13" x14ac:dyDescent="0.2">
      <c r="B18" s="8">
        <v>10</v>
      </c>
      <c r="C18" s="54">
        <f>+'Firm Avoided Capacity Calcs'!M16</f>
        <v>79.743020253331778</v>
      </c>
      <c r="D18" s="37">
        <f t="shared" si="3"/>
        <v>9.1030845038049968</v>
      </c>
      <c r="E18" s="39">
        <f t="shared" si="0"/>
        <v>9.1030845038049969E-3</v>
      </c>
      <c r="F18" s="55"/>
      <c r="G18" s="56">
        <f>'Wind Avoided Capacity Calcs'!M16</f>
        <v>42.88129608527931</v>
      </c>
      <c r="H18" s="37">
        <f t="shared" si="4"/>
        <v>4.8951251238903319</v>
      </c>
      <c r="I18" s="39">
        <f t="shared" si="1"/>
        <v>4.8951251238903322E-3</v>
      </c>
      <c r="J18" s="55"/>
      <c r="K18" s="56">
        <f>'Solar Avoided Capacity Calcs'!M16</f>
        <v>36.737675390603897</v>
      </c>
      <c r="L18" s="37">
        <f t="shared" si="5"/>
        <v>4.1937985605712207</v>
      </c>
      <c r="M18" s="199">
        <f t="shared" si="2"/>
        <v>4.1937985605712208E-3</v>
      </c>
    </row>
    <row r="19" spans="2:13" x14ac:dyDescent="0.2">
      <c r="B19" s="8">
        <v>11</v>
      </c>
      <c r="C19" s="54">
        <f>+'Firm Avoided Capacity Calcs'!M17</f>
        <v>82.340252961468778</v>
      </c>
      <c r="D19" s="37">
        <f t="shared" si="3"/>
        <v>9.3995722558754302</v>
      </c>
      <c r="E19" s="39">
        <f t="shared" si="0"/>
        <v>9.3995722558754304E-3</v>
      </c>
      <c r="F19" s="55"/>
      <c r="G19" s="56">
        <f>'Wind Avoided Capacity Calcs'!M17</f>
        <v>43.592024467732635</v>
      </c>
      <c r="H19" s="37">
        <f t="shared" si="4"/>
        <v>4.9762585008827207</v>
      </c>
      <c r="I19" s="39">
        <f t="shared" si="1"/>
        <v>4.9762585008827206E-3</v>
      </c>
      <c r="J19" s="55"/>
      <c r="K19" s="56">
        <f>'Solar Avoided Capacity Calcs'!M17</f>
        <v>37.133986385443279</v>
      </c>
      <c r="L19" s="37">
        <f t="shared" si="5"/>
        <v>4.2390395417172693</v>
      </c>
      <c r="M19" s="199">
        <f t="shared" si="2"/>
        <v>4.2390395417172691E-3</v>
      </c>
    </row>
    <row r="20" spans="2:13" x14ac:dyDescent="0.2">
      <c r="B20" s="8">
        <v>12</v>
      </c>
      <c r="C20" s="54">
        <f>+'Firm Avoided Capacity Calcs'!M18</f>
        <v>84.539750779779581</v>
      </c>
      <c r="D20" s="37">
        <f t="shared" si="3"/>
        <v>9.6506564817099978</v>
      </c>
      <c r="E20" s="39">
        <f t="shared" si="0"/>
        <v>9.6506564817099971E-3</v>
      </c>
      <c r="F20" s="55"/>
      <c r="G20" s="56">
        <f>'Wind Avoided Capacity Calcs'!M18</f>
        <v>44.234659646687717</v>
      </c>
      <c r="H20" s="37">
        <f t="shared" si="4"/>
        <v>5.0496186811287345</v>
      </c>
      <c r="I20" s="39">
        <f t="shared" si="1"/>
        <v>5.0496186811287347E-3</v>
      </c>
      <c r="J20" s="55"/>
      <c r="K20" s="56">
        <f>'Solar Avoided Capacity Calcs'!M18</f>
        <v>37.517144457839073</v>
      </c>
      <c r="L20" s="37">
        <f t="shared" si="5"/>
        <v>4.2827790476985248</v>
      </c>
      <c r="M20" s="199">
        <f t="shared" si="2"/>
        <v>4.2827790476985244E-3</v>
      </c>
    </row>
    <row r="21" spans="2:13" x14ac:dyDescent="0.2">
      <c r="B21" s="8">
        <v>13</v>
      </c>
      <c r="C21" s="54">
        <f>+'Firm Avoided Capacity Calcs'!M19</f>
        <v>86.607824916936508</v>
      </c>
      <c r="D21" s="37">
        <f t="shared" si="3"/>
        <v>9.8867380042164967</v>
      </c>
      <c r="E21" s="39">
        <f t="shared" si="0"/>
        <v>9.886738004216496E-3</v>
      </c>
      <c r="F21" s="55"/>
      <c r="G21" s="56">
        <f>'Wind Avoided Capacity Calcs'!M19</f>
        <v>44.851693811751908</v>
      </c>
      <c r="H21" s="37">
        <f t="shared" si="4"/>
        <v>5.120056371204555</v>
      </c>
      <c r="I21" s="39">
        <f t="shared" si="1"/>
        <v>5.1200563712045554E-3</v>
      </c>
      <c r="J21" s="55"/>
      <c r="K21" s="56">
        <f>'Solar Avoided Capacity Calcs'!M19</f>
        <v>37.892338627554473</v>
      </c>
      <c r="L21" s="37">
        <f t="shared" si="5"/>
        <v>4.325609432369232</v>
      </c>
      <c r="M21" s="199">
        <f t="shared" si="2"/>
        <v>4.3256094323692318E-3</v>
      </c>
    </row>
    <row r="22" spans="2:13" x14ac:dyDescent="0.2">
      <c r="B22" s="8">
        <v>14</v>
      </c>
      <c r="C22" s="54">
        <f>+'Firm Avoided Capacity Calcs'!M20</f>
        <v>88.406689207804334</v>
      </c>
      <c r="D22" s="37">
        <f t="shared" si="3"/>
        <v>10.092087809110083</v>
      </c>
      <c r="E22" s="39">
        <f t="shared" si="0"/>
        <v>1.0092087809110082E-2</v>
      </c>
      <c r="F22" s="55"/>
      <c r="G22" s="56">
        <f>'Wind Avoided Capacity Calcs'!M20</f>
        <v>45.420972422284805</v>
      </c>
      <c r="H22" s="37">
        <f t="shared" si="4"/>
        <v>5.185042513959452</v>
      </c>
      <c r="I22" s="39">
        <f t="shared" si="1"/>
        <v>5.1850425139594522E-3</v>
      </c>
      <c r="J22" s="55"/>
      <c r="K22" s="56">
        <f>'Solar Avoided Capacity Calcs'!M20</f>
        <v>38.256686291364886</v>
      </c>
      <c r="L22" s="37">
        <f t="shared" si="5"/>
        <v>4.367201631434348</v>
      </c>
      <c r="M22" s="199">
        <f t="shared" si="2"/>
        <v>4.3672016314343478E-3</v>
      </c>
    </row>
    <row r="23" spans="2:13" x14ac:dyDescent="0.2">
      <c r="B23" s="45">
        <v>15</v>
      </c>
      <c r="C23" s="57">
        <f>+'Firm Avoided Capacity Calcs'!M21</f>
        <v>89.989174260262573</v>
      </c>
      <c r="D23" s="46">
        <f>+C23*$D$4*1000</f>
        <v>10.272736787701207</v>
      </c>
      <c r="E23" s="47">
        <f>D23/1000</f>
        <v>1.0272736787701207E-2</v>
      </c>
      <c r="F23" s="58"/>
      <c r="G23" s="70">
        <f>'Wind Avoided Capacity Calcs'!M21</f>
        <v>45.950848583674151</v>
      </c>
      <c r="H23" s="46">
        <f>+G23*$D$4*1000</f>
        <v>5.2455306602367751</v>
      </c>
      <c r="I23" s="47">
        <f t="shared" si="1"/>
        <v>5.245530660236775E-3</v>
      </c>
      <c r="J23" s="58"/>
      <c r="K23" s="46">
        <f>'Solar Avoided Capacity Calcs'!M21</f>
        <v>38.611127637576075</v>
      </c>
      <c r="L23" s="46">
        <f>+K23*$D$4*1000</f>
        <v>4.4076629723260359</v>
      </c>
      <c r="M23" s="200">
        <f>L23/1000</f>
        <v>4.4076629723260362E-3</v>
      </c>
    </row>
    <row r="24" spans="2:13" x14ac:dyDescent="0.2">
      <c r="B24" s="8">
        <v>16</v>
      </c>
      <c r="C24" s="54">
        <f>+'Firm Avoided Capacity Calcs'!M22</f>
        <v>91.536418809006989</v>
      </c>
      <c r="D24" s="37">
        <f t="shared" si="3"/>
        <v>10.449362877740523</v>
      </c>
      <c r="E24" s="39">
        <f t="shared" si="0"/>
        <v>1.0449362877740523E-2</v>
      </c>
      <c r="F24" s="55"/>
      <c r="G24" s="56">
        <f>'Wind Avoided Capacity Calcs'!M22</f>
        <v>46.470213739114733</v>
      </c>
      <c r="H24" s="37">
        <f t="shared" si="4"/>
        <v>5.3048189199902662</v>
      </c>
      <c r="I24" s="39">
        <f t="shared" si="1"/>
        <v>5.3048189199902665E-3</v>
      </c>
      <c r="J24" s="55"/>
      <c r="K24" s="56">
        <f>'Solar Avoided Capacity Calcs'!M22</f>
        <v>38.959179560799363</v>
      </c>
      <c r="L24" s="37">
        <f t="shared" si="5"/>
        <v>4.4473949270318904</v>
      </c>
      <c r="M24" s="199">
        <f t="shared" si="2"/>
        <v>4.4473949270318908E-3</v>
      </c>
    </row>
    <row r="25" spans="2:13" x14ac:dyDescent="0.2">
      <c r="B25" s="8">
        <v>17</v>
      </c>
      <c r="C25" s="54">
        <f>+'Firm Avoided Capacity Calcs'!M23</f>
        <v>92.918804900754793</v>
      </c>
      <c r="D25" s="37">
        <f t="shared" si="3"/>
        <v>10.607169509218583</v>
      </c>
      <c r="E25" s="39">
        <f t="shared" si="0"/>
        <v>1.0607169509218582E-2</v>
      </c>
      <c r="F25" s="55"/>
      <c r="G25" s="56">
        <f>'Wind Avoided Capacity Calcs'!M23</f>
        <v>46.958247337351729</v>
      </c>
      <c r="H25" s="37">
        <f t="shared" si="4"/>
        <v>5.360530517962526</v>
      </c>
      <c r="I25" s="39">
        <f t="shared" si="1"/>
        <v>5.3605305179625258E-3</v>
      </c>
      <c r="J25" s="55"/>
      <c r="K25" s="56">
        <f>'Solar Avoided Capacity Calcs'!M23</f>
        <v>39.298154410117888</v>
      </c>
      <c r="L25" s="37">
        <f t="shared" si="5"/>
        <v>4.4860906860865164</v>
      </c>
      <c r="M25" s="199">
        <f t="shared" si="2"/>
        <v>4.4860906860865165E-3</v>
      </c>
    </row>
    <row r="26" spans="2:13" x14ac:dyDescent="0.2">
      <c r="B26" s="8">
        <v>18</v>
      </c>
      <c r="C26" s="54">
        <f>+'Firm Avoided Capacity Calcs'!M24</f>
        <v>94.240224553628579</v>
      </c>
      <c r="D26" s="37">
        <f t="shared" si="3"/>
        <v>10.758016501555772</v>
      </c>
      <c r="E26" s="39">
        <f t="shared" si="0"/>
        <v>1.0758016501555773E-2</v>
      </c>
      <c r="F26" s="55"/>
      <c r="G26" s="56">
        <f>'Wind Avoided Capacity Calcs'!M24</f>
        <v>47.431499500039067</v>
      </c>
      <c r="H26" s="37">
        <f t="shared" si="4"/>
        <v>5.4145547374473821</v>
      </c>
      <c r="I26" s="39">
        <f t="shared" si="1"/>
        <v>5.414554737447382E-3</v>
      </c>
      <c r="J26" s="55"/>
      <c r="K26" s="56">
        <f>'Solar Avoided Capacity Calcs'!M24</f>
        <v>39.6300453244408</v>
      </c>
      <c r="L26" s="37">
        <f t="shared" si="5"/>
        <v>4.5239777767626483</v>
      </c>
      <c r="M26" s="199">
        <f t="shared" si="2"/>
        <v>4.5239777767626483E-3</v>
      </c>
    </row>
    <row r="27" spans="2:13" x14ac:dyDescent="0.2">
      <c r="B27" s="8">
        <v>19</v>
      </c>
      <c r="C27" s="54">
        <f>+'Firm Avoided Capacity Calcs'!M25</f>
        <v>95.4352708906071</v>
      </c>
      <c r="D27" s="37">
        <f t="shared" si="3"/>
        <v>10.894437316279349</v>
      </c>
      <c r="E27" s="39">
        <f t="shared" si="0"/>
        <v>1.089443731627935E-2</v>
      </c>
      <c r="F27" s="55"/>
      <c r="G27" s="56">
        <f>'Wind Avoided Capacity Calcs'!M25</f>
        <v>47.879441569739697</v>
      </c>
      <c r="H27" s="37">
        <f t="shared" si="4"/>
        <v>5.465689676910924</v>
      </c>
      <c r="I27" s="39">
        <f t="shared" si="1"/>
        <v>5.4656896769109242E-3</v>
      </c>
      <c r="J27" s="55"/>
      <c r="K27" s="56">
        <f>'Solar Avoided Capacity Calcs'!M25</f>
        <v>39.953470016261797</v>
      </c>
      <c r="L27" s="37">
        <f t="shared" si="5"/>
        <v>4.5608984036828533</v>
      </c>
      <c r="M27" s="199">
        <f t="shared" si="2"/>
        <v>4.5608984036828535E-3</v>
      </c>
    </row>
    <row r="28" spans="2:13" x14ac:dyDescent="0.2">
      <c r="B28" s="8">
        <v>20</v>
      </c>
      <c r="C28" s="54">
        <f>+'Firm Avoided Capacity Calcs'!M26</f>
        <v>96.522179142636929</v>
      </c>
      <c r="D28" s="37">
        <f t="shared" si="3"/>
        <v>11.01851360075764</v>
      </c>
      <c r="E28" s="39">
        <f t="shared" si="0"/>
        <v>1.101851360075764E-2</v>
      </c>
      <c r="F28" s="55"/>
      <c r="G28" s="56">
        <f>'Wind Avoided Capacity Calcs'!M26</f>
        <v>48.304936603126386</v>
      </c>
      <c r="H28" s="37">
        <f t="shared" si="4"/>
        <v>5.5142621693066651</v>
      </c>
      <c r="I28" s="39">
        <f t="shared" si="1"/>
        <v>5.5142621693066649E-3</v>
      </c>
      <c r="J28" s="55"/>
      <c r="K28" s="56">
        <f>'Solar Avoided Capacity Calcs'!M26</f>
        <v>40.268729513207951</v>
      </c>
      <c r="L28" s="37">
        <f t="shared" si="5"/>
        <v>4.5968869307315012</v>
      </c>
      <c r="M28" s="199">
        <f t="shared" si="2"/>
        <v>4.5968869307315011E-3</v>
      </c>
    </row>
    <row r="30" spans="2:13" x14ac:dyDescent="0.2">
      <c r="B30" s="35"/>
      <c r="C30" s="35"/>
      <c r="D30" s="35"/>
      <c r="E30" s="35"/>
      <c r="F30" s="35"/>
      <c r="G30" s="35"/>
      <c r="H30" s="35"/>
    </row>
    <row r="39" spans="2:4" x14ac:dyDescent="0.2">
      <c r="C39" s="9"/>
    </row>
    <row r="40" spans="2:4" x14ac:dyDescent="0.2">
      <c r="C40" s="10"/>
    </row>
    <row r="41" spans="2:4" x14ac:dyDescent="0.2">
      <c r="B41" s="14"/>
      <c r="C41" s="15"/>
      <c r="D41" s="16"/>
    </row>
  </sheetData>
  <phoneticPr fontId="0" type="noConversion"/>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M30"/>
  <sheetViews>
    <sheetView zoomScale="75" zoomScaleNormal="75" workbookViewId="0"/>
  </sheetViews>
  <sheetFormatPr defaultColWidth="9.140625" defaultRowHeight="15" x14ac:dyDescent="0.2"/>
  <cols>
    <col min="1" max="1" width="2.7109375" style="50" customWidth="1"/>
    <col min="2" max="2" width="25.7109375" style="50" customWidth="1"/>
    <col min="3" max="3" width="17.42578125" style="50" customWidth="1"/>
    <col min="4" max="4" width="15.5703125" style="50" customWidth="1"/>
    <col min="5" max="5" width="2.7109375" style="50" customWidth="1"/>
    <col min="6" max="6" width="9.7109375" style="50" customWidth="1"/>
    <col min="7" max="7" width="16.7109375" style="50" customWidth="1"/>
    <col min="8" max="9" width="16.42578125" style="73" customWidth="1"/>
    <col min="10" max="10" width="16.7109375" style="211" customWidth="1"/>
    <col min="11" max="11" width="18.5703125" style="50" customWidth="1"/>
    <col min="12" max="12" width="19" style="50" customWidth="1"/>
    <col min="13" max="13" width="22.28515625" style="50" customWidth="1"/>
    <col min="14" max="16384" width="9.140625" style="50"/>
  </cols>
  <sheetData>
    <row r="1" spans="1:13" x14ac:dyDescent="0.2">
      <c r="B1" s="17"/>
    </row>
    <row r="3" spans="1:13" x14ac:dyDescent="0.2">
      <c r="H3" s="206" t="s">
        <v>66</v>
      </c>
    </row>
    <row r="4" spans="1:13" ht="63" x14ac:dyDescent="0.25">
      <c r="F4" s="18" t="s">
        <v>16</v>
      </c>
      <c r="G4" s="19" t="s">
        <v>2</v>
      </c>
      <c r="H4" s="20" t="s">
        <v>17</v>
      </c>
      <c r="I4" s="20" t="s">
        <v>115</v>
      </c>
      <c r="J4" s="20" t="s">
        <v>75</v>
      </c>
      <c r="K4" s="19" t="s">
        <v>18</v>
      </c>
      <c r="L4" s="19" t="s">
        <v>19</v>
      </c>
      <c r="M4" s="3" t="s">
        <v>20</v>
      </c>
    </row>
    <row r="5" spans="1:13" ht="15.75" x14ac:dyDescent="0.25">
      <c r="B5" s="79"/>
      <c r="C5" s="79"/>
      <c r="F5" s="21"/>
      <c r="G5" s="21" t="s">
        <v>21</v>
      </c>
      <c r="H5" s="22" t="s">
        <v>36</v>
      </c>
      <c r="I5" s="22" t="s">
        <v>36</v>
      </c>
      <c r="J5" s="22" t="s">
        <v>36</v>
      </c>
      <c r="K5" s="21" t="s">
        <v>36</v>
      </c>
      <c r="L5" s="21" t="s">
        <v>36</v>
      </c>
      <c r="M5" s="4" t="s">
        <v>36</v>
      </c>
    </row>
    <row r="6" spans="1:13" ht="15.75" x14ac:dyDescent="0.25">
      <c r="A6" s="212"/>
      <c r="B6" s="212"/>
      <c r="C6" s="204" t="s">
        <v>22</v>
      </c>
      <c r="D6" s="247">
        <v>27.33</v>
      </c>
      <c r="E6" s="74"/>
      <c r="F6" s="210" t="s">
        <v>23</v>
      </c>
      <c r="G6" s="210" t="s">
        <v>24</v>
      </c>
      <c r="H6" s="210" t="s">
        <v>25</v>
      </c>
      <c r="I6" s="210" t="s">
        <v>26</v>
      </c>
      <c r="J6" s="210" t="s">
        <v>27</v>
      </c>
      <c r="K6" s="210" t="s">
        <v>33</v>
      </c>
      <c r="L6" s="210" t="s">
        <v>28</v>
      </c>
      <c r="M6" s="210" t="s">
        <v>29</v>
      </c>
    </row>
    <row r="7" spans="1:13" ht="15.75" x14ac:dyDescent="0.25">
      <c r="A7" s="212"/>
      <c r="B7" s="79"/>
      <c r="C7" s="23" t="s">
        <v>30</v>
      </c>
      <c r="D7" s="75">
        <v>0</v>
      </c>
      <c r="E7" s="76"/>
      <c r="F7" s="213">
        <v>2019</v>
      </c>
      <c r="G7" s="207">
        <v>1</v>
      </c>
      <c r="H7" s="214">
        <f>'Capacity Delivered'!H6</f>
        <v>0.10236603221083454</v>
      </c>
      <c r="I7" s="221">
        <f>D13</f>
        <v>32.486781647752245</v>
      </c>
      <c r="J7" s="208">
        <f t="shared" ref="J7:J26" si="0">(H7+I7)*$D$7</f>
        <v>0</v>
      </c>
      <c r="K7" s="48">
        <f>SUM(H7:J7)/((1+$D$8)^G7)</f>
        <v>30.287311970225907</v>
      </c>
      <c r="L7" s="209">
        <f>K7</f>
        <v>30.287311970225907</v>
      </c>
      <c r="M7" s="209">
        <f>(-PMT($D$8,G7,(L7)))</f>
        <v>32.589147679963077</v>
      </c>
    </row>
    <row r="8" spans="1:13" ht="15.75" x14ac:dyDescent="0.25">
      <c r="A8" s="212"/>
      <c r="B8" s="79"/>
      <c r="C8" s="23" t="s">
        <v>34</v>
      </c>
      <c r="D8" s="75">
        <f>Rate_of_Return</f>
        <v>7.5999999999999998E-2</v>
      </c>
      <c r="E8" s="76"/>
      <c r="F8" s="60">
        <v>2020</v>
      </c>
      <c r="G8" s="61">
        <v>2</v>
      </c>
      <c r="H8" s="214">
        <f>'Capacity Delivered'!H7</f>
        <v>0.10236603221083454</v>
      </c>
      <c r="I8" s="214">
        <f t="shared" ref="I8:I26" si="1">I7+(I7*$D$9)</f>
        <v>33.298951188946049</v>
      </c>
      <c r="J8" s="63">
        <f t="shared" si="0"/>
        <v>0</v>
      </c>
      <c r="K8" s="64">
        <f t="shared" ref="K8:K26" si="2">SUM(H8:J8)/((1+$D$8)^G8)</f>
        <v>28.849550535817702</v>
      </c>
      <c r="L8" s="65">
        <f t="shared" ref="L8:L26" si="3">L7+K8</f>
        <v>59.136862506043613</v>
      </c>
      <c r="M8" s="65">
        <f t="shared" ref="M8:M26" si="4">(-PMT($D$8,G8,(L8)))</f>
        <v>32.980366148746221</v>
      </c>
    </row>
    <row r="9" spans="1:13" ht="15.75" x14ac:dyDescent="0.25">
      <c r="A9" s="212"/>
      <c r="B9" s="79"/>
      <c r="C9" s="23" t="s">
        <v>35</v>
      </c>
      <c r="D9" s="75">
        <v>2.5000000000000001E-2</v>
      </c>
      <c r="E9" s="78"/>
      <c r="F9" s="60">
        <v>2021</v>
      </c>
      <c r="G9" s="61">
        <v>3</v>
      </c>
      <c r="H9" s="214">
        <f>'Capacity Delivered'!H8</f>
        <v>0.10236603221083454</v>
      </c>
      <c r="I9" s="214">
        <f t="shared" si="1"/>
        <v>34.131424968669698</v>
      </c>
      <c r="J9" s="63">
        <f t="shared" si="0"/>
        <v>0</v>
      </c>
      <c r="K9" s="64">
        <f t="shared" si="2"/>
        <v>27.480091911571527</v>
      </c>
      <c r="L9" s="65">
        <f t="shared" si="3"/>
        <v>86.616954417615148</v>
      </c>
      <c r="M9" s="65">
        <f>(-PMT($D$8,G9,(L9)))</f>
        <v>33.36797025371029</v>
      </c>
    </row>
    <row r="10" spans="1:13" ht="15.75" x14ac:dyDescent="0.25">
      <c r="B10" s="79"/>
      <c r="C10" s="23"/>
      <c r="D10" s="80"/>
      <c r="E10" s="76"/>
      <c r="F10" s="60">
        <v>2022</v>
      </c>
      <c r="G10" s="61">
        <v>4</v>
      </c>
      <c r="H10" s="214">
        <f>'Capacity Delivered'!H9</f>
        <v>3.26</v>
      </c>
      <c r="I10" s="214">
        <f t="shared" si="1"/>
        <v>34.984710592886444</v>
      </c>
      <c r="J10" s="63">
        <f t="shared" si="0"/>
        <v>0</v>
      </c>
      <c r="K10" s="64">
        <f t="shared" si="2"/>
        <v>28.531348170589844</v>
      </c>
      <c r="L10" s="65">
        <f t="shared" si="3"/>
        <v>115.14830258820498</v>
      </c>
      <c r="M10" s="65">
        <f t="shared" si="4"/>
        <v>34.456639424941422</v>
      </c>
    </row>
    <row r="11" spans="1:13" ht="15.75" x14ac:dyDescent="0.25">
      <c r="B11" s="79"/>
      <c r="C11" s="23" t="str">
        <f>C6</f>
        <v>Deferred T&amp;D Cost Credit ($/kw-yr) (4):</v>
      </c>
      <c r="D11" s="295" t="s">
        <v>67</v>
      </c>
      <c r="E11" s="76"/>
      <c r="F11" s="60">
        <v>2023</v>
      </c>
      <c r="G11" s="61">
        <v>5</v>
      </c>
      <c r="H11" s="214">
        <f>'Capacity Delivered'!H10</f>
        <v>93</v>
      </c>
      <c r="I11" s="214">
        <f t="shared" si="1"/>
        <v>35.859328357708605</v>
      </c>
      <c r="J11" s="63">
        <f t="shared" si="0"/>
        <v>0</v>
      </c>
      <c r="K11" s="64">
        <f t="shared" si="2"/>
        <v>89.341760630807002</v>
      </c>
      <c r="L11" s="65">
        <f t="shared" si="3"/>
        <v>204.49006321901197</v>
      </c>
      <c r="M11" s="65">
        <f t="shared" si="4"/>
        <v>50.677065481587796</v>
      </c>
    </row>
    <row r="12" spans="1:13" ht="15.75" x14ac:dyDescent="0.25">
      <c r="B12" s="49"/>
      <c r="C12" s="294">
        <v>2012</v>
      </c>
      <c r="D12" s="48">
        <f>D6</f>
        <v>27.33</v>
      </c>
      <c r="E12" s="76"/>
      <c r="F12" s="60">
        <v>2024</v>
      </c>
      <c r="G12" s="61">
        <v>6</v>
      </c>
      <c r="H12" s="214">
        <f>'Capacity Delivered'!H11</f>
        <v>93</v>
      </c>
      <c r="I12" s="214">
        <f t="shared" si="1"/>
        <v>36.755811566651317</v>
      </c>
      <c r="J12" s="63">
        <f t="shared" si="0"/>
        <v>0</v>
      </c>
      <c r="K12" s="64">
        <f>SUM(H12:J12)/((1+$D$8)^G12)</f>
        <v>83.609031044126908</v>
      </c>
      <c r="L12" s="65">
        <f t="shared" si="3"/>
        <v>288.09909426313891</v>
      </c>
      <c r="M12" s="65">
        <f t="shared" si="4"/>
        <v>61.565994067144118</v>
      </c>
    </row>
    <row r="13" spans="1:13" ht="15.75" x14ac:dyDescent="0.25">
      <c r="B13" s="49"/>
      <c r="C13" s="205">
        <f>F7</f>
        <v>2019</v>
      </c>
      <c r="D13" s="293">
        <f>D6*((1+$D$9)^($C$13-$C$12))</f>
        <v>32.486781647752245</v>
      </c>
      <c r="E13" s="76"/>
      <c r="F13" s="60">
        <v>2025</v>
      </c>
      <c r="G13" s="61">
        <v>7</v>
      </c>
      <c r="H13" s="214">
        <f>'Capacity Delivered'!H12</f>
        <v>80</v>
      </c>
      <c r="I13" s="214">
        <f>I12+(I12*$D$9)</f>
        <v>37.674706855817604</v>
      </c>
      <c r="J13" s="63">
        <f t="shared" si="0"/>
        <v>0</v>
      </c>
      <c r="K13" s="64">
        <f>SUM(H13:J13)/((1+$D$8)^G13)</f>
        <v>70.468856748679926</v>
      </c>
      <c r="L13" s="65">
        <f>L12+K13</f>
        <v>358.56795101181882</v>
      </c>
      <c r="M13" s="65">
        <f>(-PMT($D$8,G13,(L13)))</f>
        <v>67.931681359104616</v>
      </c>
    </row>
    <row r="14" spans="1:13" x14ac:dyDescent="0.2">
      <c r="B14" s="49"/>
      <c r="C14" s="215"/>
      <c r="D14" s="215"/>
      <c r="E14" s="76"/>
      <c r="F14" s="60">
        <v>2026</v>
      </c>
      <c r="G14" s="61">
        <v>8</v>
      </c>
      <c r="H14" s="214">
        <f>'Capacity Delivered'!H13</f>
        <v>80</v>
      </c>
      <c r="I14" s="214">
        <f t="shared" si="1"/>
        <v>38.616574527213047</v>
      </c>
      <c r="J14" s="63">
        <f t="shared" si="0"/>
        <v>0</v>
      </c>
      <c r="K14" s="64">
        <f t="shared" si="2"/>
        <v>66.015696161261701</v>
      </c>
      <c r="L14" s="65">
        <f t="shared" si="3"/>
        <v>424.58364717308052</v>
      </c>
      <c r="M14" s="65">
        <f t="shared" si="4"/>
        <v>72.766123187044627</v>
      </c>
    </row>
    <row r="15" spans="1:13" x14ac:dyDescent="0.2">
      <c r="B15" s="215"/>
      <c r="C15" s="216"/>
      <c r="D15" s="216"/>
      <c r="E15" s="76"/>
      <c r="F15" s="60">
        <v>2027</v>
      </c>
      <c r="G15" s="61">
        <v>9</v>
      </c>
      <c r="H15" s="214">
        <f>'Capacity Delivered'!H14</f>
        <v>80.477938899565444</v>
      </c>
      <c r="I15" s="214">
        <f t="shared" si="1"/>
        <v>39.581988890393376</v>
      </c>
      <c r="J15" s="63">
        <f t="shared" si="0"/>
        <v>0</v>
      </c>
      <c r="K15" s="64">
        <f t="shared" si="2"/>
        <v>62.099433140009104</v>
      </c>
      <c r="L15" s="65">
        <f t="shared" si="3"/>
        <v>486.68308031308965</v>
      </c>
      <c r="M15" s="65">
        <f t="shared" si="4"/>
        <v>76.617122114341015</v>
      </c>
    </row>
    <row r="16" spans="1:13" x14ac:dyDescent="0.2">
      <c r="B16" s="215"/>
      <c r="C16" s="216"/>
      <c r="D16" s="216"/>
      <c r="E16" s="76"/>
      <c r="F16" s="60">
        <v>2028</v>
      </c>
      <c r="G16" s="61">
        <v>10</v>
      </c>
      <c r="H16" s="214">
        <f>'Capacity Delivered'!H15</f>
        <v>80.477938899565444</v>
      </c>
      <c r="I16" s="214">
        <f t="shared" si="1"/>
        <v>40.571538612653214</v>
      </c>
      <c r="J16" s="63">
        <f t="shared" si="0"/>
        <v>0</v>
      </c>
      <c r="K16" s="64">
        <f t="shared" si="2"/>
        <v>58.188907842896015</v>
      </c>
      <c r="L16" s="65">
        <f t="shared" si="3"/>
        <v>544.87198815598572</v>
      </c>
      <c r="M16" s="65">
        <f t="shared" si="4"/>
        <v>79.743020253331778</v>
      </c>
    </row>
    <row r="17" spans="2:13" x14ac:dyDescent="0.2">
      <c r="B17" s="215"/>
      <c r="C17" s="216"/>
      <c r="D17" s="216"/>
      <c r="E17" s="76"/>
      <c r="F17" s="60">
        <v>2029</v>
      </c>
      <c r="G17" s="61">
        <v>11</v>
      </c>
      <c r="H17" s="214">
        <f>'Capacity Delivered'!H16</f>
        <v>80.477938899565444</v>
      </c>
      <c r="I17" s="214">
        <f t="shared" si="1"/>
        <v>41.585827077969547</v>
      </c>
      <c r="J17" s="63">
        <f t="shared" si="0"/>
        <v>0</v>
      </c>
      <c r="K17" s="64">
        <f t="shared" si="2"/>
        <v>54.532044480432113</v>
      </c>
      <c r="L17" s="65">
        <f t="shared" si="3"/>
        <v>599.40403263641781</v>
      </c>
      <c r="M17" s="65">
        <f t="shared" si="4"/>
        <v>82.340252961468778</v>
      </c>
    </row>
    <row r="18" spans="2:13" x14ac:dyDescent="0.2">
      <c r="B18" s="216"/>
      <c r="C18" s="216"/>
      <c r="D18" s="216"/>
      <c r="E18" s="76"/>
      <c r="F18" s="60">
        <v>2030</v>
      </c>
      <c r="G18" s="61">
        <v>12</v>
      </c>
      <c r="H18" s="214">
        <f>'Capacity Delivered'!H17</f>
        <v>80.477938899565444</v>
      </c>
      <c r="I18" s="214">
        <f t="shared" si="1"/>
        <v>42.625472754918789</v>
      </c>
      <c r="J18" s="63">
        <f t="shared" si="0"/>
        <v>0</v>
      </c>
      <c r="K18" s="64">
        <f t="shared" si="2"/>
        <v>51.111995048649433</v>
      </c>
      <c r="L18" s="65">
        <f t="shared" si="3"/>
        <v>650.51602768506723</v>
      </c>
      <c r="M18" s="65">
        <f t="shared" si="4"/>
        <v>84.539750779779581</v>
      </c>
    </row>
    <row r="19" spans="2:13" x14ac:dyDescent="0.2">
      <c r="B19" s="216"/>
      <c r="C19" s="216"/>
      <c r="D19" s="216"/>
      <c r="E19" s="81"/>
      <c r="F19" s="60">
        <v>2031</v>
      </c>
      <c r="G19" s="61">
        <v>13</v>
      </c>
      <c r="H19" s="214">
        <f>'Capacity Delivered'!H18</f>
        <v>84.157096346974001</v>
      </c>
      <c r="I19" s="214">
        <f t="shared" si="1"/>
        <v>43.691109573791756</v>
      </c>
      <c r="J19" s="63">
        <f t="shared" si="0"/>
        <v>0</v>
      </c>
      <c r="K19" s="64">
        <f t="shared" si="2"/>
        <v>49.332725611556135</v>
      </c>
      <c r="L19" s="65">
        <f t="shared" si="3"/>
        <v>699.84875329662339</v>
      </c>
      <c r="M19" s="65">
        <f t="shared" si="4"/>
        <v>86.607824916936508</v>
      </c>
    </row>
    <row r="20" spans="2:13" x14ac:dyDescent="0.2">
      <c r="B20" s="216"/>
      <c r="C20" s="216"/>
      <c r="D20" s="216"/>
      <c r="E20" s="81"/>
      <c r="F20" s="60">
        <v>2032</v>
      </c>
      <c r="G20" s="61">
        <v>14</v>
      </c>
      <c r="H20" s="214">
        <f>'Capacity Delivered'!H19</f>
        <v>84.157096346974001</v>
      </c>
      <c r="I20" s="214">
        <f t="shared" si="1"/>
        <v>44.783387313136551</v>
      </c>
      <c r="J20" s="63">
        <f t="shared" si="0"/>
        <v>0</v>
      </c>
      <c r="K20" s="64">
        <f t="shared" si="2"/>
        <v>46.239964959566677</v>
      </c>
      <c r="L20" s="65">
        <f t="shared" si="3"/>
        <v>746.08871825619008</v>
      </c>
      <c r="M20" s="65">
        <f t="shared" si="4"/>
        <v>88.406689207804334</v>
      </c>
    </row>
    <row r="21" spans="2:13" s="218" customFormat="1" x14ac:dyDescent="0.2">
      <c r="B21" s="216"/>
      <c r="C21" s="216"/>
      <c r="D21" s="216"/>
      <c r="E21" s="81"/>
      <c r="F21" s="62">
        <v>2033</v>
      </c>
      <c r="G21" s="62">
        <v>15</v>
      </c>
      <c r="H21" s="217">
        <f>'Capacity Delivered'!H20</f>
        <v>84.157096346974001</v>
      </c>
      <c r="I21" s="217">
        <f t="shared" si="1"/>
        <v>45.902971995964961</v>
      </c>
      <c r="J21" s="66">
        <f t="shared" si="0"/>
        <v>0</v>
      </c>
      <c r="K21" s="66">
        <f t="shared" si="2"/>
        <v>43.347086049939549</v>
      </c>
      <c r="L21" s="67">
        <f>L20+K21</f>
        <v>789.43580430612963</v>
      </c>
      <c r="M21" s="67">
        <f>(-PMT($D$8,G21,(L21)))</f>
        <v>89.989174260262573</v>
      </c>
    </row>
    <row r="22" spans="2:13" x14ac:dyDescent="0.2">
      <c r="B22" s="216"/>
      <c r="C22" s="216"/>
      <c r="D22" s="216"/>
      <c r="E22" s="81"/>
      <c r="F22" s="60">
        <v>2034</v>
      </c>
      <c r="G22" s="61">
        <v>16</v>
      </c>
      <c r="H22" s="214">
        <f>'Capacity Delivered'!H21</f>
        <v>88.306829270347322</v>
      </c>
      <c r="I22" s="214">
        <f t="shared" si="1"/>
        <v>47.050546295864088</v>
      </c>
      <c r="J22" s="63">
        <f t="shared" si="0"/>
        <v>0</v>
      </c>
      <c r="K22" s="64">
        <f t="shared" si="2"/>
        <v>41.926207942880382</v>
      </c>
      <c r="L22" s="65">
        <f t="shared" si="3"/>
        <v>831.36201224901004</v>
      </c>
      <c r="M22" s="65">
        <f t="shared" si="4"/>
        <v>91.536418809006989</v>
      </c>
    </row>
    <row r="23" spans="2:13" x14ac:dyDescent="0.2">
      <c r="B23" s="216"/>
      <c r="C23" s="216"/>
      <c r="D23" s="216"/>
      <c r="E23" s="81"/>
      <c r="F23" s="60">
        <v>2035</v>
      </c>
      <c r="G23" s="61">
        <v>17</v>
      </c>
      <c r="H23" s="214">
        <f>'Capacity Delivered'!H22</f>
        <v>88.306829270347322</v>
      </c>
      <c r="I23" s="214">
        <f t="shared" si="1"/>
        <v>48.226809953260691</v>
      </c>
      <c r="J23" s="63">
        <f t="shared" si="0"/>
        <v>0</v>
      </c>
      <c r="K23" s="64">
        <f t="shared" si="2"/>
        <v>39.303484375092175</v>
      </c>
      <c r="L23" s="65">
        <f t="shared" si="3"/>
        <v>870.66549662410216</v>
      </c>
      <c r="M23" s="65">
        <f t="shared" si="4"/>
        <v>92.918804900754793</v>
      </c>
    </row>
    <row r="24" spans="2:13" x14ac:dyDescent="0.2">
      <c r="B24" s="216"/>
      <c r="C24" s="216"/>
      <c r="D24" s="216"/>
      <c r="E24" s="81"/>
      <c r="F24" s="60">
        <v>2036</v>
      </c>
      <c r="G24" s="61">
        <v>18</v>
      </c>
      <c r="H24" s="214">
        <f>'Capacity Delivered'!H23</f>
        <v>91.089450907608253</v>
      </c>
      <c r="I24" s="214">
        <f t="shared" si="1"/>
        <v>49.432480202092208</v>
      </c>
      <c r="J24" s="63">
        <f t="shared" si="0"/>
        <v>0</v>
      </c>
      <c r="K24" s="64">
        <f t="shared" si="2"/>
        <v>37.594405844191741</v>
      </c>
      <c r="L24" s="65">
        <f t="shared" si="3"/>
        <v>908.25990246829394</v>
      </c>
      <c r="M24" s="65">
        <f t="shared" si="4"/>
        <v>94.240224553628579</v>
      </c>
    </row>
    <row r="25" spans="2:13" x14ac:dyDescent="0.2">
      <c r="B25" s="216"/>
      <c r="C25" s="216"/>
      <c r="D25" s="216"/>
      <c r="E25" s="81"/>
      <c r="F25" s="60">
        <v>2037</v>
      </c>
      <c r="G25" s="61">
        <v>19</v>
      </c>
      <c r="H25" s="214">
        <f>'Capacity Delivered'!H24</f>
        <v>91.089450907608253</v>
      </c>
      <c r="I25" s="214">
        <f t="shared" si="1"/>
        <v>50.668292207144511</v>
      </c>
      <c r="J25" s="63">
        <f t="shared" si="0"/>
        <v>0</v>
      </c>
      <c r="K25" s="64">
        <f t="shared" si="2"/>
        <v>35.246308247697215</v>
      </c>
      <c r="L25" s="65">
        <f t="shared" si="3"/>
        <v>943.50621071599119</v>
      </c>
      <c r="M25" s="65">
        <f t="shared" si="4"/>
        <v>95.4352708906071</v>
      </c>
    </row>
    <row r="26" spans="2:13" x14ac:dyDescent="0.2">
      <c r="B26" s="216"/>
      <c r="C26" s="216"/>
      <c r="D26" s="216"/>
      <c r="E26" s="81"/>
      <c r="F26" s="60">
        <v>2038</v>
      </c>
      <c r="G26" s="61">
        <v>20</v>
      </c>
      <c r="H26" s="214">
        <f>'Capacity Delivered'!H25</f>
        <v>91.089450907608253</v>
      </c>
      <c r="I26" s="214">
        <f t="shared" si="1"/>
        <v>51.934999512323124</v>
      </c>
      <c r="J26" s="63">
        <f t="shared" si="0"/>
        <v>0</v>
      </c>
      <c r="K26" s="64">
        <f t="shared" si="2"/>
        <v>33.049497528546915</v>
      </c>
      <c r="L26" s="65">
        <f t="shared" si="3"/>
        <v>976.5557082445381</v>
      </c>
      <c r="M26" s="65">
        <f t="shared" si="4"/>
        <v>96.522179142636929</v>
      </c>
    </row>
    <row r="27" spans="2:13" s="73" customFormat="1" x14ac:dyDescent="0.2">
      <c r="F27" s="60"/>
      <c r="G27" s="59"/>
      <c r="H27" s="219"/>
      <c r="I27" s="220"/>
      <c r="J27" s="83"/>
      <c r="K27" s="84"/>
      <c r="L27" s="85"/>
      <c r="M27" s="77"/>
    </row>
    <row r="28" spans="2:13" s="73" customFormat="1" x14ac:dyDescent="0.2">
      <c r="C28" s="24"/>
      <c r="F28" s="60"/>
      <c r="G28" s="59"/>
      <c r="H28" s="219"/>
      <c r="I28" s="220"/>
      <c r="J28" s="83"/>
      <c r="K28" s="84"/>
      <c r="L28" s="85"/>
      <c r="M28" s="77"/>
    </row>
    <row r="29" spans="2:13" x14ac:dyDescent="0.2">
      <c r="B29" s="40" t="s">
        <v>127</v>
      </c>
      <c r="C29" s="24"/>
      <c r="D29" s="73"/>
      <c r="E29" s="73"/>
      <c r="F29" s="40"/>
      <c r="G29" s="59"/>
      <c r="H29" s="219"/>
      <c r="I29" s="220"/>
      <c r="J29" s="83"/>
      <c r="K29" s="40"/>
      <c r="L29" s="40"/>
      <c r="M29" s="40"/>
    </row>
    <row r="30" spans="2:13" s="73" customFormat="1" ht="51.75" customHeight="1" x14ac:dyDescent="0.2">
      <c r="B30" s="305" t="s">
        <v>121</v>
      </c>
      <c r="C30" s="305"/>
      <c r="D30" s="305"/>
      <c r="E30" s="305"/>
      <c r="F30" s="305"/>
      <c r="G30" s="305"/>
      <c r="H30" s="305"/>
      <c r="I30" s="305"/>
      <c r="J30" s="305"/>
      <c r="K30" s="69"/>
      <c r="L30" s="69"/>
    </row>
  </sheetData>
  <mergeCells count="1">
    <mergeCell ref="B30:J30"/>
  </mergeCells>
  <phoneticPr fontId="13" type="noConversion"/>
  <pageMargins left="0.75" right="0.5" top="0.76" bottom="0.79" header="0.5" footer="0.26"/>
  <pageSetup scale="64" orientation="landscape" r:id="rId1"/>
  <headerFooter alignWithMargins="0">
    <oddFooter>&amp;L&amp;F&amp;C&amp;A&amp;RPSE Advice No. 2018-48 &amp;D
Page &amp;P of &amp;N</oddFooter>
  </headerFooter>
  <customProperties>
    <customPr name="_pios_id" r:id="rId2"/>
  </customProperties>
  <drawing r:id="rId3"/>
  <legacyDrawing r:id="rId4"/>
  <controls>
    <mc:AlternateContent xmlns:mc="http://schemas.openxmlformats.org/markup-compatibility/2006">
      <mc:Choice Requires="x14">
        <control shapeId="5124" r:id="rId5" name="Control 4">
          <controlPr defaultSize="0" r:id="rId6">
            <anchor moveWithCells="1">
              <from>
                <xdr:col>6</xdr:col>
                <xdr:colOff>571500</xdr:colOff>
                <xdr:row>2</xdr:row>
                <xdr:rowOff>104775</xdr:rowOff>
              </from>
              <to>
                <xdr:col>7</xdr:col>
                <xdr:colOff>47625</xdr:colOff>
                <xdr:row>3</xdr:row>
                <xdr:rowOff>161925</xdr:rowOff>
              </to>
            </anchor>
          </controlPr>
        </control>
      </mc:Choice>
      <mc:Fallback>
        <control shapeId="5124" r:id="rId5" name="Control 4"/>
      </mc:Fallback>
    </mc:AlternateContent>
    <mc:AlternateContent xmlns:mc="http://schemas.openxmlformats.org/markup-compatibility/2006">
      <mc:Choice Requires="x14">
        <control shapeId="5123" r:id="rId7" name="Control 3">
          <controlPr defaultSize="0" r:id="rId8">
            <anchor moveWithCells="1">
              <from>
                <xdr:col>6</xdr:col>
                <xdr:colOff>571500</xdr:colOff>
                <xdr:row>2</xdr:row>
                <xdr:rowOff>104775</xdr:rowOff>
              </from>
              <to>
                <xdr:col>7</xdr:col>
                <xdr:colOff>19050</xdr:colOff>
                <xdr:row>3</xdr:row>
                <xdr:rowOff>85725</xdr:rowOff>
              </to>
            </anchor>
          </controlPr>
        </control>
      </mc:Choice>
      <mc:Fallback>
        <control shapeId="5123" r:id="rId7" name="Control 3"/>
      </mc:Fallback>
    </mc:AlternateContent>
    <mc:AlternateContent xmlns:mc="http://schemas.openxmlformats.org/markup-compatibility/2006">
      <mc:Choice Requires="x14">
        <control shapeId="5122" r:id="rId9" name="Control 2">
          <controlPr defaultSize="0" r:id="rId10">
            <anchor moveWithCells="1">
              <from>
                <xdr:col>6</xdr:col>
                <xdr:colOff>571500</xdr:colOff>
                <xdr:row>2</xdr:row>
                <xdr:rowOff>104775</xdr:rowOff>
              </from>
              <to>
                <xdr:col>7</xdr:col>
                <xdr:colOff>19050</xdr:colOff>
                <xdr:row>3</xdr:row>
                <xdr:rowOff>85725</xdr:rowOff>
              </to>
            </anchor>
          </controlPr>
        </control>
      </mc:Choice>
      <mc:Fallback>
        <control shapeId="5122" r:id="rId9" name="Control 2"/>
      </mc:Fallback>
    </mc:AlternateContent>
    <mc:AlternateContent xmlns:mc="http://schemas.openxmlformats.org/markup-compatibility/2006">
      <mc:Choice Requires="x14">
        <control shapeId="5121" r:id="rId11" name="Control 1">
          <controlPr defaultSize="0" r:id="rId12">
            <anchor moveWithCells="1">
              <from>
                <xdr:col>6</xdr:col>
                <xdr:colOff>571500</xdr:colOff>
                <xdr:row>2</xdr:row>
                <xdr:rowOff>104775</xdr:rowOff>
              </from>
              <to>
                <xdr:col>6</xdr:col>
                <xdr:colOff>733425</xdr:colOff>
                <xdr:row>3</xdr:row>
                <xdr:rowOff>85725</xdr:rowOff>
              </to>
            </anchor>
          </controlPr>
        </control>
      </mc:Choice>
      <mc:Fallback>
        <control shapeId="5121" r:id="rId11" name="Control 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9" tint="0.39997558519241921"/>
    <pageSetUpPr fitToPage="1"/>
  </sheetPr>
  <dimension ref="A1:M30"/>
  <sheetViews>
    <sheetView zoomScale="75" zoomScaleNormal="75" workbookViewId="0"/>
  </sheetViews>
  <sheetFormatPr defaultColWidth="9.140625" defaultRowHeight="15" x14ac:dyDescent="0.2"/>
  <cols>
    <col min="1" max="1" width="2.7109375" style="50" customWidth="1"/>
    <col min="2" max="2" width="25.7109375" style="50" customWidth="1"/>
    <col min="3" max="3" width="17.42578125" style="50" customWidth="1"/>
    <col min="4" max="4" width="15.5703125" style="50" customWidth="1"/>
    <col min="5" max="5" width="2.7109375" style="50" customWidth="1"/>
    <col min="6" max="6" width="9.7109375" style="50" customWidth="1"/>
    <col min="7" max="7" width="16.7109375" style="50" customWidth="1"/>
    <col min="8" max="9" width="16.42578125" style="73" customWidth="1"/>
    <col min="10" max="10" width="16.7109375" style="211" customWidth="1"/>
    <col min="11" max="11" width="18.5703125" style="50" customWidth="1"/>
    <col min="12" max="12" width="19" style="50" customWidth="1"/>
    <col min="13" max="13" width="22.28515625" style="50" customWidth="1"/>
    <col min="14" max="16384" width="9.140625" style="50"/>
  </cols>
  <sheetData>
    <row r="1" spans="1:13" x14ac:dyDescent="0.2">
      <c r="B1" s="17"/>
    </row>
    <row r="3" spans="1:13" x14ac:dyDescent="0.2">
      <c r="H3" s="206" t="s">
        <v>66</v>
      </c>
    </row>
    <row r="4" spans="1:13" ht="63" x14ac:dyDescent="0.25">
      <c r="F4" s="18" t="s">
        <v>16</v>
      </c>
      <c r="G4" s="19" t="s">
        <v>2</v>
      </c>
      <c r="H4" s="20" t="s">
        <v>17</v>
      </c>
      <c r="I4" s="20" t="s">
        <v>115</v>
      </c>
      <c r="J4" s="20" t="s">
        <v>75</v>
      </c>
      <c r="K4" s="19" t="s">
        <v>18</v>
      </c>
      <c r="L4" s="19" t="s">
        <v>19</v>
      </c>
      <c r="M4" s="3" t="s">
        <v>20</v>
      </c>
    </row>
    <row r="5" spans="1:13" ht="15.75" x14ac:dyDescent="0.25">
      <c r="B5" s="212"/>
      <c r="C5" s="212"/>
      <c r="F5" s="21"/>
      <c r="G5" s="21" t="s">
        <v>21</v>
      </c>
      <c r="H5" s="22" t="s">
        <v>36</v>
      </c>
      <c r="I5" s="22" t="s">
        <v>36</v>
      </c>
      <c r="J5" s="22" t="s">
        <v>36</v>
      </c>
      <c r="K5" s="21" t="s">
        <v>36</v>
      </c>
      <c r="L5" s="21" t="s">
        <v>36</v>
      </c>
      <c r="M5" s="4" t="s">
        <v>36</v>
      </c>
    </row>
    <row r="6" spans="1:13" ht="15.75" x14ac:dyDescent="0.25">
      <c r="A6" s="212"/>
      <c r="B6" s="79"/>
      <c r="C6" s="23" t="s">
        <v>22</v>
      </c>
      <c r="D6" s="247">
        <v>27.33</v>
      </c>
      <c r="E6" s="74"/>
      <c r="F6" s="210" t="s">
        <v>23</v>
      </c>
      <c r="G6" s="210" t="s">
        <v>24</v>
      </c>
      <c r="H6" s="210" t="s">
        <v>25</v>
      </c>
      <c r="I6" s="210" t="s">
        <v>26</v>
      </c>
      <c r="J6" s="210" t="s">
        <v>27</v>
      </c>
      <c r="K6" s="210" t="s">
        <v>33</v>
      </c>
      <c r="L6" s="210" t="s">
        <v>28</v>
      </c>
      <c r="M6" s="210" t="s">
        <v>29</v>
      </c>
    </row>
    <row r="7" spans="1:13" ht="15.75" x14ac:dyDescent="0.25">
      <c r="A7" s="212"/>
      <c r="B7" s="79"/>
      <c r="C7" s="23" t="s">
        <v>30</v>
      </c>
      <c r="D7" s="75">
        <f>'Firm Avoided Capacity Calcs'!D7</f>
        <v>0</v>
      </c>
      <c r="E7" s="76"/>
      <c r="F7" s="213">
        <v>2019</v>
      </c>
      <c r="G7" s="207">
        <v>1</v>
      </c>
      <c r="H7" s="214">
        <f>'Capacity Delivered'!I6</f>
        <v>1.6378565153733527E-2</v>
      </c>
      <c r="I7" s="221">
        <f>D13</f>
        <v>32.486781647752245</v>
      </c>
      <c r="J7" s="208">
        <f t="shared" ref="J7:J26" si="0">(H7+I7)*$D$7</f>
        <v>0</v>
      </c>
      <c r="K7" s="48">
        <f>SUM(H7:J7)/((1+$D$8)^G7)</f>
        <v>30.20739796738474</v>
      </c>
      <c r="L7" s="209">
        <f>K7</f>
        <v>30.20739796738474</v>
      </c>
      <c r="M7" s="209">
        <f>(-PMT($D$8,G7,(L7)))</f>
        <v>32.503160212905982</v>
      </c>
    </row>
    <row r="8" spans="1:13" ht="15.75" x14ac:dyDescent="0.25">
      <c r="A8" s="212"/>
      <c r="B8" s="79"/>
      <c r="C8" s="23" t="s">
        <v>90</v>
      </c>
      <c r="D8" s="75">
        <f>Rate_of_Return</f>
        <v>7.5999999999999998E-2</v>
      </c>
      <c r="E8" s="76"/>
      <c r="F8" s="60">
        <v>2020</v>
      </c>
      <c r="G8" s="61">
        <v>2</v>
      </c>
      <c r="H8" s="214">
        <f>'Capacity Delivered'!I7</f>
        <v>1.6378565153733527E-2</v>
      </c>
      <c r="I8" s="214">
        <f t="shared" ref="I8:I26" si="1">I7+(I7*$D$9)</f>
        <v>33.298951188946049</v>
      </c>
      <c r="J8" s="63">
        <f t="shared" si="0"/>
        <v>0</v>
      </c>
      <c r="K8" s="64">
        <f t="shared" ref="K8:K26" si="2">SUM(H8:J8)/((1+$D$8)^G8)</f>
        <v>28.775281016448588</v>
      </c>
      <c r="L8" s="65">
        <f t="shared" ref="L8:L26" si="3">L7+K8</f>
        <v>58.982678983833324</v>
      </c>
      <c r="M8" s="65">
        <f t="shared" ref="M8:M26" si="4">(-PMT($D$8,G8,(L8)))</f>
        <v>32.894378681689119</v>
      </c>
    </row>
    <row r="9" spans="1:13" ht="15.75" x14ac:dyDescent="0.25">
      <c r="A9" s="212"/>
      <c r="B9" s="79"/>
      <c r="C9" s="23" t="s">
        <v>91</v>
      </c>
      <c r="D9" s="75">
        <f>'Firm Avoided Capacity Calcs'!D9</f>
        <v>2.5000000000000001E-2</v>
      </c>
      <c r="E9" s="78"/>
      <c r="F9" s="60">
        <v>2021</v>
      </c>
      <c r="G9" s="61">
        <v>3</v>
      </c>
      <c r="H9" s="214">
        <f>'Capacity Delivered'!I8</f>
        <v>1.6378565153733527E-2</v>
      </c>
      <c r="I9" s="214">
        <f t="shared" si="1"/>
        <v>34.131424968669698</v>
      </c>
      <c r="J9" s="63">
        <f t="shared" si="0"/>
        <v>0</v>
      </c>
      <c r="K9" s="64">
        <f t="shared" si="2"/>
        <v>27.411068194685733</v>
      </c>
      <c r="L9" s="65">
        <f t="shared" si="3"/>
        <v>86.39374717851905</v>
      </c>
      <c r="M9" s="65">
        <f>(-PMT($D$8,G9,(L9)))</f>
        <v>33.281982786653188</v>
      </c>
    </row>
    <row r="10" spans="1:13" ht="15.75" x14ac:dyDescent="0.25">
      <c r="B10" s="79"/>
      <c r="C10" s="23"/>
      <c r="D10" s="80"/>
      <c r="E10" s="76"/>
      <c r="F10" s="60">
        <v>2022</v>
      </c>
      <c r="G10" s="61">
        <v>4</v>
      </c>
      <c r="H10" s="214">
        <f>'Capacity Delivered'!I9</f>
        <v>0.52159999999999995</v>
      </c>
      <c r="I10" s="214">
        <f t="shared" si="1"/>
        <v>34.984710592886444</v>
      </c>
      <c r="J10" s="63">
        <f t="shared" si="0"/>
        <v>0</v>
      </c>
      <c r="K10" s="64">
        <f t="shared" si="2"/>
        <v>26.488444913665329</v>
      </c>
      <c r="L10" s="65">
        <f t="shared" si="3"/>
        <v>112.88219209218438</v>
      </c>
      <c r="M10" s="65">
        <f t="shared" si="4"/>
        <v>33.778535184554165</v>
      </c>
    </row>
    <row r="11" spans="1:13" ht="15.75" x14ac:dyDescent="0.25">
      <c r="B11" s="79"/>
      <c r="C11" s="23" t="str">
        <f>C6</f>
        <v>Deferred T&amp;D Cost Credit ($/kw-yr) (4):</v>
      </c>
      <c r="D11" s="295" t="s">
        <v>67</v>
      </c>
      <c r="E11" s="76"/>
      <c r="F11" s="60">
        <v>2023</v>
      </c>
      <c r="G11" s="61">
        <v>5</v>
      </c>
      <c r="H11" s="214">
        <f>'Capacity Delivered'!I10</f>
        <v>14.88</v>
      </c>
      <c r="I11" s="214">
        <f t="shared" si="1"/>
        <v>35.859328357708605</v>
      </c>
      <c r="J11" s="63">
        <f t="shared" si="0"/>
        <v>0</v>
      </c>
      <c r="K11" s="64">
        <f t="shared" si="2"/>
        <v>35.17898926276019</v>
      </c>
      <c r="L11" s="65">
        <f t="shared" si="3"/>
        <v>148.06118135494458</v>
      </c>
      <c r="M11" s="65">
        <f t="shared" si="4"/>
        <v>36.692766703141054</v>
      </c>
    </row>
    <row r="12" spans="1:13" ht="15.75" x14ac:dyDescent="0.25">
      <c r="B12" s="49"/>
      <c r="C12" s="294">
        <v>2012</v>
      </c>
      <c r="D12" s="48">
        <f>D6</f>
        <v>27.33</v>
      </c>
      <c r="E12" s="76"/>
      <c r="F12" s="60">
        <v>2024</v>
      </c>
      <c r="G12" s="61">
        <v>6</v>
      </c>
      <c r="H12" s="214">
        <f>'Capacity Delivered'!I11</f>
        <v>14.88</v>
      </c>
      <c r="I12" s="214">
        <f t="shared" si="1"/>
        <v>36.755811566651317</v>
      </c>
      <c r="J12" s="63">
        <f t="shared" si="0"/>
        <v>0</v>
      </c>
      <c r="K12" s="64">
        <f>SUM(H12:J12)/((1+$D$8)^G12)</f>
        <v>33.27188293255923</v>
      </c>
      <c r="L12" s="65">
        <f t="shared" si="3"/>
        <v>181.33306428750382</v>
      </c>
      <c r="M12" s="65">
        <f t="shared" si="4"/>
        <v>38.750383400736375</v>
      </c>
    </row>
    <row r="13" spans="1:13" ht="15.75" x14ac:dyDescent="0.25">
      <c r="B13" s="49"/>
      <c r="C13" s="205">
        <f>F7</f>
        <v>2019</v>
      </c>
      <c r="D13" s="293">
        <f>D6*((1+$D$9)^($C$13-$C$12))</f>
        <v>32.486781647752245</v>
      </c>
      <c r="E13" s="76"/>
      <c r="F13" s="60">
        <v>2025</v>
      </c>
      <c r="G13" s="61">
        <v>7</v>
      </c>
      <c r="H13" s="214">
        <f>'Capacity Delivered'!I12</f>
        <v>12.8</v>
      </c>
      <c r="I13" s="214">
        <f t="shared" si="1"/>
        <v>37.674706855817604</v>
      </c>
      <c r="J13" s="63">
        <f t="shared" si="0"/>
        <v>0</v>
      </c>
      <c r="K13" s="64">
        <f t="shared" si="2"/>
        <v>30.226503059934135</v>
      </c>
      <c r="L13" s="65">
        <f t="shared" si="3"/>
        <v>211.55956734743796</v>
      </c>
      <c r="M13" s="65">
        <f t="shared" si="4"/>
        <v>40.080540039794251</v>
      </c>
    </row>
    <row r="14" spans="1:13" x14ac:dyDescent="0.2">
      <c r="B14" s="49"/>
      <c r="C14" s="215"/>
      <c r="D14" s="215"/>
      <c r="E14" s="76"/>
      <c r="F14" s="60">
        <v>2026</v>
      </c>
      <c r="G14" s="61">
        <v>8</v>
      </c>
      <c r="H14" s="214">
        <f>'Capacity Delivered'!I13</f>
        <v>12.8</v>
      </c>
      <c r="I14" s="214">
        <f t="shared" si="1"/>
        <v>38.616574527213047</v>
      </c>
      <c r="J14" s="63">
        <f t="shared" si="0"/>
        <v>0</v>
      </c>
      <c r="K14" s="64">
        <f t="shared" si="2"/>
        <v>28.615739201460777</v>
      </c>
      <c r="L14" s="65">
        <f t="shared" si="3"/>
        <v>240.17530654889873</v>
      </c>
      <c r="M14" s="65">
        <f t="shared" si="4"/>
        <v>41.161797113912556</v>
      </c>
    </row>
    <row r="15" spans="1:13" x14ac:dyDescent="0.2">
      <c r="B15" s="215"/>
      <c r="C15" s="216"/>
      <c r="D15" s="216"/>
      <c r="E15" s="76"/>
      <c r="F15" s="60">
        <v>2027</v>
      </c>
      <c r="G15" s="61">
        <v>9</v>
      </c>
      <c r="H15" s="214">
        <f>'Capacity Delivered'!I14</f>
        <v>12.876470223930472</v>
      </c>
      <c r="I15" s="214">
        <f t="shared" si="1"/>
        <v>39.581988890393376</v>
      </c>
      <c r="J15" s="63">
        <f t="shared" si="0"/>
        <v>0</v>
      </c>
      <c r="K15" s="64">
        <f t="shared" si="2"/>
        <v>27.133454387020766</v>
      </c>
      <c r="L15" s="65">
        <f t="shared" si="3"/>
        <v>267.30876093591951</v>
      </c>
      <c r="M15" s="65">
        <f t="shared" si="4"/>
        <v>42.081651915421446</v>
      </c>
    </row>
    <row r="16" spans="1:13" x14ac:dyDescent="0.2">
      <c r="B16" s="215"/>
      <c r="C16" s="216"/>
      <c r="D16" s="216"/>
      <c r="E16" s="76"/>
      <c r="F16" s="60">
        <v>2028</v>
      </c>
      <c r="G16" s="61">
        <v>10</v>
      </c>
      <c r="H16" s="214">
        <f>'Capacity Delivered'!I15</f>
        <v>12.876470223930472</v>
      </c>
      <c r="I16" s="214">
        <f t="shared" si="1"/>
        <v>40.571538612653214</v>
      </c>
      <c r="J16" s="63">
        <f t="shared" si="0"/>
        <v>0</v>
      </c>
      <c r="K16" s="64">
        <f t="shared" si="2"/>
        <v>25.69264506130834</v>
      </c>
      <c r="L16" s="65">
        <f t="shared" si="3"/>
        <v>293.00140599722783</v>
      </c>
      <c r="M16" s="65">
        <f t="shared" si="4"/>
        <v>42.88129608527931</v>
      </c>
    </row>
    <row r="17" spans="2:13" x14ac:dyDescent="0.2">
      <c r="B17" s="215"/>
      <c r="C17" s="216"/>
      <c r="D17" s="216"/>
      <c r="E17" s="76"/>
      <c r="F17" s="60">
        <v>2029</v>
      </c>
      <c r="G17" s="61">
        <v>11</v>
      </c>
      <c r="H17" s="214">
        <f>'Capacity Delivered'!I16</f>
        <v>12.876470223930472</v>
      </c>
      <c r="I17" s="214">
        <f t="shared" si="1"/>
        <v>41.585827077969547</v>
      </c>
      <c r="J17" s="63">
        <f t="shared" si="0"/>
        <v>0</v>
      </c>
      <c r="K17" s="64">
        <f t="shared" si="2"/>
        <v>24.331056765201946</v>
      </c>
      <c r="L17" s="65">
        <f t="shared" si="3"/>
        <v>317.33246276242977</v>
      </c>
      <c r="M17" s="65">
        <f t="shared" si="4"/>
        <v>43.592024467732635</v>
      </c>
    </row>
    <row r="18" spans="2:13" x14ac:dyDescent="0.2">
      <c r="B18" s="216"/>
      <c r="C18" s="216"/>
      <c r="D18" s="216"/>
      <c r="E18" s="76"/>
      <c r="F18" s="60">
        <v>2030</v>
      </c>
      <c r="G18" s="61">
        <v>12</v>
      </c>
      <c r="H18" s="214">
        <f>'Capacity Delivered'!I17</f>
        <v>12.876470223930472</v>
      </c>
      <c r="I18" s="214">
        <f t="shared" si="1"/>
        <v>42.625472754918789</v>
      </c>
      <c r="J18" s="63">
        <f t="shared" si="0"/>
        <v>0</v>
      </c>
      <c r="K18" s="64">
        <f t="shared" si="2"/>
        <v>23.044162599550756</v>
      </c>
      <c r="L18" s="65">
        <f t="shared" si="3"/>
        <v>340.37662536198053</v>
      </c>
      <c r="M18" s="65">
        <f t="shared" si="4"/>
        <v>44.234659646687717</v>
      </c>
    </row>
    <row r="19" spans="2:13" x14ac:dyDescent="0.2">
      <c r="B19" s="216"/>
      <c r="C19" s="216"/>
      <c r="D19" s="216"/>
      <c r="E19" s="76"/>
      <c r="F19" s="60">
        <v>2031</v>
      </c>
      <c r="G19" s="61">
        <v>13</v>
      </c>
      <c r="H19" s="214">
        <f>'Capacity Delivered'!I18</f>
        <v>13.46513541551584</v>
      </c>
      <c r="I19" s="214">
        <f t="shared" si="1"/>
        <v>43.691109573791756</v>
      </c>
      <c r="J19" s="63">
        <f t="shared" si="0"/>
        <v>0</v>
      </c>
      <c r="K19" s="64">
        <f t="shared" si="2"/>
        <v>22.054852711753274</v>
      </c>
      <c r="L19" s="65">
        <f t="shared" si="3"/>
        <v>362.43147807373379</v>
      </c>
      <c r="M19" s="65">
        <f t="shared" si="4"/>
        <v>44.851693811751908</v>
      </c>
    </row>
    <row r="20" spans="2:13" x14ac:dyDescent="0.2">
      <c r="B20" s="216"/>
      <c r="C20" s="216"/>
      <c r="D20" s="216"/>
      <c r="E20" s="76"/>
      <c r="F20" s="60">
        <v>2032</v>
      </c>
      <c r="G20" s="61">
        <v>14</v>
      </c>
      <c r="H20" s="214">
        <f>'Capacity Delivered'!I19</f>
        <v>13.46513541551584</v>
      </c>
      <c r="I20" s="214">
        <f t="shared" si="1"/>
        <v>44.783387313136551</v>
      </c>
      <c r="J20" s="63">
        <f t="shared" si="0"/>
        <v>0</v>
      </c>
      <c r="K20" s="64">
        <f t="shared" si="2"/>
        <v>20.888781967184848</v>
      </c>
      <c r="L20" s="65">
        <f t="shared" si="3"/>
        <v>383.32026004091864</v>
      </c>
      <c r="M20" s="65">
        <f t="shared" si="4"/>
        <v>45.420972422284805</v>
      </c>
    </row>
    <row r="21" spans="2:13" s="218" customFormat="1" x14ac:dyDescent="0.2">
      <c r="B21" s="216"/>
      <c r="C21" s="216"/>
      <c r="D21" s="216"/>
      <c r="E21" s="81"/>
      <c r="F21" s="62">
        <v>2033</v>
      </c>
      <c r="G21" s="62">
        <v>15</v>
      </c>
      <c r="H21" s="217">
        <f>'Capacity Delivered'!I20</f>
        <v>13.46513541551584</v>
      </c>
      <c r="I21" s="217">
        <f>I20+(I20*$D$9)</f>
        <v>45.902971995964961</v>
      </c>
      <c r="J21" s="66">
        <f t="shared" si="0"/>
        <v>0</v>
      </c>
      <c r="K21" s="66">
        <f>SUM(H21:J21)/((1+$D$8)^G21)</f>
        <v>19.786507060737105</v>
      </c>
      <c r="L21" s="67">
        <f>L20+K21</f>
        <v>403.10676710165575</v>
      </c>
      <c r="M21" s="67">
        <f>(-PMT($D$8,G21,(L21)))</f>
        <v>45.950848583674151</v>
      </c>
    </row>
    <row r="22" spans="2:13" x14ac:dyDescent="0.2">
      <c r="B22" s="216"/>
      <c r="C22" s="216"/>
      <c r="D22" s="216"/>
      <c r="E22" s="81"/>
      <c r="F22" s="60">
        <v>2034</v>
      </c>
      <c r="G22" s="61">
        <v>16</v>
      </c>
      <c r="H22" s="214">
        <f>'Capacity Delivered'!I21</f>
        <v>14.129092683255571</v>
      </c>
      <c r="I22" s="214">
        <f t="shared" si="1"/>
        <v>47.050546295864088</v>
      </c>
      <c r="J22" s="63">
        <f t="shared" si="0"/>
        <v>0</v>
      </c>
      <c r="K22" s="64">
        <f t="shared" si="2"/>
        <v>18.950059093412396</v>
      </c>
      <c r="L22" s="65">
        <f t="shared" si="3"/>
        <v>422.05682619506814</v>
      </c>
      <c r="M22" s="65">
        <f t="shared" si="4"/>
        <v>46.470213739114733</v>
      </c>
    </row>
    <row r="23" spans="2:13" x14ac:dyDescent="0.2">
      <c r="B23" s="216"/>
      <c r="C23" s="216"/>
      <c r="D23" s="216"/>
      <c r="E23" s="81"/>
      <c r="F23" s="60">
        <v>2035</v>
      </c>
      <c r="G23" s="61">
        <v>17</v>
      </c>
      <c r="H23" s="214">
        <f>'Capacity Delivered'!I22</f>
        <v>14.129092683255571</v>
      </c>
      <c r="I23" s="214">
        <f t="shared" si="1"/>
        <v>48.226809953260691</v>
      </c>
      <c r="J23" s="63">
        <f t="shared" si="0"/>
        <v>0</v>
      </c>
      <c r="K23" s="64">
        <f t="shared" si="2"/>
        <v>17.950186187854264</v>
      </c>
      <c r="L23" s="65">
        <f t="shared" si="3"/>
        <v>440.00701238292243</v>
      </c>
      <c r="M23" s="65">
        <f t="shared" si="4"/>
        <v>46.958247337351729</v>
      </c>
    </row>
    <row r="24" spans="2:13" x14ac:dyDescent="0.2">
      <c r="B24" s="216"/>
      <c r="C24" s="216"/>
      <c r="D24" s="216"/>
      <c r="E24" s="81"/>
      <c r="F24" s="60">
        <v>2036</v>
      </c>
      <c r="G24" s="61">
        <v>18</v>
      </c>
      <c r="H24" s="214">
        <f>'Capacity Delivered'!I23</f>
        <v>14.57431214521732</v>
      </c>
      <c r="I24" s="214">
        <f t="shared" si="1"/>
        <v>49.432480202092208</v>
      </c>
      <c r="J24" s="63">
        <f t="shared" si="0"/>
        <v>0</v>
      </c>
      <c r="K24" s="64">
        <f t="shared" si="2"/>
        <v>17.123998434174307</v>
      </c>
      <c r="L24" s="65">
        <f t="shared" si="3"/>
        <v>457.13101081709675</v>
      </c>
      <c r="M24" s="65">
        <f t="shared" si="4"/>
        <v>47.431499500039067</v>
      </c>
    </row>
    <row r="25" spans="2:13" x14ac:dyDescent="0.2">
      <c r="B25" s="216"/>
      <c r="C25" s="216"/>
      <c r="D25" s="216"/>
      <c r="E25" s="81"/>
      <c r="F25" s="60">
        <v>2037</v>
      </c>
      <c r="G25" s="61">
        <v>19</v>
      </c>
      <c r="H25" s="214">
        <f>'Capacity Delivered'!I24</f>
        <v>14.57431214521732</v>
      </c>
      <c r="I25" s="214">
        <f t="shared" si="1"/>
        <v>50.668292207144511</v>
      </c>
      <c r="J25" s="63">
        <f t="shared" si="0"/>
        <v>0</v>
      </c>
      <c r="K25" s="64">
        <f t="shared" si="2"/>
        <v>16.221766045078784</v>
      </c>
      <c r="L25" s="65">
        <f t="shared" si="3"/>
        <v>473.35277686217552</v>
      </c>
      <c r="M25" s="65">
        <f t="shared" si="4"/>
        <v>47.879441569739697</v>
      </c>
    </row>
    <row r="26" spans="2:13" x14ac:dyDescent="0.2">
      <c r="B26" s="216"/>
      <c r="C26" s="216"/>
      <c r="D26" s="216"/>
      <c r="E26" s="81"/>
      <c r="F26" s="60">
        <v>2038</v>
      </c>
      <c r="G26" s="61">
        <v>20</v>
      </c>
      <c r="H26" s="214">
        <f>'Capacity Delivered'!I25</f>
        <v>14.57431214521732</v>
      </c>
      <c r="I26" s="214">
        <f t="shared" si="1"/>
        <v>51.934999512323124</v>
      </c>
      <c r="J26" s="63">
        <f t="shared" si="0"/>
        <v>0</v>
      </c>
      <c r="K26" s="64">
        <f t="shared" si="2"/>
        <v>15.368696224998187</v>
      </c>
      <c r="L26" s="65">
        <f t="shared" si="3"/>
        <v>488.72147308717371</v>
      </c>
      <c r="M26" s="65">
        <f t="shared" si="4"/>
        <v>48.304936603126386</v>
      </c>
    </row>
    <row r="27" spans="2:13" s="73" customFormat="1" x14ac:dyDescent="0.2">
      <c r="F27" s="60"/>
      <c r="G27" s="59"/>
      <c r="H27" s="219"/>
      <c r="I27" s="220"/>
      <c r="J27" s="83"/>
      <c r="K27" s="84"/>
      <c r="L27" s="85"/>
      <c r="M27" s="77"/>
    </row>
    <row r="28" spans="2:13" s="73" customFormat="1" x14ac:dyDescent="0.2">
      <c r="C28" s="24"/>
      <c r="F28" s="60"/>
      <c r="G28" s="59"/>
      <c r="H28" s="219"/>
      <c r="I28" s="220"/>
      <c r="J28" s="83"/>
      <c r="K28" s="84"/>
      <c r="L28" s="85"/>
      <c r="M28" s="77"/>
    </row>
    <row r="29" spans="2:13" x14ac:dyDescent="0.2">
      <c r="B29" s="40" t="s">
        <v>69</v>
      </c>
      <c r="C29" s="24"/>
      <c r="D29" s="73"/>
      <c r="E29" s="73"/>
      <c r="F29" s="40"/>
      <c r="G29" s="59"/>
      <c r="H29" s="219"/>
      <c r="I29" s="220"/>
      <c r="J29" s="83"/>
      <c r="K29" s="40"/>
      <c r="L29" s="40"/>
      <c r="M29" s="40"/>
    </row>
    <row r="30" spans="2:13" s="73" customFormat="1" ht="51.75" customHeight="1" x14ac:dyDescent="0.2">
      <c r="B30" s="305" t="s">
        <v>121</v>
      </c>
      <c r="C30" s="305"/>
      <c r="D30" s="305"/>
      <c r="E30" s="305"/>
      <c r="F30" s="305"/>
      <c r="G30" s="305"/>
      <c r="H30" s="305"/>
      <c r="I30" s="305"/>
      <c r="J30" s="305"/>
      <c r="K30" s="69"/>
      <c r="L30" s="69"/>
    </row>
  </sheetData>
  <mergeCells count="1">
    <mergeCell ref="B30:J30"/>
  </mergeCells>
  <pageMargins left="0.75" right="0.5" top="0.76" bottom="0.79" header="0.5" footer="0.26"/>
  <pageSetup scale="64" orientation="landscape" r:id="rId1"/>
  <headerFooter alignWithMargins="0">
    <oddFooter>&amp;L&amp;F&amp;C&amp;A&amp;RPSE Advice No. 2018-48 &amp;D
Page &amp;P of &amp;N</oddFooter>
  </headerFooter>
  <customProperties>
    <customPr name="_pios_id" r:id="rId2"/>
  </customProperties>
  <drawing r:id="rId3"/>
  <legacyDrawing r:id="rId4"/>
  <controls>
    <mc:AlternateContent xmlns:mc="http://schemas.openxmlformats.org/markup-compatibility/2006">
      <mc:Choice Requires="x14">
        <control shapeId="12292" r:id="rId5" name="Control 4">
          <controlPr defaultSize="0" r:id="rId6">
            <anchor moveWithCells="1">
              <from>
                <xdr:col>6</xdr:col>
                <xdr:colOff>571500</xdr:colOff>
                <xdr:row>2</xdr:row>
                <xdr:rowOff>104775</xdr:rowOff>
              </from>
              <to>
                <xdr:col>7</xdr:col>
                <xdr:colOff>47625</xdr:colOff>
                <xdr:row>3</xdr:row>
                <xdr:rowOff>161925</xdr:rowOff>
              </to>
            </anchor>
          </controlPr>
        </control>
      </mc:Choice>
      <mc:Fallback>
        <control shapeId="12292" r:id="rId5" name="Control 4"/>
      </mc:Fallback>
    </mc:AlternateContent>
    <mc:AlternateContent xmlns:mc="http://schemas.openxmlformats.org/markup-compatibility/2006">
      <mc:Choice Requires="x14">
        <control shapeId="12291" r:id="rId7" name="Control 3">
          <controlPr defaultSize="0" r:id="rId8">
            <anchor moveWithCells="1">
              <from>
                <xdr:col>6</xdr:col>
                <xdr:colOff>571500</xdr:colOff>
                <xdr:row>2</xdr:row>
                <xdr:rowOff>104775</xdr:rowOff>
              </from>
              <to>
                <xdr:col>7</xdr:col>
                <xdr:colOff>19050</xdr:colOff>
                <xdr:row>3</xdr:row>
                <xdr:rowOff>85725</xdr:rowOff>
              </to>
            </anchor>
          </controlPr>
        </control>
      </mc:Choice>
      <mc:Fallback>
        <control shapeId="12291" r:id="rId7" name="Control 3"/>
      </mc:Fallback>
    </mc:AlternateContent>
    <mc:AlternateContent xmlns:mc="http://schemas.openxmlformats.org/markup-compatibility/2006">
      <mc:Choice Requires="x14">
        <control shapeId="12290" r:id="rId9" name="Control 2">
          <controlPr defaultSize="0" r:id="rId10">
            <anchor moveWithCells="1">
              <from>
                <xdr:col>6</xdr:col>
                <xdr:colOff>571500</xdr:colOff>
                <xdr:row>2</xdr:row>
                <xdr:rowOff>104775</xdr:rowOff>
              </from>
              <to>
                <xdr:col>7</xdr:col>
                <xdr:colOff>19050</xdr:colOff>
                <xdr:row>3</xdr:row>
                <xdr:rowOff>85725</xdr:rowOff>
              </to>
            </anchor>
          </controlPr>
        </control>
      </mc:Choice>
      <mc:Fallback>
        <control shapeId="12290" r:id="rId9" name="Control 2"/>
      </mc:Fallback>
    </mc:AlternateContent>
    <mc:AlternateContent xmlns:mc="http://schemas.openxmlformats.org/markup-compatibility/2006">
      <mc:Choice Requires="x14">
        <control shapeId="12289" r:id="rId11" name="Control 1">
          <controlPr defaultSize="0" r:id="rId12">
            <anchor moveWithCells="1">
              <from>
                <xdr:col>6</xdr:col>
                <xdr:colOff>571500</xdr:colOff>
                <xdr:row>2</xdr:row>
                <xdr:rowOff>104775</xdr:rowOff>
              </from>
              <to>
                <xdr:col>6</xdr:col>
                <xdr:colOff>733425</xdr:colOff>
                <xdr:row>3</xdr:row>
                <xdr:rowOff>85725</xdr:rowOff>
              </to>
            </anchor>
          </controlPr>
        </control>
      </mc:Choice>
      <mc:Fallback>
        <control shapeId="12289" r:id="rId11" name="Control 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9" tint="0.39997558519241921"/>
    <pageSetUpPr fitToPage="1"/>
  </sheetPr>
  <dimension ref="A1:M30"/>
  <sheetViews>
    <sheetView zoomScale="75" zoomScaleNormal="75" workbookViewId="0"/>
  </sheetViews>
  <sheetFormatPr defaultColWidth="9.140625" defaultRowHeight="15" x14ac:dyDescent="0.2"/>
  <cols>
    <col min="1" max="1" width="2.7109375" style="50" customWidth="1"/>
    <col min="2" max="2" width="25.7109375" style="50" customWidth="1"/>
    <col min="3" max="3" width="17.42578125" style="50" customWidth="1"/>
    <col min="4" max="4" width="15.5703125" style="50" customWidth="1"/>
    <col min="5" max="5" width="2.7109375" style="50" customWidth="1"/>
    <col min="6" max="6" width="9.7109375" style="50" customWidth="1"/>
    <col min="7" max="7" width="16.7109375" style="50" customWidth="1"/>
    <col min="8" max="9" width="16.42578125" style="73" customWidth="1"/>
    <col min="10" max="10" width="16.7109375" style="211" customWidth="1"/>
    <col min="11" max="11" width="18.5703125" style="50" customWidth="1"/>
    <col min="12" max="12" width="19" style="50" customWidth="1"/>
    <col min="13" max="13" width="22.28515625" style="50" customWidth="1"/>
    <col min="14" max="16384" width="9.140625" style="50"/>
  </cols>
  <sheetData>
    <row r="1" spans="1:13" x14ac:dyDescent="0.2">
      <c r="B1" s="17"/>
    </row>
    <row r="3" spans="1:13" x14ac:dyDescent="0.2">
      <c r="H3" s="206" t="s">
        <v>66</v>
      </c>
    </row>
    <row r="4" spans="1:13" ht="63" x14ac:dyDescent="0.25">
      <c r="F4" s="18" t="s">
        <v>16</v>
      </c>
      <c r="G4" s="19" t="s">
        <v>2</v>
      </c>
      <c r="H4" s="20" t="s">
        <v>17</v>
      </c>
      <c r="I4" s="20" t="s">
        <v>115</v>
      </c>
      <c r="J4" s="20" t="s">
        <v>75</v>
      </c>
      <c r="K4" s="19" t="s">
        <v>18</v>
      </c>
      <c r="L4" s="19" t="s">
        <v>19</v>
      </c>
      <c r="M4" s="3" t="s">
        <v>20</v>
      </c>
    </row>
    <row r="5" spans="1:13" ht="15.75" x14ac:dyDescent="0.25">
      <c r="B5" s="212"/>
      <c r="C5" s="212"/>
      <c r="F5" s="21"/>
      <c r="G5" s="21" t="s">
        <v>21</v>
      </c>
      <c r="H5" s="22" t="s">
        <v>36</v>
      </c>
      <c r="I5" s="22" t="s">
        <v>36</v>
      </c>
      <c r="J5" s="22" t="s">
        <v>36</v>
      </c>
      <c r="K5" s="21" t="s">
        <v>36</v>
      </c>
      <c r="L5" s="21" t="s">
        <v>36</v>
      </c>
      <c r="M5" s="4" t="s">
        <v>36</v>
      </c>
    </row>
    <row r="6" spans="1:13" ht="15.75" x14ac:dyDescent="0.25">
      <c r="A6" s="212"/>
      <c r="B6" s="79"/>
      <c r="C6" s="23" t="s">
        <v>22</v>
      </c>
      <c r="D6" s="247">
        <v>27.33</v>
      </c>
      <c r="E6" s="74"/>
      <c r="F6" s="210" t="s">
        <v>23</v>
      </c>
      <c r="G6" s="210" t="s">
        <v>24</v>
      </c>
      <c r="H6" s="210" t="s">
        <v>25</v>
      </c>
      <c r="I6" s="210" t="s">
        <v>26</v>
      </c>
      <c r="J6" s="210" t="s">
        <v>27</v>
      </c>
      <c r="K6" s="210" t="s">
        <v>33</v>
      </c>
      <c r="L6" s="210" t="s">
        <v>28</v>
      </c>
      <c r="M6" s="210" t="s">
        <v>29</v>
      </c>
    </row>
    <row r="7" spans="1:13" ht="15.75" x14ac:dyDescent="0.25">
      <c r="A7" s="212"/>
      <c r="B7" s="79"/>
      <c r="C7" s="23" t="s">
        <v>30</v>
      </c>
      <c r="D7" s="75">
        <f>'Firm Avoided Capacity Calcs'!D7</f>
        <v>0</v>
      </c>
      <c r="E7" s="76"/>
      <c r="F7" s="213">
        <v>2019</v>
      </c>
      <c r="G7" s="207">
        <v>1</v>
      </c>
      <c r="H7" s="214">
        <f>'Capacity Delivered'!J6</f>
        <v>2.0473206442166909E-3</v>
      </c>
      <c r="I7" s="221">
        <f>D13</f>
        <v>32.486781647752245</v>
      </c>
      <c r="J7" s="208">
        <f>(H7+I7)*$D$7</f>
        <v>0</v>
      </c>
      <c r="K7" s="48">
        <f>SUM(H7:J7)/((1+$D$8)^G7)</f>
        <v>30.194078966911206</v>
      </c>
      <c r="L7" s="209">
        <f>K7</f>
        <v>30.194078966911206</v>
      </c>
      <c r="M7" s="209">
        <f>(-PMT($D$8,G7,(L7)))</f>
        <v>32.488828968396462</v>
      </c>
    </row>
    <row r="8" spans="1:13" ht="15.75" x14ac:dyDescent="0.25">
      <c r="A8" s="212"/>
      <c r="B8" s="79"/>
      <c r="C8" s="23" t="s">
        <v>34</v>
      </c>
      <c r="D8" s="75">
        <f>Rate_of_Return</f>
        <v>7.5999999999999998E-2</v>
      </c>
      <c r="E8" s="76"/>
      <c r="F8" s="60">
        <v>2020</v>
      </c>
      <c r="G8" s="61">
        <v>2</v>
      </c>
      <c r="H8" s="214">
        <f>'Capacity Delivered'!J7</f>
        <v>2.0473206442166909E-3</v>
      </c>
      <c r="I8" s="214">
        <f t="shared" ref="I8:I26" si="0">I7+(I7*$D$9)</f>
        <v>33.298951188946049</v>
      </c>
      <c r="J8" s="63">
        <f t="shared" ref="J8:J26" si="1">(H8+I8)*$D$7</f>
        <v>0</v>
      </c>
      <c r="K8" s="64">
        <f t="shared" ref="K8:K26" si="2">SUM(H8:J8)/((1+$D$8)^G8)</f>
        <v>28.762902763220399</v>
      </c>
      <c r="L8" s="65">
        <f t="shared" ref="L8:L26" si="3">L7+K8</f>
        <v>58.956981730131602</v>
      </c>
      <c r="M8" s="65">
        <f t="shared" ref="M8:M26" si="4">(-PMT($D$8,G8,(L8)))</f>
        <v>32.880047437179599</v>
      </c>
    </row>
    <row r="9" spans="1:13" ht="15.75" x14ac:dyDescent="0.25">
      <c r="A9" s="212"/>
      <c r="B9" s="79"/>
      <c r="C9" s="23" t="s">
        <v>35</v>
      </c>
      <c r="D9" s="75">
        <f>'Firm Avoided Capacity Calcs'!D9</f>
        <v>2.5000000000000001E-2</v>
      </c>
      <c r="E9" s="78"/>
      <c r="F9" s="60">
        <v>2021</v>
      </c>
      <c r="G9" s="61">
        <v>3</v>
      </c>
      <c r="H9" s="214">
        <f>'Capacity Delivered'!J8</f>
        <v>2.0473206442166909E-3</v>
      </c>
      <c r="I9" s="214">
        <f t="shared" si="0"/>
        <v>34.131424968669698</v>
      </c>
      <c r="J9" s="63">
        <f t="shared" si="1"/>
        <v>0</v>
      </c>
      <c r="K9" s="64">
        <f t="shared" si="2"/>
        <v>27.399564241871431</v>
      </c>
      <c r="L9" s="65">
        <f t="shared" si="3"/>
        <v>86.356545972003033</v>
      </c>
      <c r="M9" s="65">
        <f>(-PMT($D$8,G9,(L9)))</f>
        <v>33.267651542143675</v>
      </c>
    </row>
    <row r="10" spans="1:13" ht="15.75" x14ac:dyDescent="0.25">
      <c r="B10" s="79"/>
      <c r="C10" s="23"/>
      <c r="D10" s="80"/>
      <c r="E10" s="76"/>
      <c r="F10" s="60">
        <v>2022</v>
      </c>
      <c r="G10" s="61">
        <v>4</v>
      </c>
      <c r="H10" s="214">
        <f>'Capacity Delivered'!J9</f>
        <v>6.5199999999999994E-2</v>
      </c>
      <c r="I10" s="214">
        <f t="shared" si="0"/>
        <v>34.984710592886444</v>
      </c>
      <c r="J10" s="63">
        <f t="shared" si="1"/>
        <v>0</v>
      </c>
      <c r="K10" s="64">
        <f t="shared" si="2"/>
        <v>26.147961037511244</v>
      </c>
      <c r="L10" s="65">
        <f t="shared" si="3"/>
        <v>112.50450700951427</v>
      </c>
      <c r="M10" s="65">
        <f t="shared" si="4"/>
        <v>33.665517811156278</v>
      </c>
    </row>
    <row r="11" spans="1:13" ht="15.75" x14ac:dyDescent="0.25">
      <c r="B11" s="79"/>
      <c r="C11" s="23" t="str">
        <f>C6</f>
        <v>Deferred T&amp;D Cost Credit ($/kw-yr) (4):</v>
      </c>
      <c r="D11" s="295" t="s">
        <v>67</v>
      </c>
      <c r="E11" s="76"/>
      <c r="F11" s="60">
        <v>2023</v>
      </c>
      <c r="G11" s="61">
        <v>5</v>
      </c>
      <c r="H11" s="214">
        <f>'Capacity Delivered'!J10</f>
        <v>1.86</v>
      </c>
      <c r="I11" s="214">
        <f t="shared" si="0"/>
        <v>35.859328357708605</v>
      </c>
      <c r="J11" s="63">
        <f t="shared" si="1"/>
        <v>0</v>
      </c>
      <c r="K11" s="64">
        <f t="shared" si="2"/>
        <v>26.15186070141905</v>
      </c>
      <c r="L11" s="65">
        <f t="shared" si="3"/>
        <v>138.65636771093332</v>
      </c>
      <c r="M11" s="65">
        <f t="shared" si="4"/>
        <v>34.362050240066594</v>
      </c>
    </row>
    <row r="12" spans="1:13" ht="15.75" x14ac:dyDescent="0.25">
      <c r="B12" s="49"/>
      <c r="C12" s="294">
        <v>2012</v>
      </c>
      <c r="D12" s="48">
        <f>D6</f>
        <v>27.33</v>
      </c>
      <c r="E12" s="76"/>
      <c r="F12" s="60">
        <v>2024</v>
      </c>
      <c r="G12" s="61">
        <v>6</v>
      </c>
      <c r="H12" s="214">
        <f>'Capacity Delivered'!J11</f>
        <v>1.86</v>
      </c>
      <c r="I12" s="214">
        <f t="shared" si="0"/>
        <v>36.755811566651317</v>
      </c>
      <c r="J12" s="63">
        <f t="shared" si="1"/>
        <v>0</v>
      </c>
      <c r="K12" s="64">
        <f>SUM(H12:J12)/((1+$D$8)^G12)</f>
        <v>24.882358247297947</v>
      </c>
      <c r="L12" s="65">
        <f t="shared" si="3"/>
        <v>163.53872595823128</v>
      </c>
      <c r="M12" s="65">
        <f t="shared" si="4"/>
        <v>34.947781623001745</v>
      </c>
    </row>
    <row r="13" spans="1:13" ht="15.75" x14ac:dyDescent="0.25">
      <c r="B13" s="49"/>
      <c r="C13" s="205">
        <f>F7</f>
        <v>2019</v>
      </c>
      <c r="D13" s="293">
        <f>D6*((1+$D$9)^($C$13-$C$12))</f>
        <v>32.486781647752245</v>
      </c>
      <c r="E13" s="76"/>
      <c r="F13" s="60">
        <v>2025</v>
      </c>
      <c r="G13" s="61">
        <v>7</v>
      </c>
      <c r="H13" s="214">
        <f>'Capacity Delivered'!J12</f>
        <v>1.6</v>
      </c>
      <c r="I13" s="214">
        <f t="shared" si="0"/>
        <v>37.674706855817604</v>
      </c>
      <c r="J13" s="63">
        <f t="shared" si="1"/>
        <v>0</v>
      </c>
      <c r="K13" s="64">
        <f t="shared" si="2"/>
        <v>23.51944411180984</v>
      </c>
      <c r="L13" s="65">
        <f t="shared" si="3"/>
        <v>187.05817007004111</v>
      </c>
      <c r="M13" s="65">
        <f t="shared" si="4"/>
        <v>35.438683153242515</v>
      </c>
    </row>
    <row r="14" spans="1:13" x14ac:dyDescent="0.2">
      <c r="B14" s="49"/>
      <c r="C14" s="216"/>
      <c r="D14" s="216"/>
      <c r="E14" s="76"/>
      <c r="F14" s="60">
        <v>2026</v>
      </c>
      <c r="G14" s="61">
        <v>8</v>
      </c>
      <c r="H14" s="214">
        <f>'Capacity Delivered'!J13</f>
        <v>1.6</v>
      </c>
      <c r="I14" s="214">
        <f t="shared" si="0"/>
        <v>38.616574527213047</v>
      </c>
      <c r="J14" s="63">
        <f t="shared" si="1"/>
        <v>0</v>
      </c>
      <c r="K14" s="64">
        <f t="shared" si="2"/>
        <v>22.382413041493958</v>
      </c>
      <c r="L14" s="65">
        <f t="shared" si="3"/>
        <v>209.44058311153506</v>
      </c>
      <c r="M14" s="65">
        <f t="shared" si="4"/>
        <v>35.894409435057199</v>
      </c>
    </row>
    <row r="15" spans="1:13" x14ac:dyDescent="0.2">
      <c r="B15" s="215"/>
      <c r="C15" s="216"/>
      <c r="D15" s="216"/>
      <c r="E15" s="76"/>
      <c r="F15" s="60">
        <v>2027</v>
      </c>
      <c r="G15" s="61">
        <v>9</v>
      </c>
      <c r="H15" s="214">
        <f>'Capacity Delivered'!J14</f>
        <v>1.609558777991309</v>
      </c>
      <c r="I15" s="214">
        <f t="shared" si="0"/>
        <v>39.581988890393376</v>
      </c>
      <c r="J15" s="63">
        <f t="shared" si="1"/>
        <v>0</v>
      </c>
      <c r="K15" s="64">
        <f t="shared" si="2"/>
        <v>21.305791261522714</v>
      </c>
      <c r="L15" s="65">
        <f t="shared" si="3"/>
        <v>230.74637437305779</v>
      </c>
      <c r="M15" s="65">
        <f t="shared" si="4"/>
        <v>36.325740215601506</v>
      </c>
    </row>
    <row r="16" spans="1:13" x14ac:dyDescent="0.2">
      <c r="B16" s="215"/>
      <c r="C16" s="216"/>
      <c r="D16" s="216"/>
      <c r="E16" s="76"/>
      <c r="F16" s="60">
        <v>2028</v>
      </c>
      <c r="G16" s="61">
        <v>10</v>
      </c>
      <c r="H16" s="214">
        <f>'Capacity Delivered'!J15</f>
        <v>1.609558777991309</v>
      </c>
      <c r="I16" s="214">
        <f t="shared" si="0"/>
        <v>40.571538612653214</v>
      </c>
      <c r="J16" s="63">
        <f t="shared" si="1"/>
        <v>0</v>
      </c>
      <c r="K16" s="64">
        <f t="shared" si="2"/>
        <v>20.276601264377064</v>
      </c>
      <c r="L16" s="65">
        <f t="shared" si="3"/>
        <v>251.02297563743485</v>
      </c>
      <c r="M16" s="65">
        <f t="shared" si="4"/>
        <v>36.737675390603897</v>
      </c>
    </row>
    <row r="17" spans="2:13" x14ac:dyDescent="0.2">
      <c r="B17" s="215"/>
      <c r="C17" s="216"/>
      <c r="D17" s="216"/>
      <c r="E17" s="76"/>
      <c r="F17" s="60">
        <v>2029</v>
      </c>
      <c r="G17" s="61">
        <v>11</v>
      </c>
      <c r="H17" s="214">
        <f>'Capacity Delivered'!J16</f>
        <v>1.609558777991309</v>
      </c>
      <c r="I17" s="214">
        <f t="shared" si="0"/>
        <v>41.585827077969547</v>
      </c>
      <c r="J17" s="63">
        <f t="shared" si="1"/>
        <v>0</v>
      </c>
      <c r="K17" s="64">
        <f t="shared" si="2"/>
        <v>19.297558812663585</v>
      </c>
      <c r="L17" s="65">
        <f t="shared" si="3"/>
        <v>270.32053445009842</v>
      </c>
      <c r="M17" s="65">
        <f t="shared" si="4"/>
        <v>37.133986385443279</v>
      </c>
    </row>
    <row r="18" spans="2:13" x14ac:dyDescent="0.2">
      <c r="B18" s="216"/>
      <c r="C18" s="216"/>
      <c r="D18" s="216"/>
      <c r="E18" s="76"/>
      <c r="F18" s="60">
        <v>2030</v>
      </c>
      <c r="G18" s="61">
        <v>12</v>
      </c>
      <c r="H18" s="214">
        <f>'Capacity Delivered'!J17</f>
        <v>1.609558777991309</v>
      </c>
      <c r="I18" s="214">
        <f t="shared" si="0"/>
        <v>42.625472754918789</v>
      </c>
      <c r="J18" s="63">
        <f t="shared" si="1"/>
        <v>0</v>
      </c>
      <c r="K18" s="64">
        <f t="shared" si="2"/>
        <v>18.366190524700979</v>
      </c>
      <c r="L18" s="65">
        <f t="shared" si="3"/>
        <v>288.6867249747994</v>
      </c>
      <c r="M18" s="65">
        <f t="shared" si="4"/>
        <v>37.517144457839073</v>
      </c>
    </row>
    <row r="19" spans="2:13" x14ac:dyDescent="0.2">
      <c r="B19" s="216"/>
      <c r="C19" s="216"/>
      <c r="D19" s="216"/>
      <c r="E19" s="81"/>
      <c r="F19" s="60">
        <v>2031</v>
      </c>
      <c r="G19" s="61">
        <v>13</v>
      </c>
      <c r="H19" s="214">
        <f>'Capacity Delivered'!J18</f>
        <v>1.6831419269394801</v>
      </c>
      <c r="I19" s="214">
        <f t="shared" si="0"/>
        <v>43.691109573791756</v>
      </c>
      <c r="J19" s="63">
        <f t="shared" si="1"/>
        <v>0</v>
      </c>
      <c r="K19" s="64">
        <f t="shared" si="2"/>
        <v>17.50854056178613</v>
      </c>
      <c r="L19" s="65">
        <f t="shared" si="3"/>
        <v>306.19526553658551</v>
      </c>
      <c r="M19" s="65">
        <f t="shared" si="4"/>
        <v>37.892338627554473</v>
      </c>
    </row>
    <row r="20" spans="2:13" x14ac:dyDescent="0.2">
      <c r="B20" s="216"/>
      <c r="C20" s="216"/>
      <c r="D20" s="216"/>
      <c r="E20" s="81"/>
      <c r="F20" s="60">
        <v>2032</v>
      </c>
      <c r="G20" s="61">
        <v>14</v>
      </c>
      <c r="H20" s="214">
        <f>'Capacity Delivered'!J19</f>
        <v>1.6831419269394801</v>
      </c>
      <c r="I20" s="214">
        <f t="shared" si="0"/>
        <v>44.783387313136551</v>
      </c>
      <c r="J20" s="63">
        <f t="shared" si="1"/>
        <v>0</v>
      </c>
      <c r="K20" s="64">
        <f t="shared" si="2"/>
        <v>16.663584801787877</v>
      </c>
      <c r="L20" s="65">
        <f t="shared" si="3"/>
        <v>322.85885033837337</v>
      </c>
      <c r="M20" s="65">
        <f t="shared" si="4"/>
        <v>38.256686291364886</v>
      </c>
    </row>
    <row r="21" spans="2:13" s="218" customFormat="1" x14ac:dyDescent="0.2">
      <c r="B21" s="216"/>
      <c r="C21" s="216"/>
      <c r="D21" s="216"/>
      <c r="E21" s="81"/>
      <c r="F21" s="62">
        <v>2033</v>
      </c>
      <c r="G21" s="62">
        <v>15</v>
      </c>
      <c r="H21" s="217">
        <f>'Capacity Delivered'!J20</f>
        <v>1.6831419269394801</v>
      </c>
      <c r="I21" s="217">
        <f t="shared" si="0"/>
        <v>45.902971995964961</v>
      </c>
      <c r="J21" s="66">
        <f t="shared" si="1"/>
        <v>0</v>
      </c>
      <c r="K21" s="66">
        <f t="shared" si="2"/>
        <v>15.859743895870031</v>
      </c>
      <c r="L21" s="67">
        <f>L20+K21</f>
        <v>338.71859423424343</v>
      </c>
      <c r="M21" s="67">
        <f>(-PMT($D$8,G21,(L21)))</f>
        <v>38.611127637576075</v>
      </c>
    </row>
    <row r="22" spans="2:13" x14ac:dyDescent="0.2">
      <c r="B22" s="216"/>
      <c r="C22" s="216"/>
      <c r="D22" s="216"/>
      <c r="E22" s="81"/>
      <c r="F22" s="60">
        <v>2034</v>
      </c>
      <c r="G22" s="61">
        <v>16</v>
      </c>
      <c r="H22" s="214">
        <f>'Capacity Delivered'!J21</f>
        <v>1.7661365854069464</v>
      </c>
      <c r="I22" s="214">
        <f t="shared" si="0"/>
        <v>47.050546295864088</v>
      </c>
      <c r="J22" s="63">
        <f t="shared" si="1"/>
        <v>0</v>
      </c>
      <c r="K22" s="64">
        <f t="shared" si="2"/>
        <v>15.120700951834396</v>
      </c>
      <c r="L22" s="65">
        <f t="shared" si="3"/>
        <v>353.83929518607783</v>
      </c>
      <c r="M22" s="65">
        <f t="shared" si="4"/>
        <v>38.959179560799363</v>
      </c>
    </row>
    <row r="23" spans="2:13" x14ac:dyDescent="0.2">
      <c r="B23" s="216"/>
      <c r="C23" s="216"/>
      <c r="D23" s="216"/>
      <c r="E23" s="81"/>
      <c r="F23" s="60">
        <v>2035</v>
      </c>
      <c r="G23" s="61">
        <v>17</v>
      </c>
      <c r="H23" s="214">
        <f>'Capacity Delivered'!J22</f>
        <v>1.7661365854069464</v>
      </c>
      <c r="I23" s="214">
        <f t="shared" si="0"/>
        <v>48.226809953260691</v>
      </c>
      <c r="J23" s="63">
        <f t="shared" si="1"/>
        <v>0</v>
      </c>
      <c r="K23" s="64">
        <f t="shared" si="2"/>
        <v>14.391303156647947</v>
      </c>
      <c r="L23" s="65">
        <f t="shared" si="3"/>
        <v>368.23059834272578</v>
      </c>
      <c r="M23" s="65">
        <f t="shared" si="4"/>
        <v>39.298154410117888</v>
      </c>
    </row>
    <row r="24" spans="2:13" x14ac:dyDescent="0.2">
      <c r="B24" s="216"/>
      <c r="C24" s="216"/>
      <c r="D24" s="216"/>
      <c r="E24" s="81"/>
      <c r="F24" s="60">
        <v>2036</v>
      </c>
      <c r="G24" s="61">
        <v>18</v>
      </c>
      <c r="H24" s="214">
        <f>'Capacity Delivered'!J23</f>
        <v>1.821789018152165</v>
      </c>
      <c r="I24" s="214">
        <f t="shared" si="0"/>
        <v>49.432480202092208</v>
      </c>
      <c r="J24" s="63">
        <f t="shared" si="1"/>
        <v>0</v>
      </c>
      <c r="K24" s="64">
        <f t="shared" si="2"/>
        <v>13.712263865838068</v>
      </c>
      <c r="L24" s="65">
        <f t="shared" si="3"/>
        <v>381.94286220856384</v>
      </c>
      <c r="M24" s="65">
        <f t="shared" si="4"/>
        <v>39.6300453244408</v>
      </c>
    </row>
    <row r="25" spans="2:13" x14ac:dyDescent="0.2">
      <c r="B25" s="216"/>
      <c r="C25" s="216"/>
      <c r="D25" s="216"/>
      <c r="E25" s="81"/>
      <c r="F25" s="60">
        <v>2037</v>
      </c>
      <c r="G25" s="61">
        <v>19</v>
      </c>
      <c r="H25" s="214">
        <f>'Capacity Delivered'!J24</f>
        <v>1.821789018152165</v>
      </c>
      <c r="I25" s="214">
        <f t="shared" si="0"/>
        <v>50.668292207144511</v>
      </c>
      <c r="J25" s="63">
        <f t="shared" si="1"/>
        <v>0</v>
      </c>
      <c r="K25" s="64">
        <f t="shared" si="2"/>
        <v>13.051009011309045</v>
      </c>
      <c r="L25" s="65">
        <f t="shared" si="3"/>
        <v>394.99387121987286</v>
      </c>
      <c r="M25" s="65">
        <f t="shared" si="4"/>
        <v>39.953470016261797</v>
      </c>
    </row>
    <row r="26" spans="2:13" x14ac:dyDescent="0.2">
      <c r="B26" s="216"/>
      <c r="C26" s="216"/>
      <c r="D26" s="216"/>
      <c r="E26" s="81"/>
      <c r="F26" s="60">
        <v>2038</v>
      </c>
      <c r="G26" s="61">
        <v>20</v>
      </c>
      <c r="H26" s="214">
        <f>'Capacity Delivered'!J25</f>
        <v>1.821789018152165</v>
      </c>
      <c r="I26" s="214">
        <f t="shared" si="0"/>
        <v>51.934999512323124</v>
      </c>
      <c r="J26" s="63">
        <f t="shared" si="1"/>
        <v>0</v>
      </c>
      <c r="K26" s="64">
        <f t="shared" si="2"/>
        <v>12.421896007740063</v>
      </c>
      <c r="L26" s="65">
        <f t="shared" si="3"/>
        <v>407.41576722761295</v>
      </c>
      <c r="M26" s="65">
        <f t="shared" si="4"/>
        <v>40.268729513207951</v>
      </c>
    </row>
    <row r="27" spans="2:13" s="73" customFormat="1" x14ac:dyDescent="0.2">
      <c r="F27" s="60"/>
      <c r="G27" s="59"/>
      <c r="H27" s="219"/>
      <c r="I27" s="220"/>
      <c r="J27" s="83"/>
      <c r="K27" s="84"/>
      <c r="L27" s="85"/>
      <c r="M27" s="77"/>
    </row>
    <row r="28" spans="2:13" s="73" customFormat="1" x14ac:dyDescent="0.2">
      <c r="C28" s="24"/>
      <c r="F28" s="60"/>
      <c r="G28" s="59"/>
      <c r="H28" s="219"/>
      <c r="I28" s="220"/>
      <c r="J28" s="83"/>
      <c r="K28" s="84"/>
      <c r="L28" s="85"/>
      <c r="M28" s="77"/>
    </row>
    <row r="29" spans="2:13" x14ac:dyDescent="0.2">
      <c r="B29" s="40" t="s">
        <v>68</v>
      </c>
      <c r="C29" s="24"/>
      <c r="D29" s="73"/>
      <c r="E29" s="73"/>
      <c r="F29" s="40"/>
      <c r="G29" s="59"/>
      <c r="H29" s="219"/>
      <c r="I29" s="220"/>
      <c r="J29" s="83"/>
      <c r="K29" s="40"/>
      <c r="L29" s="40"/>
      <c r="M29" s="40"/>
    </row>
    <row r="30" spans="2:13" s="73" customFormat="1" ht="51.75" customHeight="1" x14ac:dyDescent="0.2">
      <c r="B30" s="305" t="s">
        <v>121</v>
      </c>
      <c r="C30" s="305"/>
      <c r="D30" s="305"/>
      <c r="E30" s="305"/>
      <c r="F30" s="305"/>
      <c r="G30" s="305"/>
      <c r="H30" s="305"/>
      <c r="I30" s="305"/>
      <c r="J30" s="305"/>
      <c r="K30" s="69"/>
      <c r="L30" s="69"/>
    </row>
  </sheetData>
  <mergeCells count="1">
    <mergeCell ref="B30:J30"/>
  </mergeCells>
  <pageMargins left="0.75" right="0.5" top="0.76" bottom="0.79" header="0.5" footer="0.26"/>
  <pageSetup scale="64" orientation="landscape" r:id="rId1"/>
  <headerFooter alignWithMargins="0">
    <oddFooter>&amp;L&amp;F&amp;C&amp;A&amp;RPSE Advice No. 2018-48 &amp;D
Page &amp;P of &amp;N</oddFooter>
  </headerFooter>
  <customProperties>
    <customPr name="_pios_id" r:id="rId2"/>
  </customProperties>
  <drawing r:id="rId3"/>
  <legacyDrawing r:id="rId4"/>
  <controls>
    <mc:AlternateContent xmlns:mc="http://schemas.openxmlformats.org/markup-compatibility/2006">
      <mc:Choice Requires="x14">
        <control shapeId="13316" r:id="rId5" name="Control 4">
          <controlPr defaultSize="0" r:id="rId6">
            <anchor moveWithCells="1">
              <from>
                <xdr:col>6</xdr:col>
                <xdr:colOff>571500</xdr:colOff>
                <xdr:row>2</xdr:row>
                <xdr:rowOff>104775</xdr:rowOff>
              </from>
              <to>
                <xdr:col>7</xdr:col>
                <xdr:colOff>47625</xdr:colOff>
                <xdr:row>3</xdr:row>
                <xdr:rowOff>161925</xdr:rowOff>
              </to>
            </anchor>
          </controlPr>
        </control>
      </mc:Choice>
      <mc:Fallback>
        <control shapeId="13316" r:id="rId5" name="Control 4"/>
      </mc:Fallback>
    </mc:AlternateContent>
    <mc:AlternateContent xmlns:mc="http://schemas.openxmlformats.org/markup-compatibility/2006">
      <mc:Choice Requires="x14">
        <control shapeId="13315" r:id="rId7" name="Control 3">
          <controlPr defaultSize="0" r:id="rId8">
            <anchor moveWithCells="1">
              <from>
                <xdr:col>6</xdr:col>
                <xdr:colOff>571500</xdr:colOff>
                <xdr:row>2</xdr:row>
                <xdr:rowOff>104775</xdr:rowOff>
              </from>
              <to>
                <xdr:col>7</xdr:col>
                <xdr:colOff>19050</xdr:colOff>
                <xdr:row>3</xdr:row>
                <xdr:rowOff>85725</xdr:rowOff>
              </to>
            </anchor>
          </controlPr>
        </control>
      </mc:Choice>
      <mc:Fallback>
        <control shapeId="13315" r:id="rId7" name="Control 3"/>
      </mc:Fallback>
    </mc:AlternateContent>
    <mc:AlternateContent xmlns:mc="http://schemas.openxmlformats.org/markup-compatibility/2006">
      <mc:Choice Requires="x14">
        <control shapeId="13314" r:id="rId9" name="Control 2">
          <controlPr defaultSize="0" r:id="rId10">
            <anchor moveWithCells="1">
              <from>
                <xdr:col>6</xdr:col>
                <xdr:colOff>571500</xdr:colOff>
                <xdr:row>2</xdr:row>
                <xdr:rowOff>104775</xdr:rowOff>
              </from>
              <to>
                <xdr:col>7</xdr:col>
                <xdr:colOff>19050</xdr:colOff>
                <xdr:row>3</xdr:row>
                <xdr:rowOff>85725</xdr:rowOff>
              </to>
            </anchor>
          </controlPr>
        </control>
      </mc:Choice>
      <mc:Fallback>
        <control shapeId="13314" r:id="rId9" name="Control 2"/>
      </mc:Fallback>
    </mc:AlternateContent>
    <mc:AlternateContent xmlns:mc="http://schemas.openxmlformats.org/markup-compatibility/2006">
      <mc:Choice Requires="x14">
        <control shapeId="13313" r:id="rId11" name="Control 1">
          <controlPr defaultSize="0" r:id="rId12">
            <anchor moveWithCells="1">
              <from>
                <xdr:col>6</xdr:col>
                <xdr:colOff>571500</xdr:colOff>
                <xdr:row>2</xdr:row>
                <xdr:rowOff>104775</xdr:rowOff>
              </from>
              <to>
                <xdr:col>6</xdr:col>
                <xdr:colOff>733425</xdr:colOff>
                <xdr:row>3</xdr:row>
                <xdr:rowOff>85725</xdr:rowOff>
              </to>
            </anchor>
          </controlPr>
        </control>
      </mc:Choice>
      <mc:Fallback>
        <control shapeId="13313" r:id="rId11" name="Control 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B2407CED9575B42A222F1632F5E62F8" ma:contentTypeVersion="76" ma:contentTypeDescription="" ma:contentTypeScope="" ma:versionID="09d744e2238e139a0e72fbc6a8f6baf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2018-11-14T08:00:00+00:00</OpenedDate>
    <SignificantOrder xmlns="dc463f71-b30c-4ab2-9473-d307f9d35888">false</SignificantOrder>
    <Date1 xmlns="dc463f71-b30c-4ab2-9473-d307f9d35888">2018-11-14T08:00:00+00:00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180928</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ED188258-D648-4B13-9C9F-788FC791A22D}"/>
</file>

<file path=customXml/itemProps2.xml><?xml version="1.0" encoding="utf-8"?>
<ds:datastoreItem xmlns:ds="http://schemas.openxmlformats.org/officeDocument/2006/customXml" ds:itemID="{7AE01BA9-141D-41B1-9010-9F5A6F197A79}"/>
</file>

<file path=customXml/itemProps3.xml><?xml version="1.0" encoding="utf-8"?>
<ds:datastoreItem xmlns:ds="http://schemas.openxmlformats.org/officeDocument/2006/customXml" ds:itemID="{03E0F919-B37F-4217-AEE8-BC978C1FFF41}"/>
</file>

<file path=customXml/itemProps4.xml><?xml version="1.0" encoding="utf-8"?>
<ds:datastoreItem xmlns:ds="http://schemas.openxmlformats.org/officeDocument/2006/customXml" ds:itemID="{439E5696-BD6C-438B-BF0B-565B34B2AD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Output - 15 Year Firm</vt:lpstr>
      <vt:lpstr>Output - 15 Year Wind</vt:lpstr>
      <vt:lpstr>Output - 15 Year Solar</vt:lpstr>
      <vt:lpstr>Electric EES CE Std Energy</vt:lpstr>
      <vt:lpstr>FlatLoadShapeEnergy_perMWh</vt:lpstr>
      <vt:lpstr>Electric EES CE Std Capacity</vt:lpstr>
      <vt:lpstr>Firm Avoided Capacity Calcs</vt:lpstr>
      <vt:lpstr>Wind Avoided Capacity Calcs</vt:lpstr>
      <vt:lpstr>Solar Avoided Capacity Calcs</vt:lpstr>
      <vt:lpstr>Inputs-----&gt;</vt:lpstr>
      <vt:lpstr>Energy Prices</vt:lpstr>
      <vt:lpstr>Capacity Delivered</vt:lpstr>
      <vt:lpstr>Cost of Capital</vt:lpstr>
      <vt:lpstr>'Electric EES CE Std Capacity'!Print_Area</vt:lpstr>
      <vt:lpstr>'Electric EES CE Std Energy'!Print_Area</vt:lpstr>
      <vt:lpstr>'Firm Avoided Capacity Calcs'!Print_Area</vt:lpstr>
      <vt:lpstr>FlatLoadShapeEnergy_perMWh!Print_Area</vt:lpstr>
      <vt:lpstr>'Output - 15 Year Firm'!Print_Area</vt:lpstr>
      <vt:lpstr>'Output - 15 Year Solar'!Print_Area</vt:lpstr>
      <vt:lpstr>'Output - 15 Year Wind'!Print_Area</vt:lpstr>
      <vt:lpstr>'Solar Avoided Capacity Calcs'!Print_Area</vt:lpstr>
      <vt:lpstr>'Wind Avoided Capacity Calcs'!Print_Area</vt:lpstr>
      <vt:lpstr>Rate_of_Return</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Elsea</dc:creator>
  <cp:lastModifiedBy>Lori Traore</cp:lastModifiedBy>
  <cp:lastPrinted>2018-11-14T16:28:51Z</cp:lastPrinted>
  <dcterms:created xsi:type="dcterms:W3CDTF">2011-10-18T17:21:29Z</dcterms:created>
  <dcterms:modified xsi:type="dcterms:W3CDTF">2018-11-14T22:06:30Z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0x0101006E56B4D1795A2E4DB2F0B01679ED314A00EB2407CED9575B42A222F1632F5E62F8</vt:lpwstr>
  </property>
  <property fmtid="{D5CDD505-2E9C-101B-9397-08002B2CF9AE}" pid="3" name="_docset_NoMedatataSyncRequired">
    <vt:lpwstr>False</vt:lpwstr>
  </property>
  <property fmtid="{D5CDD505-2E9C-101B-9397-08002B2CF9AE}" pid="4" name="IsEFSEC">
    <vt:bool>false</vt:bool>
  </property>
</Properties>
</file>