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WUTC\WW Tariff 14\TipFeeIncrease_Jan2019\"/>
    </mc:Choice>
  </mc:AlternateContent>
  <bookViews>
    <workbookView xWindow="0" yWindow="0" windowWidth="28800" windowHeight="12210" activeTab="1"/>
  </bookViews>
  <sheets>
    <sheet name="References" sheetId="4" r:id="rId1"/>
    <sheet name="Calculations" sheetId="7" r:id="rId2"/>
    <sheet name="Sheet1" sheetId="8" r:id="rId3"/>
  </sheets>
  <externalReferences>
    <externalReference r:id="rId4"/>
  </externalReferences>
  <definedNames>
    <definedName name="_xlnm._FilterDatabase" localSheetId="1" hidden="1">Calculations!$A$5:$Q$117</definedName>
    <definedName name="_xlnm.Print_Area" localSheetId="1">Calculations!$A$6:$Q$126</definedName>
    <definedName name="_xlnm.Print_Titles" localSheetId="1">Calculations!$5:$5</definedName>
  </definedNames>
  <calcPr calcId="152511"/>
</workbook>
</file>

<file path=xl/calcChain.xml><?xml version="1.0" encoding="utf-8"?>
<calcChain xmlns="http://schemas.openxmlformats.org/spreadsheetml/2006/main">
  <c r="T55" i="7" l="1"/>
  <c r="T56" i="7"/>
  <c r="T16" i="7"/>
  <c r="G71" i="7" l="1"/>
  <c r="F71" i="7"/>
  <c r="H71" i="7" l="1"/>
  <c r="B78" i="4" l="1"/>
  <c r="B79" i="4" s="1"/>
  <c r="B77" i="4"/>
  <c r="B76" i="4"/>
  <c r="B73" i="4"/>
  <c r="C72" i="4"/>
  <c r="C71" i="4"/>
  <c r="G76" i="4"/>
  <c r="G74" i="4"/>
  <c r="C73" i="4" l="1"/>
  <c r="G24" i="7"/>
  <c r="H24" i="7" s="1"/>
  <c r="I24" i="7" s="1"/>
  <c r="J24" i="7" s="1"/>
  <c r="K24" i="7" s="1"/>
  <c r="D47" i="4" l="1"/>
  <c r="O32" i="7" l="1"/>
  <c r="G14" i="7"/>
  <c r="O12" i="7"/>
  <c r="O11" i="7"/>
  <c r="G10" i="7"/>
  <c r="G7" i="7"/>
  <c r="G11" i="7"/>
  <c r="H11" i="7" s="1"/>
  <c r="B54" i="4"/>
  <c r="O10" i="7"/>
  <c r="G6" i="7"/>
  <c r="O6" i="7"/>
  <c r="G8" i="7"/>
  <c r="O8" i="7"/>
  <c r="G12" i="7"/>
  <c r="H12" i="7" s="1"/>
  <c r="G116" i="7" l="1"/>
  <c r="G115" i="7"/>
  <c r="G114" i="7"/>
  <c r="H96" i="7"/>
  <c r="F83" i="7" l="1"/>
  <c r="O14" i="7"/>
  <c r="G47" i="7"/>
  <c r="H47" i="7" s="1"/>
  <c r="O47" i="7"/>
  <c r="O36" i="7"/>
  <c r="G36" i="7"/>
  <c r="H36" i="7" s="1"/>
  <c r="F27" i="7"/>
  <c r="F26" i="7"/>
  <c r="G49" i="7"/>
  <c r="G50" i="7"/>
  <c r="G51" i="7"/>
  <c r="G93" i="7"/>
  <c r="G45" i="7"/>
  <c r="G46" i="7"/>
  <c r="G92" i="7"/>
  <c r="G38" i="7"/>
  <c r="G34" i="7"/>
  <c r="G30" i="7"/>
  <c r="G26" i="7"/>
  <c r="O49" i="7" l="1"/>
  <c r="H49" i="7"/>
  <c r="O45" i="7"/>
  <c r="H45" i="7"/>
  <c r="O42" i="7"/>
  <c r="H42" i="7"/>
  <c r="O38" i="7"/>
  <c r="H38" i="7"/>
  <c r="O34" i="7"/>
  <c r="H34" i="7"/>
  <c r="O30" i="7"/>
  <c r="H30" i="7"/>
  <c r="O26" i="7"/>
  <c r="H26" i="7"/>
  <c r="G9" i="7" l="1"/>
  <c r="G68" i="7"/>
  <c r="G69" i="7"/>
  <c r="G84" i="7"/>
  <c r="H84" i="7" s="1"/>
  <c r="G17" i="7"/>
  <c r="H17" i="7" s="1"/>
  <c r="G18" i="7"/>
  <c r="H18" i="7" s="1"/>
  <c r="G19" i="7"/>
  <c r="H19" i="7" s="1"/>
  <c r="G21" i="7"/>
  <c r="H21" i="7" s="1"/>
  <c r="G22" i="7"/>
  <c r="H22" i="7" s="1"/>
  <c r="G23" i="7"/>
  <c r="H23" i="7" s="1"/>
  <c r="G87" i="7"/>
  <c r="G27" i="7"/>
  <c r="H27" i="7" s="1"/>
  <c r="G31" i="7"/>
  <c r="H31" i="7" s="1"/>
  <c r="G35" i="7"/>
  <c r="G88" i="7"/>
  <c r="G39" i="7"/>
  <c r="H39" i="7" s="1"/>
  <c r="G40" i="7"/>
  <c r="H40" i="7" s="1"/>
  <c r="G89" i="7"/>
  <c r="H46" i="7"/>
  <c r="H50" i="7"/>
  <c r="H51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N48" i="7"/>
  <c r="N44" i="7"/>
  <c r="N41" i="7"/>
  <c r="N37" i="7"/>
  <c r="N33" i="7"/>
  <c r="N29" i="7"/>
  <c r="N25" i="7"/>
  <c r="N20" i="7"/>
  <c r="Q13" i="7"/>
  <c r="G48" i="4"/>
  <c r="H43" i="7"/>
  <c r="H97" i="7"/>
  <c r="H98" i="7"/>
  <c r="C47" i="4"/>
  <c r="C48" i="4"/>
  <c r="G65" i="7"/>
  <c r="G83" i="7"/>
  <c r="G82" i="7"/>
  <c r="G32" i="7"/>
  <c r="G81" i="7"/>
  <c r="G28" i="7"/>
  <c r="G74" i="7"/>
  <c r="H95" i="7"/>
  <c r="G60" i="7"/>
  <c r="G61" i="7"/>
  <c r="G62" i="7"/>
  <c r="G63" i="7"/>
  <c r="G64" i="7"/>
  <c r="G66" i="7"/>
  <c r="G67" i="7"/>
  <c r="G70" i="7"/>
  <c r="G72" i="7"/>
  <c r="G73" i="7"/>
  <c r="D16" i="7"/>
  <c r="O50" i="7"/>
  <c r="O51" i="7"/>
  <c r="G86" i="7"/>
  <c r="G85" i="7"/>
  <c r="G80" i="7"/>
  <c r="G79" i="7"/>
  <c r="G78" i="7"/>
  <c r="O46" i="7"/>
  <c r="O7" i="7"/>
  <c r="E55" i="7"/>
  <c r="D55" i="7"/>
  <c r="O19" i="7"/>
  <c r="O18" i="7"/>
  <c r="O21" i="7"/>
  <c r="O22" i="7"/>
  <c r="O17" i="7"/>
  <c r="O23" i="7"/>
  <c r="O27" i="7"/>
  <c r="O31" i="7"/>
  <c r="O35" i="7"/>
  <c r="O39" i="7"/>
  <c r="O40" i="7"/>
  <c r="O43" i="7"/>
  <c r="O9" i="7"/>
  <c r="B3" i="4"/>
  <c r="F3" i="4" s="1"/>
  <c r="B4" i="4"/>
  <c r="H4" i="4" s="1"/>
  <c r="B5" i="4"/>
  <c r="D5" i="4" s="1"/>
  <c r="B6" i="4"/>
  <c r="C6" i="4" s="1"/>
  <c r="G47" i="4"/>
  <c r="B49" i="4"/>
  <c r="B52" i="4" s="1"/>
  <c r="B53" i="4" s="1"/>
  <c r="B9" i="4"/>
  <c r="B8" i="4"/>
  <c r="G8" i="4" s="1"/>
  <c r="B7" i="4"/>
  <c r="H9" i="4"/>
  <c r="G9" i="4"/>
  <c r="F9" i="4"/>
  <c r="E10" i="7" l="1"/>
  <c r="F10" i="7" s="1"/>
  <c r="H10" i="7" s="1"/>
  <c r="E6" i="7"/>
  <c r="F6" i="7" s="1"/>
  <c r="H6" i="7" s="1"/>
  <c r="E14" i="7"/>
  <c r="F14" i="7" s="1"/>
  <c r="H14" i="7" s="1"/>
  <c r="E65" i="7"/>
  <c r="E72" i="7"/>
  <c r="F72" i="7" s="1"/>
  <c r="H72" i="7" s="1"/>
  <c r="E73" i="7"/>
  <c r="F73" i="7" s="1"/>
  <c r="H73" i="7" s="1"/>
  <c r="E70" i="7"/>
  <c r="F70" i="7" s="1"/>
  <c r="H70" i="7" s="1"/>
  <c r="E61" i="7"/>
  <c r="F61" i="7" s="1"/>
  <c r="H61" i="7" s="1"/>
  <c r="E62" i="7"/>
  <c r="E63" i="7"/>
  <c r="F63" i="7" s="1"/>
  <c r="H63" i="7" s="1"/>
  <c r="E64" i="7"/>
  <c r="E60" i="7"/>
  <c r="E74" i="7"/>
  <c r="F74" i="7" s="1"/>
  <c r="H74" i="7" s="1"/>
  <c r="E8" i="7"/>
  <c r="F8" i="7" s="1"/>
  <c r="H8" i="7" s="1"/>
  <c r="E114" i="7"/>
  <c r="F114" i="7" s="1"/>
  <c r="H114" i="7" s="1"/>
  <c r="E96" i="7"/>
  <c r="E117" i="7"/>
  <c r="F117" i="7" s="1"/>
  <c r="H117" i="7" s="1"/>
  <c r="E116" i="7"/>
  <c r="F116" i="7" s="1"/>
  <c r="H116" i="7" s="1"/>
  <c r="E115" i="7"/>
  <c r="F115" i="7" s="1"/>
  <c r="H115" i="7" s="1"/>
  <c r="E113" i="7"/>
  <c r="F113" i="7" s="1"/>
  <c r="H113" i="7" s="1"/>
  <c r="E105" i="7"/>
  <c r="F105" i="7" s="1"/>
  <c r="H105" i="7" s="1"/>
  <c r="E89" i="7"/>
  <c r="F89" i="7" s="1"/>
  <c r="H89" i="7" s="1"/>
  <c r="E82" i="7"/>
  <c r="F82" i="7" s="1"/>
  <c r="H82" i="7" s="1"/>
  <c r="E111" i="7"/>
  <c r="F111" i="7" s="1"/>
  <c r="H111" i="7" s="1"/>
  <c r="E103" i="7"/>
  <c r="F103" i="7" s="1"/>
  <c r="H103" i="7" s="1"/>
  <c r="E102" i="7"/>
  <c r="F102" i="7" s="1"/>
  <c r="H102" i="7" s="1"/>
  <c r="E78" i="7"/>
  <c r="F78" i="7" s="1"/>
  <c r="H78" i="7" s="1"/>
  <c r="E109" i="7"/>
  <c r="F109" i="7" s="1"/>
  <c r="H109" i="7" s="1"/>
  <c r="E79" i="7"/>
  <c r="F79" i="7" s="1"/>
  <c r="H79" i="7" s="1"/>
  <c r="E107" i="7"/>
  <c r="F107" i="7" s="1"/>
  <c r="H107" i="7" s="1"/>
  <c r="E112" i="7"/>
  <c r="F112" i="7" s="1"/>
  <c r="H112" i="7" s="1"/>
  <c r="E104" i="7"/>
  <c r="F104" i="7" s="1"/>
  <c r="H104" i="7" s="1"/>
  <c r="E90" i="7"/>
  <c r="F90" i="7" s="1"/>
  <c r="H90" i="7" s="1"/>
  <c r="E85" i="7"/>
  <c r="F85" i="7" s="1"/>
  <c r="H85" i="7" s="1"/>
  <c r="E66" i="7"/>
  <c r="F66" i="7" s="1"/>
  <c r="H66" i="7" s="1"/>
  <c r="E91" i="7"/>
  <c r="F91" i="7" s="1"/>
  <c r="H91" i="7" s="1"/>
  <c r="E86" i="7"/>
  <c r="F86" i="7" s="1"/>
  <c r="H86" i="7" s="1"/>
  <c r="E110" i="7"/>
  <c r="F110" i="7" s="1"/>
  <c r="H110" i="7" s="1"/>
  <c r="E92" i="7"/>
  <c r="F92" i="7" s="1"/>
  <c r="H92" i="7" s="1"/>
  <c r="E101" i="7"/>
  <c r="F101" i="7" s="1"/>
  <c r="H101" i="7" s="1"/>
  <c r="E93" i="7"/>
  <c r="F93" i="7" s="1"/>
  <c r="H93" i="7" s="1"/>
  <c r="E100" i="7"/>
  <c r="F100" i="7" s="1"/>
  <c r="H100" i="7" s="1"/>
  <c r="E80" i="7"/>
  <c r="F80" i="7" s="1"/>
  <c r="H80" i="7" s="1"/>
  <c r="E87" i="7"/>
  <c r="F87" i="7" s="1"/>
  <c r="H87" i="7" s="1"/>
  <c r="E95" i="7"/>
  <c r="E88" i="7"/>
  <c r="F88" i="7" s="1"/>
  <c r="H88" i="7" s="1"/>
  <c r="E108" i="7"/>
  <c r="F108" i="7" s="1"/>
  <c r="H108" i="7" s="1"/>
  <c r="E106" i="7"/>
  <c r="F106" i="7" s="1"/>
  <c r="H106" i="7" s="1"/>
  <c r="E81" i="7"/>
  <c r="F81" i="7" s="1"/>
  <c r="H81" i="7" s="1"/>
  <c r="H7" i="4"/>
  <c r="D8" i="4"/>
  <c r="E8" i="4"/>
  <c r="D4" i="4"/>
  <c r="D7" i="4"/>
  <c r="G50" i="4"/>
  <c r="G52" i="4" s="1"/>
  <c r="F8" i="4"/>
  <c r="O28" i="7"/>
  <c r="O55" i="7" s="1"/>
  <c r="H28" i="7"/>
  <c r="D56" i="7"/>
  <c r="C5" i="4"/>
  <c r="H3" i="4"/>
  <c r="F5" i="4"/>
  <c r="G3" i="4"/>
  <c r="G4" i="4"/>
  <c r="H5" i="4"/>
  <c r="E4" i="4"/>
  <c r="F62" i="7"/>
  <c r="H62" i="7" s="1"/>
  <c r="E7" i="4"/>
  <c r="G5" i="4"/>
  <c r="C4" i="4"/>
  <c r="G7" i="4"/>
  <c r="E5" i="4"/>
  <c r="F4" i="4"/>
  <c r="O16" i="7"/>
  <c r="H6" i="4"/>
  <c r="G6" i="4"/>
  <c r="H35" i="7"/>
  <c r="G55" i="7"/>
  <c r="F6" i="4"/>
  <c r="E6" i="4"/>
  <c r="D6" i="4"/>
  <c r="H8" i="4"/>
  <c r="E69" i="7"/>
  <c r="H69" i="7" s="1"/>
  <c r="C9" i="4"/>
  <c r="E9" i="7"/>
  <c r="F9" i="7" s="1"/>
  <c r="H9" i="7" s="1"/>
  <c r="H32" i="7"/>
  <c r="H83" i="7"/>
  <c r="E9" i="4"/>
  <c r="C49" i="4"/>
  <c r="E3" i="4"/>
  <c r="C3" i="4"/>
  <c r="D3" i="4"/>
  <c r="D9" i="4"/>
  <c r="C8" i="4"/>
  <c r="C7" i="4"/>
  <c r="F60" i="7"/>
  <c r="H60" i="7" s="1"/>
  <c r="E68" i="7"/>
  <c r="H68" i="7" s="1"/>
  <c r="E7" i="7"/>
  <c r="F7" i="7" s="1"/>
  <c r="H7" i="7" s="1"/>
  <c r="F7" i="4"/>
  <c r="F64" i="7"/>
  <c r="H64" i="7" s="1"/>
  <c r="F65" i="7"/>
  <c r="H65" i="7" s="1"/>
  <c r="E67" i="7" l="1"/>
  <c r="F67" i="7" s="1"/>
  <c r="H67" i="7" s="1"/>
  <c r="F55" i="7"/>
  <c r="H55" i="7"/>
  <c r="O56" i="7"/>
  <c r="H16" i="7"/>
  <c r="F16" i="7"/>
  <c r="D125" i="7" l="1"/>
  <c r="H56" i="7"/>
  <c r="F56" i="7"/>
  <c r="D124" i="7" l="1"/>
  <c r="B55" i="4"/>
  <c r="D126" i="7" l="1"/>
  <c r="N94" i="7"/>
  <c r="I14" i="7" l="1"/>
  <c r="J14" i="7" s="1"/>
  <c r="K14" i="7" s="1"/>
  <c r="L14" i="7" s="1"/>
  <c r="N14" i="7" s="1"/>
  <c r="P14" i="7" s="1"/>
  <c r="Q14" i="7" s="1"/>
  <c r="I71" i="7"/>
  <c r="J71" i="7" s="1"/>
  <c r="K71" i="7" s="1"/>
  <c r="L71" i="7" s="1"/>
  <c r="N71" i="7" s="1"/>
  <c r="I11" i="7"/>
  <c r="J11" i="7" s="1"/>
  <c r="K11" i="7" s="1"/>
  <c r="L11" i="7" s="1"/>
  <c r="N11" i="7" s="1"/>
  <c r="I12" i="7"/>
  <c r="J12" i="7" s="1"/>
  <c r="K12" i="7" s="1"/>
  <c r="L12" i="7" s="1"/>
  <c r="N12" i="7" s="1"/>
  <c r="I10" i="7"/>
  <c r="J10" i="7" s="1"/>
  <c r="K10" i="7" s="1"/>
  <c r="I8" i="7"/>
  <c r="J8" i="7" s="1"/>
  <c r="K8" i="7" s="1"/>
  <c r="I6" i="7"/>
  <c r="J6" i="7" s="1"/>
  <c r="K6" i="7" s="1"/>
  <c r="I117" i="7"/>
  <c r="J117" i="7" s="1"/>
  <c r="K117" i="7" s="1"/>
  <c r="L117" i="7" s="1"/>
  <c r="N117" i="7" s="1"/>
  <c r="I18" i="7"/>
  <c r="J18" i="7" s="1"/>
  <c r="K18" i="7" s="1"/>
  <c r="I97" i="7"/>
  <c r="J97" i="7" s="1"/>
  <c r="K97" i="7" s="1"/>
  <c r="L97" i="7" s="1"/>
  <c r="N97" i="7" s="1"/>
  <c r="I26" i="7"/>
  <c r="J26" i="7" s="1"/>
  <c r="K26" i="7" s="1"/>
  <c r="I101" i="7"/>
  <c r="J101" i="7" s="1"/>
  <c r="K101" i="7" s="1"/>
  <c r="L101" i="7" s="1"/>
  <c r="N101" i="7" s="1"/>
  <c r="I21" i="7"/>
  <c r="J21" i="7" s="1"/>
  <c r="K21" i="7" s="1"/>
  <c r="I112" i="7"/>
  <c r="J112" i="7" s="1"/>
  <c r="K112" i="7" s="1"/>
  <c r="L112" i="7" s="1"/>
  <c r="N112" i="7" s="1"/>
  <c r="I38" i="7"/>
  <c r="J38" i="7" s="1"/>
  <c r="K38" i="7" s="1"/>
  <c r="I110" i="7"/>
  <c r="J110" i="7" s="1"/>
  <c r="K110" i="7" s="1"/>
  <c r="L110" i="7" s="1"/>
  <c r="N110" i="7" s="1"/>
  <c r="I93" i="7"/>
  <c r="J93" i="7" s="1"/>
  <c r="K93" i="7" s="1"/>
  <c r="L93" i="7" s="1"/>
  <c r="N93" i="7" s="1"/>
  <c r="I31" i="7"/>
  <c r="J31" i="7" s="1"/>
  <c r="K31" i="7" s="1"/>
  <c r="I50" i="7"/>
  <c r="J50" i="7" s="1"/>
  <c r="K50" i="7" s="1"/>
  <c r="I72" i="7"/>
  <c r="J72" i="7" s="1"/>
  <c r="K72" i="7" s="1"/>
  <c r="L72" i="7" s="1"/>
  <c r="N72" i="7" s="1"/>
  <c r="I62" i="7"/>
  <c r="J62" i="7" s="1"/>
  <c r="K62" i="7" s="1"/>
  <c r="L62" i="7" s="1"/>
  <c r="N62" i="7" s="1"/>
  <c r="I85" i="7"/>
  <c r="J85" i="7" s="1"/>
  <c r="K85" i="7" s="1"/>
  <c r="L85" i="7" s="1"/>
  <c r="N85" i="7" s="1"/>
  <c r="I22" i="7"/>
  <c r="J22" i="7" s="1"/>
  <c r="K22" i="7" s="1"/>
  <c r="I46" i="7"/>
  <c r="J46" i="7" s="1"/>
  <c r="K46" i="7" s="1"/>
  <c r="I103" i="7"/>
  <c r="J103" i="7" s="1"/>
  <c r="K103" i="7" s="1"/>
  <c r="L103" i="7" s="1"/>
  <c r="N103" i="7" s="1"/>
  <c r="I108" i="7"/>
  <c r="J108" i="7" s="1"/>
  <c r="K108" i="7" s="1"/>
  <c r="L108" i="7" s="1"/>
  <c r="N108" i="7" s="1"/>
  <c r="I27" i="7"/>
  <c r="J27" i="7" s="1"/>
  <c r="K27" i="7" s="1"/>
  <c r="I104" i="7"/>
  <c r="J104" i="7" s="1"/>
  <c r="K104" i="7" s="1"/>
  <c r="L104" i="7" s="1"/>
  <c r="N104" i="7" s="1"/>
  <c r="I60" i="7"/>
  <c r="J60" i="7" s="1"/>
  <c r="K60" i="7" s="1"/>
  <c r="L60" i="7" s="1"/>
  <c r="N60" i="7" s="1"/>
  <c r="I79" i="7"/>
  <c r="J79" i="7" s="1"/>
  <c r="K79" i="7" s="1"/>
  <c r="L79" i="7" s="1"/>
  <c r="N79" i="7" s="1"/>
  <c r="I74" i="7"/>
  <c r="J74" i="7" s="1"/>
  <c r="K74" i="7" s="1"/>
  <c r="L74" i="7" s="1"/>
  <c r="N74" i="7" s="1"/>
  <c r="I40" i="7"/>
  <c r="J40" i="7" s="1"/>
  <c r="K40" i="7" s="1"/>
  <c r="I19" i="7"/>
  <c r="J19" i="7" s="1"/>
  <c r="K19" i="7" s="1"/>
  <c r="I9" i="7"/>
  <c r="J9" i="7" s="1"/>
  <c r="K9" i="7" s="1"/>
  <c r="I39" i="7"/>
  <c r="J39" i="7" s="1"/>
  <c r="K39" i="7" s="1"/>
  <c r="I90" i="7"/>
  <c r="J90" i="7" s="1"/>
  <c r="K90" i="7" s="1"/>
  <c r="L90" i="7" s="1"/>
  <c r="N90" i="7" s="1"/>
  <c r="I111" i="7"/>
  <c r="J111" i="7" s="1"/>
  <c r="K111" i="7" s="1"/>
  <c r="L111" i="7" s="1"/>
  <c r="N111" i="7" s="1"/>
  <c r="I83" i="7"/>
  <c r="J83" i="7" s="1"/>
  <c r="K83" i="7" s="1"/>
  <c r="L83" i="7" s="1"/>
  <c r="N83" i="7" s="1"/>
  <c r="I32" i="7"/>
  <c r="J32" i="7" s="1"/>
  <c r="K32" i="7" s="1"/>
  <c r="I102" i="7"/>
  <c r="J102" i="7" s="1"/>
  <c r="K102" i="7" s="1"/>
  <c r="L102" i="7" s="1"/>
  <c r="N102" i="7" s="1"/>
  <c r="I66" i="7"/>
  <c r="J66" i="7" s="1"/>
  <c r="K66" i="7" s="1"/>
  <c r="L66" i="7" s="1"/>
  <c r="N66" i="7" s="1"/>
  <c r="I91" i="7"/>
  <c r="J91" i="7" s="1"/>
  <c r="K91" i="7" s="1"/>
  <c r="L91" i="7" s="1"/>
  <c r="N91" i="7" s="1"/>
  <c r="I51" i="7"/>
  <c r="J51" i="7" s="1"/>
  <c r="K51" i="7" s="1"/>
  <c r="I82" i="7"/>
  <c r="J82" i="7" s="1"/>
  <c r="K82" i="7" s="1"/>
  <c r="L82" i="7" s="1"/>
  <c r="N82" i="7" s="1"/>
  <c r="I43" i="7"/>
  <c r="J43" i="7" s="1"/>
  <c r="K43" i="7" s="1"/>
  <c r="I80" i="7"/>
  <c r="J80" i="7" s="1"/>
  <c r="K80" i="7" s="1"/>
  <c r="L80" i="7" s="1"/>
  <c r="N80" i="7" s="1"/>
  <c r="I28" i="7"/>
  <c r="J28" i="7" s="1"/>
  <c r="K28" i="7" s="1"/>
  <c r="I109" i="7"/>
  <c r="J109" i="7" s="1"/>
  <c r="K109" i="7" s="1"/>
  <c r="L109" i="7" s="1"/>
  <c r="N109" i="7" s="1"/>
  <c r="I63" i="7"/>
  <c r="J63" i="7" s="1"/>
  <c r="K63" i="7" s="1"/>
  <c r="L63" i="7" s="1"/>
  <c r="N63" i="7" s="1"/>
  <c r="I70" i="7"/>
  <c r="J70" i="7" s="1"/>
  <c r="K70" i="7" s="1"/>
  <c r="L70" i="7" s="1"/>
  <c r="N70" i="7" s="1"/>
  <c r="I84" i="7"/>
  <c r="J84" i="7" s="1"/>
  <c r="K84" i="7" s="1"/>
  <c r="I65" i="7"/>
  <c r="J65" i="7" s="1"/>
  <c r="K65" i="7" s="1"/>
  <c r="L65" i="7" s="1"/>
  <c r="N65" i="7" s="1"/>
  <c r="I68" i="7"/>
  <c r="J68" i="7" s="1"/>
  <c r="K68" i="7" s="1"/>
  <c r="L68" i="7" s="1"/>
  <c r="N68" i="7" s="1"/>
  <c r="I95" i="7"/>
  <c r="J95" i="7" s="1"/>
  <c r="K95" i="7" s="1"/>
  <c r="L95" i="7" s="1"/>
  <c r="N95" i="7" s="1"/>
  <c r="I92" i="7"/>
  <c r="J92" i="7" s="1"/>
  <c r="K92" i="7" s="1"/>
  <c r="L92" i="7" s="1"/>
  <c r="N92" i="7" s="1"/>
  <c r="I73" i="7"/>
  <c r="J73" i="7" s="1"/>
  <c r="K73" i="7" s="1"/>
  <c r="L73" i="7" s="1"/>
  <c r="N73" i="7" s="1"/>
  <c r="I61" i="7"/>
  <c r="J61" i="7" s="1"/>
  <c r="K61" i="7" s="1"/>
  <c r="L61" i="7" s="1"/>
  <c r="N61" i="7" s="1"/>
  <c r="I45" i="7"/>
  <c r="J45" i="7" s="1"/>
  <c r="K45" i="7" s="1"/>
  <c r="I114" i="7"/>
  <c r="J114" i="7" s="1"/>
  <c r="K114" i="7" s="1"/>
  <c r="L114" i="7" s="1"/>
  <c r="N114" i="7" s="1"/>
  <c r="I7" i="7"/>
  <c r="J7" i="7" s="1"/>
  <c r="K7" i="7" s="1"/>
  <c r="I17" i="7"/>
  <c r="J17" i="7" s="1"/>
  <c r="K17" i="7" s="1"/>
  <c r="I35" i="7"/>
  <c r="J35" i="7" s="1"/>
  <c r="K35" i="7" s="1"/>
  <c r="I78" i="7"/>
  <c r="J78" i="7" s="1"/>
  <c r="K78" i="7" s="1"/>
  <c r="L78" i="7" s="1"/>
  <c r="N78" i="7" s="1"/>
  <c r="I64" i="7"/>
  <c r="J64" i="7" s="1"/>
  <c r="K64" i="7" s="1"/>
  <c r="L64" i="7" s="1"/>
  <c r="N64" i="7" s="1"/>
  <c r="I107" i="7"/>
  <c r="J107" i="7" s="1"/>
  <c r="K107" i="7" s="1"/>
  <c r="L107" i="7" s="1"/>
  <c r="N107" i="7" s="1"/>
  <c r="I36" i="7"/>
  <c r="J36" i="7" s="1"/>
  <c r="K36" i="7" s="1"/>
  <c r="I116" i="7"/>
  <c r="J116" i="7" s="1"/>
  <c r="K116" i="7" s="1"/>
  <c r="L116" i="7" s="1"/>
  <c r="N116" i="7" s="1"/>
  <c r="I106" i="7"/>
  <c r="J106" i="7" s="1"/>
  <c r="K106" i="7" s="1"/>
  <c r="L106" i="7" s="1"/>
  <c r="N106" i="7" s="1"/>
  <c r="I89" i="7"/>
  <c r="J89" i="7" s="1"/>
  <c r="K89" i="7" s="1"/>
  <c r="L89" i="7" s="1"/>
  <c r="N89" i="7" s="1"/>
  <c r="I23" i="7"/>
  <c r="J23" i="7" s="1"/>
  <c r="K23" i="7" s="1"/>
  <c r="I87" i="7"/>
  <c r="J87" i="7" s="1"/>
  <c r="K87" i="7" s="1"/>
  <c r="L87" i="7" s="1"/>
  <c r="N87" i="7" s="1"/>
  <c r="I47" i="7"/>
  <c r="J47" i="7" s="1"/>
  <c r="K47" i="7" s="1"/>
  <c r="I81" i="7"/>
  <c r="J81" i="7" s="1"/>
  <c r="K81" i="7" s="1"/>
  <c r="L81" i="7" s="1"/>
  <c r="N81" i="7" s="1"/>
  <c r="I113" i="7"/>
  <c r="J113" i="7" s="1"/>
  <c r="K113" i="7" s="1"/>
  <c r="L113" i="7" s="1"/>
  <c r="N113" i="7" s="1"/>
  <c r="I88" i="7"/>
  <c r="J88" i="7" s="1"/>
  <c r="K88" i="7" s="1"/>
  <c r="L88" i="7" s="1"/>
  <c r="N88" i="7" s="1"/>
  <c r="I96" i="7"/>
  <c r="J96" i="7" s="1"/>
  <c r="K96" i="7" s="1"/>
  <c r="L96" i="7" s="1"/>
  <c r="N96" i="7" s="1"/>
  <c r="I100" i="7"/>
  <c r="J100" i="7" s="1"/>
  <c r="K100" i="7" s="1"/>
  <c r="L100" i="7" s="1"/>
  <c r="N100" i="7" s="1"/>
  <c r="I69" i="7"/>
  <c r="J69" i="7" s="1"/>
  <c r="K69" i="7" s="1"/>
  <c r="L69" i="7" s="1"/>
  <c r="N69" i="7" s="1"/>
  <c r="I49" i="7"/>
  <c r="J49" i="7" s="1"/>
  <c r="K49" i="7" s="1"/>
  <c r="I30" i="7"/>
  <c r="J30" i="7" s="1"/>
  <c r="K30" i="7" s="1"/>
  <c r="I98" i="7"/>
  <c r="J98" i="7" s="1"/>
  <c r="K98" i="7" s="1"/>
  <c r="L98" i="7" s="1"/>
  <c r="N98" i="7" s="1"/>
  <c r="I105" i="7"/>
  <c r="J105" i="7" s="1"/>
  <c r="K105" i="7" s="1"/>
  <c r="L105" i="7" s="1"/>
  <c r="N105" i="7" s="1"/>
  <c r="I34" i="7"/>
  <c r="J34" i="7" s="1"/>
  <c r="K34" i="7" s="1"/>
  <c r="I115" i="7"/>
  <c r="J115" i="7" s="1"/>
  <c r="K115" i="7" s="1"/>
  <c r="L115" i="7" s="1"/>
  <c r="N115" i="7" s="1"/>
  <c r="I67" i="7"/>
  <c r="J67" i="7" s="1"/>
  <c r="K67" i="7" s="1"/>
  <c r="L67" i="7" s="1"/>
  <c r="N67" i="7" s="1"/>
  <c r="I86" i="7"/>
  <c r="J86" i="7" s="1"/>
  <c r="K86" i="7" s="1"/>
  <c r="L86" i="7" s="1"/>
  <c r="N86" i="7" s="1"/>
  <c r="I42" i="7"/>
  <c r="J42" i="7" s="1"/>
  <c r="K42" i="7" s="1"/>
  <c r="L51" i="7" l="1"/>
  <c r="N51" i="7" s="1"/>
  <c r="P51" i="7" s="1"/>
  <c r="Q51" i="7" s="1"/>
  <c r="L42" i="7"/>
  <c r="N42" i="7" s="1"/>
  <c r="L30" i="7"/>
  <c r="N30" i="7" s="1"/>
  <c r="L9" i="7"/>
  <c r="N9" i="7" s="1"/>
  <c r="P9" i="7" s="1"/>
  <c r="Q9" i="7" s="1"/>
  <c r="L21" i="7"/>
  <c r="N21" i="7" s="1"/>
  <c r="L6" i="7"/>
  <c r="N6" i="7" s="1"/>
  <c r="P6" i="7" s="1"/>
  <c r="Q6" i="7" s="1"/>
  <c r="L47" i="7"/>
  <c r="N47" i="7" s="1"/>
  <c r="P47" i="7" s="1"/>
  <c r="Q47" i="7" s="1"/>
  <c r="L19" i="7"/>
  <c r="N19" i="7" s="1"/>
  <c r="P19" i="7" s="1"/>
  <c r="Q19" i="7" s="1"/>
  <c r="L27" i="7"/>
  <c r="N27" i="7" s="1"/>
  <c r="P27" i="7" s="1"/>
  <c r="Q27" i="7" s="1"/>
  <c r="L8" i="7"/>
  <c r="N8" i="7" s="1"/>
  <c r="P8" i="7" s="1"/>
  <c r="Q8" i="7" s="1"/>
  <c r="L34" i="7"/>
  <c r="N34" i="7" s="1"/>
  <c r="L7" i="7"/>
  <c r="N7" i="7" s="1"/>
  <c r="P7" i="7" s="1"/>
  <c r="Q7" i="7" s="1"/>
  <c r="L43" i="7"/>
  <c r="N43" i="7" s="1"/>
  <c r="P43" i="7" s="1"/>
  <c r="Q43" i="7" s="1"/>
  <c r="L22" i="7"/>
  <c r="N22" i="7" s="1"/>
  <c r="P22" i="7" s="1"/>
  <c r="Q22" i="7" s="1"/>
  <c r="L45" i="7"/>
  <c r="N45" i="7" s="1"/>
  <c r="L49" i="7"/>
  <c r="N49" i="7" s="1"/>
  <c r="L40" i="7"/>
  <c r="N40" i="7" s="1"/>
  <c r="P40" i="7" s="1"/>
  <c r="Q40" i="7" s="1"/>
  <c r="L50" i="7"/>
  <c r="N50" i="7" s="1"/>
  <c r="P50" i="7" s="1"/>
  <c r="Q50" i="7" s="1"/>
  <c r="L26" i="7"/>
  <c r="N26" i="7" s="1"/>
  <c r="L10" i="7"/>
  <c r="N10" i="7" s="1"/>
  <c r="P10" i="7" s="1"/>
  <c r="Q10" i="7" s="1"/>
  <c r="L23" i="7"/>
  <c r="N23" i="7" s="1"/>
  <c r="P23" i="7" s="1"/>
  <c r="Q23" i="7" s="1"/>
  <c r="L35" i="7"/>
  <c r="N35" i="7" s="1"/>
  <c r="P35" i="7" s="1"/>
  <c r="Q35" i="7" s="1"/>
  <c r="L28" i="7"/>
  <c r="N28" i="7" s="1"/>
  <c r="P28" i="7" s="1"/>
  <c r="Q28" i="7" s="1"/>
  <c r="L32" i="7"/>
  <c r="N32" i="7" s="1"/>
  <c r="P32" i="7" s="1"/>
  <c r="Q32" i="7" s="1"/>
  <c r="L31" i="7"/>
  <c r="N31" i="7" s="1"/>
  <c r="P31" i="7" s="1"/>
  <c r="Q31" i="7" s="1"/>
  <c r="L38" i="7"/>
  <c r="N38" i="7" s="1"/>
  <c r="L36" i="7"/>
  <c r="N36" i="7" s="1"/>
  <c r="P36" i="7" s="1"/>
  <c r="Q36" i="7" s="1"/>
  <c r="L39" i="7"/>
  <c r="N39" i="7" s="1"/>
  <c r="P39" i="7" s="1"/>
  <c r="Q39" i="7" s="1"/>
  <c r="L17" i="7"/>
  <c r="N17" i="7" s="1"/>
  <c r="P17" i="7" s="1"/>
  <c r="Q17" i="7" s="1"/>
  <c r="L46" i="7"/>
  <c r="N46" i="7" s="1"/>
  <c r="P46" i="7" s="1"/>
  <c r="Q46" i="7" s="1"/>
  <c r="L18" i="7"/>
  <c r="N18" i="7" s="1"/>
  <c r="P18" i="7" s="1"/>
  <c r="Q18" i="7" s="1"/>
  <c r="P12" i="7"/>
  <c r="Q12" i="7" s="1"/>
  <c r="P11" i="7"/>
  <c r="Q11" i="7" s="1"/>
  <c r="I16" i="7"/>
  <c r="I55" i="7"/>
  <c r="L84" i="7"/>
  <c r="N84" i="7" s="1"/>
  <c r="P34" i="7" l="1"/>
  <c r="Q34" i="7" s="1"/>
  <c r="P30" i="7"/>
  <c r="Q30" i="7" s="1"/>
  <c r="P45" i="7"/>
  <c r="Q45" i="7" s="1"/>
  <c r="P38" i="7"/>
  <c r="Q38" i="7" s="1"/>
  <c r="P42" i="7"/>
  <c r="Q42" i="7" s="1"/>
  <c r="P49" i="7"/>
  <c r="Q49" i="7" s="1"/>
  <c r="P21" i="7"/>
  <c r="Q21" i="7" s="1"/>
  <c r="P26" i="7"/>
  <c r="Q26" i="7" s="1"/>
  <c r="Q16" i="7"/>
  <c r="I56" i="7"/>
  <c r="P16" i="7"/>
  <c r="Q55" i="7" l="1"/>
  <c r="Q56" i="7" s="1"/>
  <c r="P55" i="7"/>
  <c r="P56" i="7" s="1"/>
  <c r="B64" i="4" l="1"/>
  <c r="B65" i="4" s="1"/>
  <c r="B60" i="4"/>
  <c r="B61" i="4" s="1"/>
  <c r="C65" i="4" l="1"/>
</calcChain>
</file>

<file path=xl/sharedStrings.xml><?xml version="1.0" encoding="utf-8"?>
<sst xmlns="http://schemas.openxmlformats.org/spreadsheetml/2006/main" count="263" uniqueCount="208">
  <si>
    <t>Monthly Frequency</t>
  </si>
  <si>
    <t>Annual PU's</t>
  </si>
  <si>
    <t>Gross Up</t>
  </si>
  <si>
    <t>Increase per ton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</si>
  <si>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</si>
  <si>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</si>
  <si>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</si>
  <si>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</si>
  <si>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</si>
  <si>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</si>
  <si>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</si>
  <si>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</si>
  <si>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</si>
  <si>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</si>
  <si>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</si>
  <si>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</si>
  <si>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</si>
  <si>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</si>
  <si>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</si>
  <si>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</si>
  <si>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</si>
  <si>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</si>
  <si>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</si>
  <si>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</si>
  <si>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</si>
  <si>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</si>
  <si>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</si>
  <si>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</si>
  <si>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</si>
  <si>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</si>
  <si>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</si>
  <si>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</si>
  <si>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</si>
  <si>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</si>
  <si>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</si>
  <si>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</si>
  <si>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Company Current Revenue</t>
  </si>
  <si>
    <t>Monthly Customers</t>
  </si>
  <si>
    <t>Tariff Rate Increase</t>
  </si>
  <si>
    <t>Revised Revenue Increase</t>
  </si>
  <si>
    <t>1 unit</t>
  </si>
  <si>
    <t>2 units</t>
  </si>
  <si>
    <t>3 units</t>
  </si>
  <si>
    <t>n/a</t>
  </si>
  <si>
    <t>Revenue from Revised Rates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</si>
  <si>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</si>
  <si>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</si>
  <si>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</si>
  <si>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</si>
  <si>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</si>
  <si>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</si>
  <si>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</si>
  <si>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</si>
  <si>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</si>
  <si>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</si>
  <si>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</si>
  <si>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</si>
  <si>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</si>
  <si>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</si>
  <si>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</si>
  <si>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</si>
  <si>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</si>
  <si>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</si>
  <si>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</si>
  <si>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</si>
  <si>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</si>
  <si>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</si>
  <si>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</si>
  <si>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</si>
  <si>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</si>
  <si>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</si>
  <si>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</si>
  <si>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</si>
  <si>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</si>
  <si>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</si>
  <si>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</si>
  <si>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</si>
  <si>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</si>
  <si>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</si>
  <si>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</si>
  <si>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</si>
  <si>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</si>
  <si>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Res'l &amp; Com'l</t>
  </si>
  <si>
    <t>Revenue Inc from Co Proposed Rates</t>
  </si>
  <si>
    <t>Company Proposed Rates</t>
  </si>
  <si>
    <t>Staff Revised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</si>
  <si>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</si>
  <si>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</si>
  <si>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</si>
  <si>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</si>
  <si>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</si>
  <si>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No Current Customers</t>
  </si>
  <si>
    <t>* not on meeks - calculated by staff</t>
  </si>
  <si>
    <t>Transfer Station</t>
  </si>
  <si>
    <t>Comments</t>
  </si>
  <si>
    <t>Differ from Company</t>
  </si>
  <si>
    <t>35 gallon Can</t>
  </si>
  <si>
    <t>Calculated Annual PUs based on freq</t>
  </si>
  <si>
    <t>na - multiple pickups not on tariff</t>
  </si>
  <si>
    <t>64 gal cart weekly</t>
  </si>
  <si>
    <t>32 Gal weekly</t>
  </si>
  <si>
    <t>64 gal cart monthly</t>
  </si>
  <si>
    <t>96 gal cart 1x per month</t>
  </si>
  <si>
    <t>96 gal cart weekly</t>
  </si>
  <si>
    <t>20A</t>
  </si>
  <si>
    <t>32 gal can week</t>
  </si>
  <si>
    <t>64 gal can week</t>
  </si>
  <si>
    <t>96 gal can weekly</t>
  </si>
  <si>
    <t>Res_Extra_bag/Box</t>
  </si>
  <si>
    <t>Extra_Yards</t>
  </si>
  <si>
    <t>Not on Meeks, Co provided weight</t>
  </si>
  <si>
    <t>1 Can 1/MG</t>
  </si>
  <si>
    <t>1 Can 2/MG</t>
  </si>
  <si>
    <t>1 Can WG</t>
  </si>
  <si>
    <t>2 Cans WG</t>
  </si>
  <si>
    <t>3 Cans WG</t>
  </si>
  <si>
    <t>4 Cans WG</t>
  </si>
  <si>
    <t>5 Cans WG</t>
  </si>
  <si>
    <t>6 Cans WG</t>
  </si>
  <si>
    <t>64 gal cart 1/MG</t>
  </si>
  <si>
    <t>Add'l yards (cust load)</t>
  </si>
  <si>
    <t>1-4 yards (comp load)</t>
  </si>
  <si>
    <t>Add'l yards (comp load)</t>
  </si>
  <si>
    <t>96 gal cart 1/MG</t>
  </si>
  <si>
    <t>Customer Owned</t>
  </si>
  <si>
    <t>300 Gal MG</t>
  </si>
  <si>
    <t>1 Yard - 1st Pickup</t>
  </si>
  <si>
    <t>1 Yard - Additional Pickup</t>
  </si>
  <si>
    <t>1 Yard - Special</t>
  </si>
  <si>
    <t>1 Yard - Temporary</t>
  </si>
  <si>
    <t>1.5 - Additional Pickup</t>
  </si>
  <si>
    <t>1.5 - Special</t>
  </si>
  <si>
    <t>1.5 - Temporary</t>
  </si>
  <si>
    <t>2 Yard - Additional Pickup</t>
  </si>
  <si>
    <t>2 Yard - Special</t>
  </si>
  <si>
    <t>2 Yard - Temporary</t>
  </si>
  <si>
    <t>3 Yard - Additional Pickup</t>
  </si>
  <si>
    <t>3 Yard - Special</t>
  </si>
  <si>
    <t xml:space="preserve">3 Yard - Temporary </t>
  </si>
  <si>
    <t>4 Yard - Additional Pickup</t>
  </si>
  <si>
    <t>4 Yard - Special</t>
  </si>
  <si>
    <t>4 Yard - Temporary</t>
  </si>
  <si>
    <t>5 Yard - Additional Pickup</t>
  </si>
  <si>
    <t>5 Yard - Special</t>
  </si>
  <si>
    <t>5 Yard - Temporary</t>
  </si>
  <si>
    <t>6 Yard - Additional Pickup</t>
  </si>
  <si>
    <t>6 Yard - Special</t>
  </si>
  <si>
    <t>8 Yard - Additional Pickup</t>
  </si>
  <si>
    <t>8 Yard - Special</t>
  </si>
  <si>
    <t xml:space="preserve">8 Yard - Temporary </t>
  </si>
  <si>
    <t>10 Yard - 1st Pickup</t>
  </si>
  <si>
    <t xml:space="preserve">10 Yard - Special </t>
  </si>
  <si>
    <t xml:space="preserve">10 Yard - Temporary </t>
  </si>
  <si>
    <t>Customer Owned Containers</t>
  </si>
  <si>
    <t>32 gal can week-Scheduled</t>
  </si>
  <si>
    <t>32 gal can week-Special</t>
  </si>
  <si>
    <t>64 gal can week-Scheduled</t>
  </si>
  <si>
    <t>64 gal can week-Special</t>
  </si>
  <si>
    <t>96 gal can week-Scheduled</t>
  </si>
  <si>
    <t>96 gal can week-Special</t>
  </si>
  <si>
    <t>1 Yard-Scheduled</t>
  </si>
  <si>
    <t>1 Yard-Special</t>
  </si>
  <si>
    <t>1.5 Yard-Scheduled</t>
  </si>
  <si>
    <t>1.5 Yard-Special</t>
  </si>
  <si>
    <t>2 Yard-Scheduled</t>
  </si>
  <si>
    <t>2 Yard-Special</t>
  </si>
  <si>
    <t>1.5 Yard Rent</t>
  </si>
  <si>
    <t>2 Yard Rent</t>
  </si>
  <si>
    <t>3 Yard Rent</t>
  </si>
  <si>
    <t>4 Yard Rent</t>
  </si>
  <si>
    <t>5 Yard Rent</t>
  </si>
  <si>
    <t>6 Yard Rent</t>
  </si>
  <si>
    <t>8 Yard Rent</t>
  </si>
  <si>
    <t>10 Yard Rent</t>
  </si>
  <si>
    <t>1 Yard Rent</t>
  </si>
  <si>
    <t>32 gal cart WG (cust owned)</t>
  </si>
  <si>
    <t>96 gal cart WG (cust owned)</t>
  </si>
  <si>
    <t>Mini can WG (coll provided)</t>
  </si>
  <si>
    <t>32 gal cart MG (coll provided)</t>
  </si>
  <si>
    <t>28B</t>
  </si>
  <si>
    <t>Company        Calculated Rate</t>
  </si>
  <si>
    <t>Company    Current Tariff</t>
  </si>
  <si>
    <t>Company Calculated Revenue</t>
  </si>
  <si>
    <t>Walla Walla County</t>
  </si>
  <si>
    <t>Denotes keyed entry (non formula)</t>
  </si>
  <si>
    <t>64 gal can Monthly-Special</t>
  </si>
  <si>
    <t>64 gal can Mnthly-Scheduled</t>
  </si>
  <si>
    <t>28A</t>
  </si>
  <si>
    <t>1.5 Yard - 1st Pickup</t>
  </si>
  <si>
    <t>2 Yard - 1st Pickup</t>
  </si>
  <si>
    <t>3 Yard - 1st Pickup</t>
  </si>
  <si>
    <t>4 Yard - 1st Pickup</t>
  </si>
  <si>
    <t>5 Yard - 1st Pickup</t>
  </si>
  <si>
    <t>6 Yard - 1st Pickup</t>
  </si>
  <si>
    <t>8 Yard - 1st Pickup</t>
  </si>
  <si>
    <t>6 Yard - Temporary</t>
  </si>
  <si>
    <t>29A</t>
  </si>
  <si>
    <t>4 Yard-Scheduled</t>
  </si>
  <si>
    <t>6 Yard-Scheduled</t>
  </si>
  <si>
    <t>8 Yard-Scheduled</t>
  </si>
  <si>
    <t>10 Yard-Scheduled</t>
  </si>
  <si>
    <t>1 Yard - Temporary See Row 76</t>
  </si>
  <si>
    <t>These figures are from the last Disposal fee (TG-161228) and the 2009 GRC</t>
  </si>
  <si>
    <t>Basin Disposal of Washington DBA BDI Walla Walla</t>
  </si>
  <si>
    <t>Reference Note: all the customer and tonnage information in Staff calculations comes from the last rate case from 2009 and were used in TG-161228</t>
  </si>
  <si>
    <t>Prepared by Dave Atwell and Weldon Burton</t>
  </si>
  <si>
    <t>10 Yard - Additional Pickup</t>
  </si>
  <si>
    <t>64 gal cart WG (cust owned)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</si>
</sst>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</numFmts>
  <fonts count="6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2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gray0625">
        <bgColor indexed="42"/>
      </patternFill>
    </fill>
    <fill>
      <patternFill patternType="solid">
        <fgColor theme="8" tint="0.59999389629810485"/>
        <bgColor indexed="64"/>
      </patternFill>
    </fill>
    <fill>
      <patternFill patternType="gray0625">
        <bgColor theme="8" tint="0.5999938962981048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0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2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1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4" fillId="21" borderId="0" applyNumberFormat="0" applyBorder="0" applyAlignment="0" applyProtection="0"/>
    <xf numFmtId="0" fontId="14" fillId="23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4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18" borderId="0" applyNumberFormat="0" applyBorder="0" applyAlignment="0" applyProtection="0"/>
    <xf numFmtId="0" fontId="14" fillId="23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32" fillId="26" borderId="1" applyNumberFormat="0" applyAlignment="0" applyProtection="0"/>
    <xf numFmtId="0" fontId="47" fillId="26" borderId="1" applyNumberFormat="0" applyAlignment="0" applyProtection="0"/>
    <xf numFmtId="0" fontId="16" fillId="26" borderId="1" applyNumberFormat="0" applyAlignment="0" applyProtection="0"/>
    <xf numFmtId="0" fontId="47" fillId="4" borderId="1" applyNumberFormat="0" applyAlignment="0" applyProtection="0"/>
    <xf numFmtId="0" fontId="17" fillId="28" borderId="3" applyNumberFormat="0" applyAlignment="0" applyProtection="0"/>
    <xf numFmtId="0" fontId="17" fillId="27" borderId="2" applyNumberFormat="0" applyAlignment="0" applyProtection="0"/>
    <xf numFmtId="0" fontId="2" fillId="29" borderId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30" borderId="4" applyAlignment="0">
      <alignment horizontal="right"/>
      <protection locked="0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5" fillId="31" borderId="0">
      <alignment horizontal="right"/>
      <protection locked="0"/>
    </xf>
    <xf numFmtId="14" fontId="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31" borderId="0">
      <alignment horizontal="right"/>
      <protection locked="0"/>
    </xf>
    <xf numFmtId="1" fontId="2" fillId="0" borderId="0">
      <alignment horizontal="center"/>
    </xf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36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8" applyNumberFormat="0" applyFill="0" applyAlignment="0" applyProtection="0"/>
    <xf numFmtId="0" fontId="49" fillId="0" borderId="5" applyNumberFormat="0" applyFill="0" applyAlignment="0" applyProtection="0"/>
    <xf numFmtId="0" fontId="37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10" applyNumberFormat="0" applyFill="0" applyAlignment="0" applyProtection="0"/>
    <xf numFmtId="0" fontId="50" fillId="0" borderId="9" applyNumberFormat="0" applyFill="0" applyAlignment="0" applyProtection="0"/>
    <xf numFmtId="0" fontId="38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4" applyNumberFormat="0" applyFill="0" applyAlignment="0" applyProtection="0"/>
    <xf numFmtId="0" fontId="51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41" fillId="13" borderId="1" applyNumberFormat="0" applyAlignment="0" applyProtection="0"/>
    <xf numFmtId="0" fontId="25" fillId="13" borderId="1" applyNumberFormat="0" applyAlignment="0" applyProtection="0"/>
    <xf numFmtId="3" fontId="10" fillId="32" borderId="0">
      <protection locked="0"/>
    </xf>
    <xf numFmtId="4" fontId="10" fillId="32" borderId="0">
      <protection locked="0"/>
    </xf>
    <xf numFmtId="0" fontId="42" fillId="0" borderId="16" applyNumberFormat="0" applyFill="0" applyAlignment="0" applyProtection="0"/>
    <xf numFmtId="0" fontId="52" fillId="0" borderId="15" applyNumberFormat="0" applyFill="0" applyAlignment="0" applyProtection="0"/>
    <xf numFmtId="0" fontId="26" fillId="0" borderId="17" applyNumberFormat="0" applyFill="0" applyAlignment="0" applyProtection="0"/>
    <xf numFmtId="0" fontId="43" fillId="13" borderId="0" applyNumberFormat="0" applyBorder="0" applyAlignment="0" applyProtection="0"/>
    <xf numFmtId="0" fontId="53" fillId="13" borderId="0" applyNumberFormat="0" applyBorder="0" applyAlignment="0" applyProtection="0"/>
    <xf numFmtId="0" fontId="27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59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59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3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9" borderId="18" applyNumberFormat="0" applyFont="0" applyAlignment="0" applyProtection="0"/>
    <xf numFmtId="0" fontId="8" fillId="9" borderId="18" applyNumberFormat="0" applyFont="0" applyAlignment="0" applyProtection="0"/>
    <xf numFmtId="0" fontId="28" fillId="9" borderId="18" applyNumberFormat="0" applyFont="0" applyAlignment="0" applyProtection="0"/>
    <xf numFmtId="0" fontId="48" fillId="9" borderId="18" applyNumberFormat="0" applyFont="0" applyAlignment="0" applyProtection="0"/>
    <xf numFmtId="171" fontId="44" fillId="0" borderId="0" applyNumberFormat="0"/>
    <xf numFmtId="0" fontId="24" fillId="26" borderId="20" applyNumberFormat="0" applyAlignment="0" applyProtection="0"/>
    <xf numFmtId="0" fontId="29" fillId="26" borderId="19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1">
      <alignment horizontal="center"/>
    </xf>
    <xf numFmtId="3" fontId="6" fillId="0" borderId="0" applyFont="0" applyFill="0" applyBorder="0" applyAlignment="0" applyProtection="0"/>
    <xf numFmtId="0" fontId="6" fillId="33" borderId="0" applyNumberFormat="0" applyFont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37" fontId="55" fillId="0" borderId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3" applyNumberFormat="0" applyFill="0" applyAlignment="0" applyProtection="0"/>
    <xf numFmtId="0" fontId="31" fillId="0" borderId="24" applyNumberFormat="0" applyFill="0" applyAlignment="0" applyProtection="0"/>
    <xf numFmtId="0" fontId="31" fillId="0" borderId="25" applyNumberFormat="0" applyFill="0" applyAlignment="0" applyProtection="0"/>
    <xf numFmtId="0" fontId="31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6" fontId="4" fillId="34" borderId="0" applyFont="0" applyFill="0" applyBorder="0" applyAlignment="0" applyProtection="0">
      <alignment wrapText="1"/>
    </xf>
  </cellStyleXfs>
  <cellXfs count="195">
    <xf numFmtId="0" fontId="0" fillId="0" borderId="0" xfId="0"/>
    <xf numFmtId="43" fontId="0" fillId="0" borderId="0" xfId="82" applyFont="1"/>
    <xf numFmtId="0" fontId="3" fillId="0" borderId="0" xfId="0" applyFont="1"/>
    <xf numFmtId="0" fontId="0" fillId="0" borderId="0" xfId="0" applyFont="1"/>
    <xf numFmtId="44" fontId="3" fillId="0" borderId="0" xfId="0" applyNumberFormat="1" applyFont="1"/>
    <xf numFmtId="165" fontId="0" fillId="35" borderId="0" xfId="126" applyNumberFormat="1" applyFont="1" applyFill="1"/>
    <xf numFmtId="44" fontId="0" fillId="35" borderId="0" xfId="126" applyFont="1" applyFill="1"/>
    <xf numFmtId="44" fontId="0" fillId="35" borderId="4" xfId="126" applyFont="1" applyFill="1" applyBorder="1"/>
    <xf numFmtId="165" fontId="0" fillId="35" borderId="4" xfId="126" applyNumberFormat="1" applyFont="1" applyFill="1" applyBorder="1"/>
    <xf numFmtId="167" fontId="0" fillId="0" borderId="0" xfId="82" applyNumberFormat="1" applyFont="1"/>
    <xf numFmtId="167" fontId="0" fillId="0" borderId="0" xfId="82" applyNumberFormat="1" applyFont="1" applyBorder="1"/>
    <xf numFmtId="167" fontId="0" fillId="0" borderId="4" xfId="82" applyNumberFormat="1" applyFont="1" applyBorder="1"/>
    <xf numFmtId="169" fontId="0" fillId="35" borderId="0" xfId="126" applyNumberFormat="1" applyFont="1" applyFill="1"/>
    <xf numFmtId="166" fontId="0" fillId="0" borderId="0" xfId="82" applyNumberFormat="1" applyFont="1"/>
    <xf numFmtId="166" fontId="0" fillId="0" borderId="4" xfId="82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3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36" borderId="4" xfId="0" applyFont="1" applyFill="1" applyBorder="1" applyAlignment="1">
      <alignment horizontal="center"/>
    </xf>
    <xf numFmtId="0" fontId="0" fillId="36" borderId="4" xfId="0" applyFont="1" applyFill="1" applyBorder="1"/>
    <xf numFmtId="0" fontId="3" fillId="36" borderId="4" xfId="0" applyFont="1" applyFill="1" applyBorder="1"/>
    <xf numFmtId="43" fontId="0" fillId="0" borderId="0" xfId="82" applyFont="1" applyAlignment="1">
      <alignment horizontal="center"/>
    </xf>
    <xf numFmtId="164" fontId="0" fillId="0" borderId="0" xfId="126" applyNumberFormat="1" applyFont="1" applyBorder="1"/>
    <xf numFmtId="43" fontId="0" fillId="0" borderId="0" xfId="82" applyFont="1" applyBorder="1"/>
    <xf numFmtId="165" fontId="0" fillId="0" borderId="0" xfId="126" applyNumberFormat="1" applyFont="1" applyBorder="1"/>
    <xf numFmtId="44" fontId="0" fillId="0" borderId="0" xfId="126" applyFont="1" applyBorder="1" applyAlignment="1">
      <alignment horizontal="right"/>
    </xf>
    <xf numFmtId="10" fontId="0" fillId="0" borderId="0" xfId="338" applyNumberFormat="1" applyFont="1" applyBorder="1" applyAlignment="1">
      <alignment horizontal="right"/>
    </xf>
    <xf numFmtId="166" fontId="0" fillId="0" borderId="0" xfId="82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0" fontId="11" fillId="0" borderId="0" xfId="330" applyFont="1" applyFill="1" applyBorder="1" applyAlignment="1">
      <alignment horizontal="left"/>
    </xf>
    <xf numFmtId="166" fontId="11" fillId="0" borderId="0" xfId="82" applyNumberFormat="1" applyFont="1" applyFill="1" applyBorder="1" applyAlignment="1">
      <alignment horizontal="left"/>
    </xf>
    <xf numFmtId="166" fontId="0" fillId="0" borderId="0" xfId="82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36" borderId="4" xfId="0" applyFont="1" applyFill="1" applyBorder="1" applyAlignment="1">
      <alignment vertical="center" textRotation="90"/>
    </xf>
    <xf numFmtId="0" fontId="12" fillId="36" borderId="4" xfId="330" applyFont="1" applyFill="1" applyBorder="1" applyAlignment="1">
      <alignment horizontal="left"/>
    </xf>
    <xf numFmtId="3" fontId="3" fillId="36" borderId="4" xfId="0" applyNumberFormat="1" applyFont="1" applyFill="1" applyBorder="1" applyAlignment="1">
      <alignment horizontal="right"/>
    </xf>
    <xf numFmtId="43" fontId="0" fillId="36" borderId="4" xfId="82" applyFont="1" applyFill="1" applyBorder="1"/>
    <xf numFmtId="166" fontId="3" fillId="36" borderId="4" xfId="0" applyNumberFormat="1" applyFont="1" applyFill="1" applyBorder="1"/>
    <xf numFmtId="43" fontId="0" fillId="36" borderId="4" xfId="0" applyNumberFormat="1" applyFont="1" applyFill="1" applyBorder="1"/>
    <xf numFmtId="166" fontId="3" fillId="36" borderId="4" xfId="82" applyNumberFormat="1" applyFont="1" applyFill="1" applyBorder="1"/>
    <xf numFmtId="166" fontId="3" fillId="0" borderId="4" xfId="82" applyNumberFormat="1" applyFont="1" applyBorder="1" applyAlignment="1">
      <alignment horizontal="center"/>
    </xf>
    <xf numFmtId="44" fontId="0" fillId="0" borderId="0" xfId="82" applyNumberFormat="1" applyFont="1" applyFill="1" applyBorder="1"/>
    <xf numFmtId="166" fontId="0" fillId="0" borderId="0" xfId="82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330" applyFont="1" applyFill="1" applyBorder="1" applyAlignment="1">
      <alignment horizontal="left"/>
    </xf>
    <xf numFmtId="166" fontId="3" fillId="0" borderId="0" xfId="82" applyNumberFormat="1" applyFont="1" applyBorder="1" applyAlignment="1">
      <alignment horizontal="right"/>
    </xf>
    <xf numFmtId="0" fontId="9" fillId="0" borderId="0" xfId="319" applyFont="1" applyBorder="1" applyAlignment="1">
      <alignment horizontal="left"/>
    </xf>
    <xf numFmtId="166" fontId="0" fillId="35" borderId="0" xfId="82" applyNumberFormat="1" applyFont="1" applyFill="1" applyBorder="1" applyAlignment="1">
      <alignment horizontal="right"/>
    </xf>
    <xf numFmtId="44" fontId="0" fillId="0" borderId="0" xfId="126" applyFont="1" applyFill="1" applyBorder="1"/>
    <xf numFmtId="166" fontId="0" fillId="0" borderId="0" xfId="82" applyNumberFormat="1" applyFont="1" applyFill="1" applyBorder="1"/>
    <xf numFmtId="43" fontId="0" fillId="0" borderId="0" xfId="82" applyNumberFormat="1" applyFont="1" applyFill="1" applyBorder="1"/>
    <xf numFmtId="166" fontId="0" fillId="0" borderId="26" xfId="82" applyNumberFormat="1" applyFont="1" applyFill="1" applyBorder="1"/>
    <xf numFmtId="44" fontId="0" fillId="32" borderId="0" xfId="126" applyFont="1" applyFill="1" applyBorder="1"/>
    <xf numFmtId="44" fontId="0" fillId="0" borderId="26" xfId="126" applyFont="1" applyFill="1" applyBorder="1"/>
    <xf numFmtId="44" fontId="3" fillId="36" borderId="4" xfId="126" applyFont="1" applyFill="1" applyBorder="1"/>
    <xf numFmtId="44" fontId="0" fillId="36" borderId="4" xfId="126" applyFont="1" applyFill="1" applyBorder="1"/>
    <xf numFmtId="44" fontId="3" fillId="0" borderId="0" xfId="126" applyFont="1" applyBorder="1" applyAlignment="1">
      <alignment horizontal="right"/>
    </xf>
    <xf numFmtId="0" fontId="0" fillId="36" borderId="0" xfId="0" applyFont="1" applyFill="1" applyBorder="1"/>
    <xf numFmtId="0" fontId="0" fillId="36" borderId="0" xfId="0" applyFont="1" applyFill="1" applyBorder="1" applyAlignment="1">
      <alignment horizontal="center"/>
    </xf>
    <xf numFmtId="0" fontId="0" fillId="36" borderId="0" xfId="0" applyFont="1" applyFill="1" applyBorder="1" applyAlignment="1">
      <alignment horizontal="right"/>
    </xf>
    <xf numFmtId="166" fontId="0" fillId="36" borderId="0" xfId="82" applyNumberFormat="1" applyFont="1" applyFill="1" applyBorder="1"/>
    <xf numFmtId="44" fontId="0" fillId="36" borderId="0" xfId="82" applyNumberFormat="1" applyFont="1" applyFill="1" applyBorder="1"/>
    <xf numFmtId="0" fontId="3" fillId="36" borderId="0" xfId="0" applyFont="1" applyFill="1" applyBorder="1"/>
    <xf numFmtId="166" fontId="0" fillId="0" borderId="4" xfId="82" applyNumberFormat="1" applyFont="1" applyFill="1" applyBorder="1"/>
    <xf numFmtId="0" fontId="3" fillId="36" borderId="4" xfId="0" applyFont="1" applyFill="1" applyBorder="1" applyAlignment="1">
      <alignment horizontal="center" wrapText="1"/>
    </xf>
    <xf numFmtId="0" fontId="3" fillId="36" borderId="4" xfId="0" applyFont="1" applyFill="1" applyBorder="1" applyAlignment="1">
      <alignment horizontal="center" vertical="center"/>
    </xf>
    <xf numFmtId="0" fontId="0" fillId="36" borderId="4" xfId="0" applyFont="1" applyFill="1" applyBorder="1" applyAlignment="1">
      <alignment horizontal="center" vertical="center"/>
    </xf>
    <xf numFmtId="3" fontId="3" fillId="36" borderId="4" xfId="0" applyNumberFormat="1" applyFont="1" applyFill="1" applyBorder="1"/>
    <xf numFmtId="0" fontId="0" fillId="0" borderId="0" xfId="0" applyFont="1" applyFill="1" applyBorder="1" applyAlignment="1"/>
    <xf numFmtId="0" fontId="0" fillId="35" borderId="0" xfId="0" applyFont="1" applyFill="1" applyBorder="1" applyAlignment="1">
      <alignment horizontal="left"/>
    </xf>
    <xf numFmtId="0" fontId="9" fillId="0" borderId="0" xfId="330" applyFont="1" applyFill="1" applyBorder="1" applyAlignment="1">
      <alignment horizontal="left"/>
    </xf>
    <xf numFmtId="0" fontId="0" fillId="37" borderId="0" xfId="0" applyFont="1" applyFill="1" applyBorder="1" applyAlignment="1">
      <alignment horizontal="left"/>
    </xf>
    <xf numFmtId="44" fontId="0" fillId="0" borderId="4" xfId="126" applyFont="1" applyFill="1" applyBorder="1"/>
    <xf numFmtId="44" fontId="0" fillId="0" borderId="0" xfId="126" applyFont="1" applyBorder="1"/>
    <xf numFmtId="0" fontId="3" fillId="0" borderId="27" xfId="0" applyFont="1" applyBorder="1"/>
    <xf numFmtId="0" fontId="0" fillId="36" borderId="28" xfId="0" applyFont="1" applyFill="1" applyBorder="1" applyAlignment="1">
      <alignment horizontal="center"/>
    </xf>
    <xf numFmtId="0" fontId="0" fillId="0" borderId="29" xfId="0" applyFont="1" applyBorder="1"/>
    <xf numFmtId="44" fontId="0" fillId="0" borderId="30" xfId="126" applyFont="1" applyBorder="1"/>
    <xf numFmtId="0" fontId="0" fillId="0" borderId="30" xfId="0" applyFont="1" applyBorder="1"/>
    <xf numFmtId="0" fontId="3" fillId="0" borderId="29" xfId="0" applyFont="1" applyBorder="1"/>
    <xf numFmtId="0" fontId="0" fillId="36" borderId="31" xfId="0" applyFont="1" applyFill="1" applyBorder="1" applyAlignment="1">
      <alignment horizontal="center"/>
    </xf>
    <xf numFmtId="44" fontId="1" fillId="0" borderId="30" xfId="126" applyFont="1" applyBorder="1"/>
    <xf numFmtId="0" fontId="0" fillId="0" borderId="32" xfId="0" applyFont="1" applyBorder="1" applyAlignment="1">
      <alignment horizontal="left"/>
    </xf>
    <xf numFmtId="44" fontId="0" fillId="0" borderId="33" xfId="126" applyFont="1" applyBorder="1"/>
    <xf numFmtId="164" fontId="0" fillId="0" borderId="0" xfId="0" applyNumberFormat="1" applyFont="1" applyFill="1" applyBorder="1"/>
    <xf numFmtId="43" fontId="3" fillId="0" borderId="0" xfId="82" applyNumberFormat="1" applyFont="1" applyBorder="1" applyAlignment="1">
      <alignment horizontal="right"/>
    </xf>
    <xf numFmtId="0" fontId="11" fillId="0" borderId="0" xfId="329" applyFont="1" applyBorder="1"/>
    <xf numFmtId="166" fontId="11" fillId="0" borderId="0" xfId="82" applyNumberFormat="1" applyFont="1" applyFill="1" applyBorder="1"/>
    <xf numFmtId="0" fontId="11" fillId="0" borderId="4" xfId="329" applyFont="1" applyBorder="1"/>
    <xf numFmtId="0" fontId="3" fillId="36" borderId="4" xfId="0" applyFont="1" applyFill="1" applyBorder="1" applyAlignment="1">
      <alignment wrapText="1"/>
    </xf>
    <xf numFmtId="166" fontId="0" fillId="0" borderId="26" xfId="82" applyNumberFormat="1" applyFont="1" applyFill="1" applyBorder="1" applyAlignment="1">
      <alignment horizontal="center" wrapText="1"/>
    </xf>
    <xf numFmtId="166" fontId="3" fillId="36" borderId="4" xfId="82" applyNumberFormat="1" applyFont="1" applyFill="1" applyBorder="1" applyAlignment="1">
      <alignment horizontal="center" wrapText="1"/>
    </xf>
    <xf numFmtId="0" fontId="56" fillId="0" borderId="0" xfId="82" applyNumberFormat="1" applyFont="1" applyBorder="1" applyAlignment="1">
      <alignment horizontal="left"/>
    </xf>
    <xf numFmtId="0" fontId="0" fillId="0" borderId="0" xfId="82" applyNumberFormat="1" applyFont="1" applyBorder="1"/>
    <xf numFmtId="43" fontId="9" fillId="0" borderId="0" xfId="82" applyNumberFormat="1" applyFont="1" applyFill="1" applyBorder="1"/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Fill="1" applyBorder="1"/>
    <xf numFmtId="4" fontId="0" fillId="0" borderId="0" xfId="0" applyNumberFormat="1" applyFont="1" applyBorder="1"/>
    <xf numFmtId="43" fontId="11" fillId="0" borderId="0" xfId="83" applyFont="1"/>
    <xf numFmtId="44" fontId="11" fillId="0" borderId="0" xfId="129" applyFont="1"/>
    <xf numFmtId="3" fontId="11" fillId="0" borderId="0" xfId="200" applyNumberFormat="1" applyFont="1" applyBorder="1"/>
    <xf numFmtId="166" fontId="11" fillId="0" borderId="0" xfId="322" applyNumberFormat="1" applyFont="1" applyBorder="1"/>
    <xf numFmtId="3" fontId="11" fillId="0" borderId="0" xfId="200" applyNumberFormat="1" applyFont="1"/>
    <xf numFmtId="166" fontId="11" fillId="0" borderId="0" xfId="82" applyNumberFormat="1" applyFont="1"/>
    <xf numFmtId="166" fontId="11" fillId="0" borderId="0" xfId="82" applyNumberFormat="1" applyFont="1" applyFill="1"/>
    <xf numFmtId="10" fontId="0" fillId="0" borderId="0" xfId="338" applyNumberFormat="1" applyFont="1" applyFill="1" applyBorder="1"/>
    <xf numFmtId="166" fontId="0" fillId="35" borderId="0" xfId="82" applyNumberFormat="1" applyFont="1" applyFill="1" applyBorder="1"/>
    <xf numFmtId="0" fontId="0" fillId="0" borderId="34" xfId="0" applyFont="1" applyFill="1" applyBorder="1" applyAlignment="1">
      <alignment horizontal="center" vertical="center" textRotation="90"/>
    </xf>
    <xf numFmtId="0" fontId="0" fillId="0" borderId="34" xfId="0" applyFont="1" applyFill="1" applyBorder="1" applyAlignment="1">
      <alignment horizontal="center" vertical="center"/>
    </xf>
    <xf numFmtId="166" fontId="0" fillId="0" borderId="34" xfId="82" applyNumberFormat="1" applyFont="1" applyBorder="1"/>
    <xf numFmtId="43" fontId="0" fillId="0" borderId="34" xfId="82" applyNumberFormat="1" applyFont="1" applyFill="1" applyBorder="1"/>
    <xf numFmtId="166" fontId="0" fillId="0" borderId="34" xfId="82" applyNumberFormat="1" applyFont="1" applyFill="1" applyBorder="1"/>
    <xf numFmtId="166" fontId="0" fillId="0" borderId="34" xfId="82" applyNumberFormat="1" applyFont="1" applyFill="1" applyBorder="1" applyAlignment="1">
      <alignment horizontal="center" wrapText="1"/>
    </xf>
    <xf numFmtId="44" fontId="0" fillId="0" borderId="34" xfId="126" applyFont="1" applyFill="1" applyBorder="1"/>
    <xf numFmtId="44" fontId="0" fillId="0" borderId="34" xfId="126" applyFont="1" applyBorder="1"/>
    <xf numFmtId="0" fontId="0" fillId="0" borderId="0" xfId="0" applyFont="1" applyFill="1" applyBorder="1" applyAlignment="1">
      <alignment horizontal="center" vertical="center" textRotation="90"/>
    </xf>
    <xf numFmtId="44" fontId="3" fillId="36" borderId="4" xfId="126" applyFont="1" applyFill="1" applyBorder="1" applyAlignment="1">
      <alignment horizontal="right"/>
    </xf>
    <xf numFmtId="3" fontId="12" fillId="0" borderId="0" xfId="200" applyNumberFormat="1" applyFont="1"/>
    <xf numFmtId="0" fontId="0" fillId="0" borderId="0" xfId="0" applyFont="1" applyFill="1"/>
    <xf numFmtId="3" fontId="11" fillId="38" borderId="0" xfId="200" applyNumberFormat="1" applyFont="1" applyFill="1"/>
    <xf numFmtId="4" fontId="0" fillId="38" borderId="0" xfId="0" applyNumberFormat="1" applyFont="1" applyFill="1" applyBorder="1"/>
    <xf numFmtId="43" fontId="0" fillId="38" borderId="0" xfId="82" applyNumberFormat="1" applyFont="1" applyFill="1" applyBorder="1"/>
    <xf numFmtId="166" fontId="0" fillId="38" borderId="0" xfId="82" applyNumberFormat="1" applyFont="1" applyFill="1" applyBorder="1"/>
    <xf numFmtId="166" fontId="0" fillId="38" borderId="0" xfId="82" applyNumberFormat="1" applyFont="1" applyFill="1" applyBorder="1" applyAlignment="1">
      <alignment horizontal="center" wrapText="1"/>
    </xf>
    <xf numFmtId="44" fontId="0" fillId="38" borderId="0" xfId="126" applyFont="1" applyFill="1" applyBorder="1"/>
    <xf numFmtId="166" fontId="11" fillId="38" borderId="0" xfId="82" applyNumberFormat="1" applyFont="1" applyFill="1" applyBorder="1"/>
    <xf numFmtId="166" fontId="11" fillId="0" borderId="0" xfId="83" applyNumberFormat="1" applyFont="1"/>
    <xf numFmtId="166" fontId="9" fillId="0" borderId="0" xfId="83" applyNumberFormat="1" applyFont="1"/>
    <xf numFmtId="166" fontId="11" fillId="35" borderId="0" xfId="83" applyNumberFormat="1" applyFont="1" applyFill="1"/>
    <xf numFmtId="166" fontId="11" fillId="38" borderId="0" xfId="83" applyNumberFormat="1" applyFont="1" applyFill="1"/>
    <xf numFmtId="166" fontId="11" fillId="0" borderId="0" xfId="83" applyNumberFormat="1" applyFont="1" applyFill="1"/>
    <xf numFmtId="166" fontId="3" fillId="36" borderId="4" xfId="0" applyNumberFormat="1" applyFont="1" applyFill="1" applyBorder="1" applyAlignment="1">
      <alignment horizontal="right"/>
    </xf>
    <xf numFmtId="166" fontId="0" fillId="0" borderId="0" xfId="0" applyNumberFormat="1" applyFont="1" applyBorder="1"/>
    <xf numFmtId="166" fontId="0" fillId="36" borderId="0" xfId="0" applyNumberFormat="1" applyFont="1" applyFill="1" applyBorder="1"/>
    <xf numFmtId="3" fontId="11" fillId="0" borderId="0" xfId="200" applyNumberFormat="1" applyFont="1" applyFill="1"/>
    <xf numFmtId="0" fontId="11" fillId="0" borderId="0" xfId="329" applyFont="1" applyBorder="1" applyAlignment="1">
      <alignment horizontal="left"/>
    </xf>
    <xf numFmtId="44" fontId="0" fillId="39" borderId="26" xfId="126" applyFont="1" applyFill="1" applyBorder="1"/>
    <xf numFmtId="44" fontId="0" fillId="39" borderId="0" xfId="126" applyFont="1" applyFill="1" applyBorder="1"/>
    <xf numFmtId="44" fontId="0" fillId="40" borderId="0" xfId="126" applyFont="1" applyFill="1" applyBorder="1"/>
    <xf numFmtId="0" fontId="0" fillId="0" borderId="0" xfId="0" applyFont="1" applyFill="1" applyBorder="1" applyAlignment="1">
      <alignment horizontal="center" vertical="center" textRotation="90"/>
    </xf>
    <xf numFmtId="3" fontId="0" fillId="41" borderId="0" xfId="0" applyNumberFormat="1" applyFont="1" applyFill="1" applyBorder="1"/>
    <xf numFmtId="166" fontId="11" fillId="41" borderId="0" xfId="82" applyNumberFormat="1" applyFont="1" applyFill="1"/>
    <xf numFmtId="166" fontId="11" fillId="42" borderId="0" xfId="82" applyNumberFormat="1" applyFont="1" applyFill="1"/>
    <xf numFmtId="44" fontId="11" fillId="41" borderId="0" xfId="129" applyFont="1" applyFill="1"/>
    <xf numFmtId="44" fontId="0" fillId="41" borderId="0" xfId="126" applyFont="1" applyFill="1" applyBorder="1"/>
    <xf numFmtId="44" fontId="11" fillId="41" borderId="0" xfId="126" applyFont="1" applyFill="1" applyBorder="1"/>
    <xf numFmtId="44" fontId="11" fillId="42" borderId="0" xfId="126" applyFont="1" applyFill="1" applyBorder="1"/>
    <xf numFmtId="10" fontId="0" fillId="41" borderId="0" xfId="338" applyNumberFormat="1" applyFont="1" applyFill="1" applyBorder="1"/>
    <xf numFmtId="0" fontId="0" fillId="0" borderId="4" xfId="0" applyFont="1" applyFill="1" applyBorder="1" applyAlignment="1">
      <alignment horizontal="center" vertical="center" textRotation="90"/>
    </xf>
    <xf numFmtId="0" fontId="11" fillId="0" borderId="4" xfId="319" applyFont="1" applyBorder="1" applyAlignment="1">
      <alignment horizontal="left"/>
    </xf>
    <xf numFmtId="43" fontId="0" fillId="0" borderId="4" xfId="82" applyFont="1" applyBorder="1" applyAlignment="1">
      <alignment horizontal="right"/>
    </xf>
    <xf numFmtId="43" fontId="0" fillId="0" borderId="4" xfId="82" applyFont="1" applyFill="1" applyBorder="1"/>
    <xf numFmtId="44" fontId="0" fillId="0" borderId="4" xfId="126" applyFont="1" applyBorder="1"/>
    <xf numFmtId="0" fontId="0" fillId="0" borderId="4" xfId="0" applyFont="1" applyBorder="1"/>
    <xf numFmtId="164" fontId="0" fillId="0" borderId="4" xfId="0" applyNumberFormat="1" applyFont="1" applyBorder="1"/>
    <xf numFmtId="171" fontId="0" fillId="0" borderId="0" xfId="338" applyNumberFormat="1" applyFont="1" applyFill="1" applyBorder="1"/>
    <xf numFmtId="10" fontId="0" fillId="0" borderId="0" xfId="338" applyNumberFormat="1" applyFont="1"/>
    <xf numFmtId="43" fontId="0" fillId="0" borderId="0" xfId="0" applyNumberFormat="1" applyFont="1" applyFill="1" applyBorder="1"/>
    <xf numFmtId="44" fontId="0" fillId="0" borderId="0" xfId="126" applyNumberFormat="1" applyFont="1" applyFill="1" applyBorder="1"/>
    <xf numFmtId="10" fontId="0" fillId="0" borderId="0" xfId="0" applyNumberFormat="1" applyFont="1"/>
    <xf numFmtId="44" fontId="0" fillId="0" borderId="0" xfId="0" applyNumberFormat="1" applyFont="1" applyFill="1" applyBorder="1"/>
    <xf numFmtId="0" fontId="60" fillId="44" borderId="0" xfId="0" applyFont="1" applyFill="1"/>
    <xf numFmtId="0" fontId="0" fillId="43" borderId="0" xfId="0" applyFont="1" applyFill="1"/>
    <xf numFmtId="44" fontId="0" fillId="43" borderId="0" xfId="126" applyNumberFormat="1" applyFont="1" applyFill="1"/>
    <xf numFmtId="165" fontId="0" fillId="43" borderId="0" xfId="126" applyNumberFormat="1" applyFont="1" applyFill="1"/>
    <xf numFmtId="0" fontId="0" fillId="43" borderId="26" xfId="0" applyFont="1" applyFill="1" applyBorder="1"/>
    <xf numFmtId="44" fontId="0" fillId="43" borderId="26" xfId="126" applyNumberFormat="1" applyFont="1" applyFill="1" applyBorder="1"/>
    <xf numFmtId="165" fontId="0" fillId="43" borderId="26" xfId="126" applyNumberFormat="1" applyFont="1" applyFill="1" applyBorder="1"/>
    <xf numFmtId="44" fontId="0" fillId="43" borderId="0" xfId="0" applyNumberFormat="1" applyFont="1" applyFill="1"/>
    <xf numFmtId="0" fontId="0" fillId="36" borderId="0" xfId="0" applyFont="1" applyFill="1" applyAlignment="1">
      <alignment horizontal="center"/>
    </xf>
    <xf numFmtId="0" fontId="3" fillId="36" borderId="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60" fillId="44" borderId="0" xfId="0" applyFont="1" applyFill="1" applyAlignment="1">
      <alignment horizontal="center"/>
    </xf>
    <xf numFmtId="0" fontId="0" fillId="36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26" xfId="0" applyFont="1" applyFill="1" applyBorder="1" applyAlignment="1">
      <alignment horizontal="center" vertical="center" textRotation="90"/>
    </xf>
  </cellXfs>
  <cellStyles count="390">
    <cellStyle name="20% - Accent1 2" xfId="1"/>
    <cellStyle name="20% - Accent1 2 2" xfId="2"/>
    <cellStyle name="20% - Accent1 3" xfId="3"/>
    <cellStyle name="20% - Accent1 3 2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2 2" xfId="10"/>
    <cellStyle name="20% - Accent4 3" xfId="11"/>
    <cellStyle name="20% - Accent4 3 2" xfId="12"/>
    <cellStyle name="20% - Accent5 2" xfId="13"/>
    <cellStyle name="20% - Accent5 3" xfId="14"/>
    <cellStyle name="20% - Accent6 2" xfId="15"/>
    <cellStyle name="20% - Accent6 3" xfId="16"/>
    <cellStyle name="40% - Accent1 2" xfId="17"/>
    <cellStyle name="40% - Accent1 3" xfId="18"/>
    <cellStyle name="40% - Accent1 3 2" xfId="19"/>
    <cellStyle name="40% - Accent2 2" xfId="20"/>
    <cellStyle name="40% - Accent2 3" xfId="21"/>
    <cellStyle name="40% - Accent3 2" xfId="22"/>
    <cellStyle name="40% - Accent3 3" xfId="23"/>
    <cellStyle name="40% - Accent4 2" xfId="24"/>
    <cellStyle name="40% - Accent4 3" xfId="25"/>
    <cellStyle name="40% - Accent4 3 2" xfId="26"/>
    <cellStyle name="40% - Accent5 2" xfId="27"/>
    <cellStyle name="40% - Accent5 3" xfId="28"/>
    <cellStyle name="40% - Accent6 2" xfId="29"/>
    <cellStyle name="40% - Accent6 3" xfId="30"/>
    <cellStyle name="40% - Accent6 3 2" xfId="31"/>
    <cellStyle name="60% - Accent1 2" xfId="32"/>
    <cellStyle name="60% - Accent1 2 2" xfId="33"/>
    <cellStyle name="60% - Accent1 3" xfId="34"/>
    <cellStyle name="60% - Accent1 3 2" xfId="35"/>
    <cellStyle name="60% - Accent2 2" xfId="36"/>
    <cellStyle name="60% - Accent2 3" xfId="37"/>
    <cellStyle name="60% - Accent3 2" xfId="38"/>
    <cellStyle name="60% - Accent3 3" xfId="39"/>
    <cellStyle name="60% - Accent3 3 2" xfId="40"/>
    <cellStyle name="60% - Accent4 2" xfId="41"/>
    <cellStyle name="60% - Accent4 3" xfId="42"/>
    <cellStyle name="60% - Accent4 3 2" xfId="43"/>
    <cellStyle name="60% - Accent5 2" xfId="44"/>
    <cellStyle name="60% - Accent5 2 2" xfId="45"/>
    <cellStyle name="60% - Accent5 3" xfId="46"/>
    <cellStyle name="60% - Accent6 2" xfId="47"/>
    <cellStyle name="60% - Accent6 3" xfId="48"/>
    <cellStyle name="Accent1 2" xfId="49"/>
    <cellStyle name="Accent1 2 2" xfId="50"/>
    <cellStyle name="Accent1 3" xfId="51"/>
    <cellStyle name="Accent1 3 2" xfId="52"/>
    <cellStyle name="Accent2 2" xfId="53"/>
    <cellStyle name="Accent2 3" xfId="54"/>
    <cellStyle name="Accent3 2" xfId="55"/>
    <cellStyle name="Accent3 2 2" xfId="56"/>
    <cellStyle name="Accent3 3" xfId="57"/>
    <cellStyle name="Accent4 2" xfId="58"/>
    <cellStyle name="Accent4 3" xfId="59"/>
    <cellStyle name="Accent5 2" xfId="60"/>
    <cellStyle name="Accent5 3" xfId="61"/>
    <cellStyle name="Accent6 2" xfId="62"/>
    <cellStyle name="Accent6 2 2" xfId="63"/>
    <cellStyle name="Accent6 3" xfId="64"/>
    <cellStyle name="Accounting" xfId="65"/>
    <cellStyle name="Accounting 2" xfId="66"/>
    <cellStyle name="Accounting 3" xfId="67"/>
    <cellStyle name="Accounting_2011-11" xfId="68"/>
    <cellStyle name="Bad 2" xfId="69"/>
    <cellStyle name="Bad 3" xfId="70"/>
    <cellStyle name="Budget" xfId="71"/>
    <cellStyle name="Budget 2" xfId="72"/>
    <cellStyle name="Budget 3" xfId="73"/>
    <cellStyle name="Budget_2011-11" xfId="74"/>
    <cellStyle name="Calculation 2" xfId="75"/>
    <cellStyle name="Calculation 2 2" xfId="76"/>
    <cellStyle name="Calculation 3" xfId="77"/>
    <cellStyle name="Calculation 3 2" xfId="78"/>
    <cellStyle name="Check Cell 2" xfId="79"/>
    <cellStyle name="Check Cell 3" xfId="80"/>
    <cellStyle name="combo" xfId="81"/>
    <cellStyle name="Comma" xfId="82" builtinId="3"/>
    <cellStyle name="Comma 10" xfId="83"/>
    <cellStyle name="Comma 11" xfId="84"/>
    <cellStyle name="Comma 12" xfId="85"/>
    <cellStyle name="Comma 12 2" xfId="86"/>
    <cellStyle name="Comma 12 3" xfId="87"/>
    <cellStyle name="Comma 13" xfId="88"/>
    <cellStyle name="Comma 14" xfId="89"/>
    <cellStyle name="Comma 15" xfId="90"/>
    <cellStyle name="Comma 16" xfId="91"/>
    <cellStyle name="Comma 17" xfId="92"/>
    <cellStyle name="Comma 18" xfId="93"/>
    <cellStyle name="Comma 19" xfId="94"/>
    <cellStyle name="Comma 2" xfId="95"/>
    <cellStyle name="Comma 2 2" xfId="96"/>
    <cellStyle name="Comma 2 2 2" xfId="97"/>
    <cellStyle name="Comma 2 3" xfId="98"/>
    <cellStyle name="Comma 2 4" xfId="99"/>
    <cellStyle name="Comma 2 6" xfId="100"/>
    <cellStyle name="Comma 2 6 2" xfId="101"/>
    <cellStyle name="Comma 20" xfId="102"/>
    <cellStyle name="Comma 3" xfId="103"/>
    <cellStyle name="Comma 3 2" xfId="104"/>
    <cellStyle name="Comma 3 2 2" xfId="105"/>
    <cellStyle name="Comma 3 3" xfId="106"/>
    <cellStyle name="Comma 3 4" xfId="107"/>
    <cellStyle name="Comma 4" xfId="108"/>
    <cellStyle name="Comma 4 2" xfId="109"/>
    <cellStyle name="Comma 4 2 2" xfId="110"/>
    <cellStyle name="Comma 4 3" xfId="111"/>
    <cellStyle name="Comma 4 3 2" xfId="112"/>
    <cellStyle name="Comma 4 4" xfId="113"/>
    <cellStyle name="Comma 4 5" xfId="114"/>
    <cellStyle name="Comma 4 6" xfId="115"/>
    <cellStyle name="Comma 5" xfId="116"/>
    <cellStyle name="Comma 6" xfId="117"/>
    <cellStyle name="Comma 6 2" xfId="118"/>
    <cellStyle name="Comma 7" xfId="119"/>
    <cellStyle name="Comma 8" xfId="120"/>
    <cellStyle name="Comma 9" xfId="121"/>
    <cellStyle name="Comma(2)" xfId="122"/>
    <cellStyle name="Comma0 - Style2" xfId="123"/>
    <cellStyle name="Comma1 - Style1" xfId="124"/>
    <cellStyle name="Comments" xfId="125"/>
    <cellStyle name="Currency" xfId="126" builtinId="4"/>
    <cellStyle name="Currency 10" xfId="127"/>
    <cellStyle name="Currency 11" xfId="128"/>
    <cellStyle name="Currency 2" xfId="129"/>
    <cellStyle name="Currency 2 2" xfId="130"/>
    <cellStyle name="Currency 2 2 2" xfId="131"/>
    <cellStyle name="Currency 2 3" xfId="132"/>
    <cellStyle name="Currency 2 3 2" xfId="133"/>
    <cellStyle name="Currency 2 6" xfId="134"/>
    <cellStyle name="Currency 2 6 2" xfId="135"/>
    <cellStyle name="Currency 3" xfId="136"/>
    <cellStyle name="Currency 3 2" xfId="137"/>
    <cellStyle name="Currency 3 3" xfId="138"/>
    <cellStyle name="Currency 3 4" xfId="139"/>
    <cellStyle name="Currency 4" xfId="140"/>
    <cellStyle name="Currency 4 2" xfId="141"/>
    <cellStyle name="Currency 5" xfId="142"/>
    <cellStyle name="Currency 5 2" xfId="143"/>
    <cellStyle name="Currency 5 3" xfId="144"/>
    <cellStyle name="Currency 6" xfId="145"/>
    <cellStyle name="Currency 7" xfId="146"/>
    <cellStyle name="Currency 8" xfId="147"/>
    <cellStyle name="Currency 9" xfId="148"/>
    <cellStyle name="Data Enter" xfId="149"/>
    <cellStyle name="date" xfId="150"/>
    <cellStyle name="Explanatory Text 2" xfId="151"/>
    <cellStyle name="Explanatory Text 3" xfId="152"/>
    <cellStyle name="FactSheet" xfId="153"/>
    <cellStyle name="fish" xfId="154"/>
    <cellStyle name="Good 2" xfId="155"/>
    <cellStyle name="Good 3" xfId="156"/>
    <cellStyle name="Heading 1 2" xfId="157"/>
    <cellStyle name="Heading 1 2 2" xfId="158"/>
    <cellStyle name="Heading 1 3" xfId="159"/>
    <cellStyle name="Heading 1 3 2" xfId="160"/>
    <cellStyle name="Heading 2 2" xfId="161"/>
    <cellStyle name="Heading 2 2 2" xfId="162"/>
    <cellStyle name="Heading 2 3" xfId="163"/>
    <cellStyle name="Heading 2 3 2" xfId="164"/>
    <cellStyle name="Heading 3 2" xfId="165"/>
    <cellStyle name="Heading 3 2 2" xfId="166"/>
    <cellStyle name="Heading 3 3" xfId="167"/>
    <cellStyle name="Heading 3 3 2" xfId="168"/>
    <cellStyle name="Heading 4 2" xfId="169"/>
    <cellStyle name="Heading 4 3" xfId="170"/>
    <cellStyle name="Hyperlink 2" xfId="171"/>
    <cellStyle name="Hyperlink 3" xfId="172"/>
    <cellStyle name="Hyperlink 3 2" xfId="173"/>
    <cellStyle name="Input 2" xfId="174"/>
    <cellStyle name="Input 3" xfId="175"/>
    <cellStyle name="input(0)" xfId="176"/>
    <cellStyle name="Input(2)" xfId="177"/>
    <cellStyle name="Linked Cell 2" xfId="178"/>
    <cellStyle name="Linked Cell 2 2" xfId="179"/>
    <cellStyle name="Linked Cell 3" xfId="180"/>
    <cellStyle name="Neutral 2" xfId="181"/>
    <cellStyle name="Neutral 2 2" xfId="182"/>
    <cellStyle name="Neutral 3" xfId="183"/>
    <cellStyle name="New_normal" xfId="184"/>
    <cellStyle name="Normal" xfId="0" builtinId="0"/>
    <cellStyle name="Normal - Style1" xfId="185"/>
    <cellStyle name="Normal - Style2" xfId="186"/>
    <cellStyle name="Normal - Style3" xfId="187"/>
    <cellStyle name="Normal - Style4" xfId="188"/>
    <cellStyle name="Normal - Style5" xfId="189"/>
    <cellStyle name="Normal 10" xfId="190"/>
    <cellStyle name="Normal 10 2" xfId="191"/>
    <cellStyle name="Normal 10 2 2" xfId="192"/>
    <cellStyle name="Normal 10 2 3" xfId="193"/>
    <cellStyle name="Normal 10_2112 DF Schedule" xfId="194"/>
    <cellStyle name="Normal 100" xfId="195"/>
    <cellStyle name="Normal 101" xfId="196"/>
    <cellStyle name="Normal 102" xfId="197"/>
    <cellStyle name="Normal 103" xfId="198"/>
    <cellStyle name="Normal 104" xfId="199"/>
    <cellStyle name="Normal 105" xfId="200"/>
    <cellStyle name="Normal 106" xfId="201"/>
    <cellStyle name="Normal 107" xfId="202"/>
    <cellStyle name="Normal 108" xfId="203"/>
    <cellStyle name="Normal 11" xfId="204"/>
    <cellStyle name="Normal 12" xfId="205"/>
    <cellStyle name="Normal 12 2" xfId="206"/>
    <cellStyle name="Normal 13" xfId="207"/>
    <cellStyle name="Normal 13 2" xfId="208"/>
    <cellStyle name="Normal 14" xfId="209"/>
    <cellStyle name="Normal 14 2" xfId="210"/>
    <cellStyle name="Normal 15" xfId="211"/>
    <cellStyle name="Normal 15 2" xfId="212"/>
    <cellStyle name="Normal 16" xfId="213"/>
    <cellStyle name="Normal 16 2" xfId="214"/>
    <cellStyle name="Normal 17" xfId="215"/>
    <cellStyle name="Normal 17 2" xfId="216"/>
    <cellStyle name="Normal 18" xfId="217"/>
    <cellStyle name="Normal 18 2" xfId="218"/>
    <cellStyle name="Normal 19" xfId="219"/>
    <cellStyle name="Normal 19 2" xfId="220"/>
    <cellStyle name="Normal 2" xfId="221"/>
    <cellStyle name="Normal 2 2" xfId="222"/>
    <cellStyle name="Normal 2 2 2" xfId="223"/>
    <cellStyle name="Normal 2 2 3" xfId="224"/>
    <cellStyle name="Normal 2 2_Actual_Fuel" xfId="225"/>
    <cellStyle name="Normal 2 3" xfId="226"/>
    <cellStyle name="Normal 2 3 2" xfId="227"/>
    <cellStyle name="Normal 2 3 3" xfId="228"/>
    <cellStyle name="Normal 2 4" xfId="229"/>
    <cellStyle name="Normal 2 5" xfId="230"/>
    <cellStyle name="Normal 2_2012-10" xfId="231"/>
    <cellStyle name="Normal 20" xfId="232"/>
    <cellStyle name="Normal 21" xfId="233"/>
    <cellStyle name="Normal 22" xfId="234"/>
    <cellStyle name="Normal 23" xfId="235"/>
    <cellStyle name="Normal 24" xfId="236"/>
    <cellStyle name="Normal 25" xfId="237"/>
    <cellStyle name="Normal 26" xfId="238"/>
    <cellStyle name="Normal 27" xfId="239"/>
    <cellStyle name="Normal 28" xfId="240"/>
    <cellStyle name="Normal 29" xfId="241"/>
    <cellStyle name="Normal 3" xfId="242"/>
    <cellStyle name="Normal 3 2" xfId="243"/>
    <cellStyle name="Normal 3 3" xfId="244"/>
    <cellStyle name="Normal 3 4" xfId="245"/>
    <cellStyle name="Normal 3_2012 PR" xfId="246"/>
    <cellStyle name="Normal 30" xfId="247"/>
    <cellStyle name="Normal 31" xfId="248"/>
    <cellStyle name="Normal 32" xfId="249"/>
    <cellStyle name="Normal 33" xfId="250"/>
    <cellStyle name="Normal 34" xfId="251"/>
    <cellStyle name="Normal 35" xfId="252"/>
    <cellStyle name="Normal 36" xfId="253"/>
    <cellStyle name="Normal 37" xfId="254"/>
    <cellStyle name="Normal 38" xfId="255"/>
    <cellStyle name="Normal 39" xfId="256"/>
    <cellStyle name="Normal 4" xfId="257"/>
    <cellStyle name="Normal 4 2" xfId="258"/>
    <cellStyle name="Normal 40" xfId="259"/>
    <cellStyle name="Normal 41" xfId="260"/>
    <cellStyle name="Normal 42" xfId="261"/>
    <cellStyle name="Normal 43" xfId="262"/>
    <cellStyle name="Normal 44" xfId="263"/>
    <cellStyle name="Normal 45" xfId="264"/>
    <cellStyle name="Normal 46" xfId="265"/>
    <cellStyle name="Normal 47" xfId="266"/>
    <cellStyle name="Normal 48" xfId="267"/>
    <cellStyle name="Normal 49" xfId="268"/>
    <cellStyle name="Normal 5" xfId="269"/>
    <cellStyle name="Normal 5 2" xfId="270"/>
    <cellStyle name="Normal 5_2112 DF Schedule" xfId="271"/>
    <cellStyle name="Normal 50" xfId="272"/>
    <cellStyle name="Normal 51" xfId="273"/>
    <cellStyle name="Normal 52" xfId="274"/>
    <cellStyle name="Normal 53" xfId="275"/>
    <cellStyle name="Normal 54" xfId="276"/>
    <cellStyle name="Normal 55" xfId="277"/>
    <cellStyle name="Normal 56" xfId="278"/>
    <cellStyle name="Normal 57" xfId="279"/>
    <cellStyle name="Normal 58" xfId="280"/>
    <cellStyle name="Normal 59" xfId="281"/>
    <cellStyle name="Normal 6" xfId="282"/>
    <cellStyle name="Normal 6 2" xfId="283"/>
    <cellStyle name="Normal 60" xfId="284"/>
    <cellStyle name="Normal 61" xfId="285"/>
    <cellStyle name="Normal 62" xfId="286"/>
    <cellStyle name="Normal 63" xfId="287"/>
    <cellStyle name="Normal 64" xfId="288"/>
    <cellStyle name="Normal 65" xfId="289"/>
    <cellStyle name="Normal 66" xfId="290"/>
    <cellStyle name="Normal 67" xfId="291"/>
    <cellStyle name="Normal 68" xfId="292"/>
    <cellStyle name="Normal 69" xfId="293"/>
    <cellStyle name="Normal 7" xfId="294"/>
    <cellStyle name="Normal 70" xfId="295"/>
    <cellStyle name="Normal 71" xfId="296"/>
    <cellStyle name="Normal 72" xfId="297"/>
    <cellStyle name="Normal 73" xfId="298"/>
    <cellStyle name="Normal 74" xfId="299"/>
    <cellStyle name="Normal 75" xfId="300"/>
    <cellStyle name="Normal 76" xfId="301"/>
    <cellStyle name="Normal 77" xfId="302"/>
    <cellStyle name="Normal 78" xfId="303"/>
    <cellStyle name="Normal 79" xfId="304"/>
    <cellStyle name="Normal 8" xfId="305"/>
    <cellStyle name="Normal 80" xfId="306"/>
    <cellStyle name="Normal 81" xfId="307"/>
    <cellStyle name="Normal 82" xfId="308"/>
    <cellStyle name="Normal 83" xfId="309"/>
    <cellStyle name="Normal 84" xfId="310"/>
    <cellStyle name="Normal 84 2" xfId="311"/>
    <cellStyle name="Normal 84 3" xfId="312"/>
    <cellStyle name="Normal 85" xfId="313"/>
    <cellStyle name="Normal 86" xfId="314"/>
    <cellStyle name="Normal 87" xfId="315"/>
    <cellStyle name="Normal 88" xfId="316"/>
    <cellStyle name="Normal 89" xfId="317"/>
    <cellStyle name="Normal 9" xfId="318"/>
    <cellStyle name="Normal 90" xfId="319"/>
    <cellStyle name="Normal 91" xfId="320"/>
    <cellStyle name="Normal 92" xfId="321"/>
    <cellStyle name="Normal 93" xfId="322"/>
    <cellStyle name="Normal 94" xfId="323"/>
    <cellStyle name="Normal 95" xfId="324"/>
    <cellStyle name="Normal 96" xfId="325"/>
    <cellStyle name="Normal 97" xfId="326"/>
    <cellStyle name="Normal 98" xfId="327"/>
    <cellStyle name="Normal 99" xfId="328"/>
    <cellStyle name="Normal_Murrey's Jan-Dec 2012" xfId="329"/>
    <cellStyle name="Normal_Price out" xfId="330"/>
    <cellStyle name="Note 2" xfId="331"/>
    <cellStyle name="Note 2 2" xfId="332"/>
    <cellStyle name="Note 3" xfId="333"/>
    <cellStyle name="Note 3 2" xfId="334"/>
    <cellStyle name="Notes" xfId="335"/>
    <cellStyle name="Output 2" xfId="336"/>
    <cellStyle name="Output 3" xfId="337"/>
    <cellStyle name="Percent" xfId="338" builtinId="5"/>
    <cellStyle name="Percent 2" xfId="339"/>
    <cellStyle name="Percent 2 2" xfId="340"/>
    <cellStyle name="Percent 2 2 2" xfId="341"/>
    <cellStyle name="Percent 2 3" xfId="342"/>
    <cellStyle name="Percent 2 6" xfId="343"/>
    <cellStyle name="Percent 3" xfId="344"/>
    <cellStyle name="Percent 3 2" xfId="345"/>
    <cellStyle name="Percent 4" xfId="346"/>
    <cellStyle name="Percent 4 2" xfId="347"/>
    <cellStyle name="Percent 4 3" xfId="348"/>
    <cellStyle name="Percent 5" xfId="349"/>
    <cellStyle name="Percent 6" xfId="350"/>
    <cellStyle name="Percent 7" xfId="351"/>
    <cellStyle name="Percent 7 2" xfId="352"/>
    <cellStyle name="Percent 7 3" xfId="353"/>
    <cellStyle name="Percent 8" xfId="354"/>
    <cellStyle name="Percent 9" xfId="355"/>
    <cellStyle name="Percent(1)" xfId="356"/>
    <cellStyle name="Percent(2)" xfId="357"/>
    <cellStyle name="PRM" xfId="358"/>
    <cellStyle name="PRM 2" xfId="359"/>
    <cellStyle name="PRM 3" xfId="360"/>
    <cellStyle name="PRM_2011-11" xfId="361"/>
    <cellStyle name="PS_Comma" xfId="362"/>
    <cellStyle name="PSChar" xfId="363"/>
    <cellStyle name="PSDate" xfId="364"/>
    <cellStyle name="PSDec" xfId="365"/>
    <cellStyle name="PSHeading" xfId="366"/>
    <cellStyle name="PSInt" xfId="367"/>
    <cellStyle name="PSSpacer" xfId="368"/>
    <cellStyle name="STYL0 - Style1" xfId="369"/>
    <cellStyle name="STYL1 - Style2" xfId="370"/>
    <cellStyle name="STYL2 - Style3" xfId="371"/>
    <cellStyle name="STYL3 - Style4" xfId="372"/>
    <cellStyle name="STYL4 - Style5" xfId="373"/>
    <cellStyle name="STYL5 - Style6" xfId="374"/>
    <cellStyle name="STYL6 - Style7" xfId="375"/>
    <cellStyle name="STYL7 - Style8" xfId="376"/>
    <cellStyle name="Style 1" xfId="377"/>
    <cellStyle name="Style 1 2" xfId="378"/>
    <cellStyle name="STYLE1" xfId="379"/>
    <cellStyle name="sub heading" xfId="380"/>
    <cellStyle name="Title 2" xfId="381"/>
    <cellStyle name="Title 3" xfId="382"/>
    <cellStyle name="Total 2" xfId="383"/>
    <cellStyle name="Total 2 2" xfId="384"/>
    <cellStyle name="Total 3" xfId="385"/>
    <cellStyle name="Total 3 2" xfId="386"/>
    <cellStyle name="Warning Text 2" xfId="387"/>
    <cellStyle name="Warning Text 3" xfId="388"/>
    <cellStyle name="WM_STANDARD" xfId="3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Client%20Data/Basin%20Disposal%20of%20Walla%20Walla/11-15-16%20WUTC%20Rate%20Filing/Items%20sent%20to%20UTC%2011-18-16/Basin%20of%20Walla%20Walla-Rate%20Calculations%2011-18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Calculations"/>
    </sheetNames>
    <sheetDataSet>
      <sheetData sheetId="0">
        <row r="27">
          <cell r="B27">
            <v>175</v>
          </cell>
        </row>
        <row r="49">
          <cell r="C49">
            <v>1.2500000000000011E-3</v>
          </cell>
        </row>
        <row r="52">
          <cell r="G52">
            <v>0.98099999999999998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79"/>
  <sheetViews>
    <sheetView topLeftCell="A26" workbookViewId="0">
      <selection activeCell="B60" sqref="B60"/>
    </sheetView>
  </sheetViews>
  <sheetFormatPr defaultRowHeight="15"/>
  <cols>
    <col min="1" max="1" width="36.28515625" style="3" bestFit="1" customWidth="1"/>
    <col min="2" max="2" width="19" style="3" bestFit="1" customWidth="1"/>
    <col min="3" max="3" width="16" style="3" bestFit="1" customWidth="1"/>
    <col min="4" max="4" width="10.5703125" style="3" bestFit="1" customWidth="1"/>
    <col min="5" max="5" width="7" style="3" bestFit="1" customWidth="1"/>
    <col min="6" max="6" width="11.42578125" style="3" bestFit="1" customWidth="1"/>
    <col min="7" max="7" width="10" style="3" bestFit="1" customWidth="1"/>
    <col min="8" max="8" width="8" style="3" bestFit="1" customWidth="1"/>
    <col min="9" max="9" width="15.85546875" style="3" bestFit="1" customWidth="1"/>
    <col min="10" max="10" width="12" style="3" bestFit="1" customWidth="1"/>
    <col min="11" max="16384" width="9.140625" style="3"/>
  </cols>
  <sheetData>
    <row r="1" spans="1:8">
      <c r="A1" s="188" t="s">
        <v>18</v>
      </c>
      <c r="B1" s="188"/>
      <c r="C1" s="188"/>
      <c r="D1" s="188"/>
      <c r="E1" s="188"/>
      <c r="F1" s="188"/>
      <c r="G1" s="188"/>
      <c r="H1" s="188"/>
    </row>
    <row r="2" spans="1:8">
      <c r="A2" s="3" t="s">
        <v>54</v>
      </c>
      <c r="B2" s="17" t="s">
        <v>40</v>
      </c>
      <c r="C2" s="17" t="s">
        <v>41</v>
      </c>
      <c r="D2" s="17" t="s">
        <v>42</v>
      </c>
      <c r="E2" s="18" t="s">
        <v>45</v>
      </c>
      <c r="F2" s="18" t="s">
        <v>46</v>
      </c>
      <c r="G2" s="18" t="s">
        <v>47</v>
      </c>
      <c r="H2" s="17" t="s">
        <v>50</v>
      </c>
    </row>
    <row r="3" spans="1:8">
      <c r="A3" s="3" t="s">
        <v>51</v>
      </c>
      <c r="B3" s="1">
        <f>52*5/12</f>
        <v>21.666666666666668</v>
      </c>
      <c r="C3" s="19">
        <f>$B$3*2</f>
        <v>43.333333333333336</v>
      </c>
      <c r="D3" s="19">
        <f>$B$3*3</f>
        <v>65</v>
      </c>
      <c r="E3" s="19">
        <f>$B$3*4</f>
        <v>86.666666666666671</v>
      </c>
      <c r="F3" s="19">
        <f>$B$3*5</f>
        <v>108.33333333333334</v>
      </c>
      <c r="G3" s="19">
        <f>$B$3*6</f>
        <v>130</v>
      </c>
      <c r="H3" s="19">
        <f>$B$3*7</f>
        <v>151.66666666666669</v>
      </c>
    </row>
    <row r="4" spans="1:8">
      <c r="A4" s="3" t="s">
        <v>87</v>
      </c>
      <c r="B4" s="1">
        <f>52*4/12</f>
        <v>17.333333333333332</v>
      </c>
      <c r="C4" s="19">
        <f>$B$4*2</f>
        <v>34.666666666666664</v>
      </c>
      <c r="D4" s="19">
        <f>$B$4*3</f>
        <v>52</v>
      </c>
      <c r="E4" s="19">
        <f>$B$4*4</f>
        <v>69.333333333333329</v>
      </c>
      <c r="F4" s="19">
        <f>$B$4*5</f>
        <v>86.666666666666657</v>
      </c>
      <c r="G4" s="19">
        <f>$B$4*6</f>
        <v>104</v>
      </c>
      <c r="H4" s="19">
        <f>$B$4*7</f>
        <v>121.33333333333333</v>
      </c>
    </row>
    <row r="5" spans="1:8">
      <c r="A5" s="3" t="s">
        <v>52</v>
      </c>
      <c r="B5" s="1">
        <f>52*3/12</f>
        <v>13</v>
      </c>
      <c r="C5" s="19">
        <f>$B$5*2</f>
        <v>26</v>
      </c>
      <c r="D5" s="19">
        <f>$B$5*3</f>
        <v>39</v>
      </c>
      <c r="E5" s="19">
        <f>$B$5*4</f>
        <v>52</v>
      </c>
      <c r="F5" s="19">
        <f>$B$5*5</f>
        <v>65</v>
      </c>
      <c r="G5" s="19">
        <f>$B$5*6</f>
        <v>78</v>
      </c>
      <c r="H5" s="19">
        <f>$B$5*7</f>
        <v>91</v>
      </c>
    </row>
    <row r="6" spans="1:8">
      <c r="A6" s="3" t="s">
        <v>53</v>
      </c>
      <c r="B6" s="1">
        <f>52*2/12</f>
        <v>8.6666666666666661</v>
      </c>
      <c r="C6" s="20">
        <f>$B$6*2</f>
        <v>17.333333333333332</v>
      </c>
      <c r="D6" s="20">
        <f>$B$6*3</f>
        <v>26</v>
      </c>
      <c r="E6" s="20">
        <f>$B$6*4</f>
        <v>34.666666666666664</v>
      </c>
      <c r="F6" s="20">
        <f>$B$6*5</f>
        <v>43.333333333333329</v>
      </c>
      <c r="G6" s="20">
        <f>$B$6*6</f>
        <v>52</v>
      </c>
      <c r="H6" s="20">
        <f>$B$6*7</f>
        <v>60.666666666666664</v>
      </c>
    </row>
    <row r="7" spans="1:8">
      <c r="A7" s="3" t="s">
        <v>21</v>
      </c>
      <c r="B7" s="1">
        <f>52/12</f>
        <v>4.333333333333333</v>
      </c>
      <c r="C7" s="20">
        <f>$B$7*2</f>
        <v>8.6666666666666661</v>
      </c>
      <c r="D7" s="20">
        <f>$B$7*3</f>
        <v>13</v>
      </c>
      <c r="E7" s="20">
        <f>$B$7*4</f>
        <v>17.333333333333332</v>
      </c>
      <c r="F7" s="20">
        <f>$B$7*5</f>
        <v>21.666666666666664</v>
      </c>
      <c r="G7" s="20">
        <f>$B$7*6</f>
        <v>26</v>
      </c>
      <c r="H7" s="20">
        <f>$B$7*7</f>
        <v>30.333333333333332</v>
      </c>
    </row>
    <row r="8" spans="1:8">
      <c r="A8" s="3" t="s">
        <v>23</v>
      </c>
      <c r="B8" s="1">
        <f>26/12</f>
        <v>2.1666666666666665</v>
      </c>
      <c r="C8" s="20">
        <f>$B$8*2</f>
        <v>4.333333333333333</v>
      </c>
      <c r="D8" s="20">
        <f>$B$8*3</f>
        <v>6.5</v>
      </c>
      <c r="E8" s="20">
        <f>$B$8*4</f>
        <v>8.6666666666666661</v>
      </c>
      <c r="F8" s="20">
        <f>$B$8*5</f>
        <v>10.833333333333332</v>
      </c>
      <c r="G8" s="20">
        <f>$B$8*6</f>
        <v>13</v>
      </c>
      <c r="H8" s="20">
        <f>$B$8*7</f>
        <v>15.166666666666666</v>
      </c>
    </row>
    <row r="9" spans="1:8">
      <c r="A9" s="3" t="s">
        <v>22</v>
      </c>
      <c r="B9" s="1">
        <f>12/12</f>
        <v>1</v>
      </c>
      <c r="C9" s="20">
        <f>$B$9*2</f>
        <v>2</v>
      </c>
      <c r="D9" s="20">
        <f>$B$9*3</f>
        <v>3</v>
      </c>
      <c r="E9" s="20">
        <f>$B$9*4</f>
        <v>4</v>
      </c>
      <c r="F9" s="20">
        <f>$B$9*5</f>
        <v>5</v>
      </c>
      <c r="G9" s="20">
        <f>$B$9*6</f>
        <v>6</v>
      </c>
      <c r="H9" s="20">
        <f>$B$9*7</f>
        <v>7</v>
      </c>
    </row>
    <row r="10" spans="1:8">
      <c r="B10" s="1"/>
      <c r="C10" s="20"/>
      <c r="D10" s="20"/>
      <c r="E10" s="20"/>
      <c r="F10" s="20"/>
      <c r="G10" s="20"/>
      <c r="H10" s="20"/>
    </row>
    <row r="11" spans="1:8">
      <c r="A11" s="188" t="s">
        <v>10</v>
      </c>
      <c r="B11" s="188"/>
      <c r="C11" s="20"/>
      <c r="D11" s="20"/>
      <c r="E11" s="20"/>
      <c r="F11" s="20"/>
      <c r="G11" s="20"/>
      <c r="H11" s="20"/>
    </row>
    <row r="12" spans="1:8">
      <c r="A12" s="2" t="s">
        <v>49</v>
      </c>
      <c r="B12" s="30" t="s">
        <v>79</v>
      </c>
      <c r="C12" s="20"/>
      <c r="D12" s="20"/>
      <c r="E12" s="20"/>
      <c r="F12" s="20"/>
      <c r="G12" s="20"/>
      <c r="H12" s="20"/>
    </row>
    <row r="13" spans="1:8">
      <c r="A13" s="21" t="s">
        <v>80</v>
      </c>
      <c r="B13" s="13">
        <v>20</v>
      </c>
      <c r="C13" s="20"/>
      <c r="D13" s="20"/>
      <c r="E13" s="20"/>
      <c r="F13" s="20"/>
      <c r="G13" s="20"/>
      <c r="H13" s="20"/>
    </row>
    <row r="14" spans="1:8">
      <c r="A14" s="21" t="s">
        <v>55</v>
      </c>
      <c r="B14" s="13">
        <v>34</v>
      </c>
      <c r="C14" s="20"/>
      <c r="D14" s="20"/>
      <c r="E14" s="20"/>
      <c r="F14" s="20"/>
      <c r="G14" s="20"/>
      <c r="H14" s="20"/>
    </row>
    <row r="15" spans="1:8">
      <c r="A15" s="21" t="s">
        <v>56</v>
      </c>
      <c r="B15" s="13">
        <v>51</v>
      </c>
      <c r="C15" s="20"/>
      <c r="D15" s="20"/>
      <c r="E15" s="20"/>
      <c r="F15" s="20"/>
      <c r="G15" s="20"/>
      <c r="H15" s="20"/>
    </row>
    <row r="16" spans="1:8">
      <c r="A16" s="21" t="s">
        <v>57</v>
      </c>
      <c r="B16" s="13">
        <v>77</v>
      </c>
      <c r="C16" s="20"/>
      <c r="D16" s="20"/>
      <c r="E16" s="20"/>
      <c r="F16" s="3" t="s">
        <v>19</v>
      </c>
      <c r="G16" s="13">
        <v>2000</v>
      </c>
      <c r="H16" s="20"/>
    </row>
    <row r="17" spans="1:8">
      <c r="A17" s="21" t="s">
        <v>58</v>
      </c>
      <c r="B17" s="13">
        <v>97</v>
      </c>
      <c r="C17" s="20"/>
      <c r="D17" s="20"/>
      <c r="E17" s="20"/>
      <c r="F17" s="3" t="s">
        <v>20</v>
      </c>
      <c r="G17" s="22" t="s">
        <v>43</v>
      </c>
      <c r="H17" s="20"/>
    </row>
    <row r="18" spans="1:8">
      <c r="A18" s="21" t="s">
        <v>59</v>
      </c>
      <c r="B18" s="13">
        <v>117</v>
      </c>
      <c r="C18" s="20"/>
      <c r="D18" s="20"/>
      <c r="E18" s="20"/>
      <c r="H18" s="20"/>
    </row>
    <row r="19" spans="1:8">
      <c r="A19" s="21" t="s">
        <v>60</v>
      </c>
      <c r="B19" s="13">
        <v>157</v>
      </c>
      <c r="C19" s="20"/>
      <c r="D19" s="20"/>
      <c r="E19" s="20"/>
      <c r="F19" s="15"/>
      <c r="G19" s="16"/>
      <c r="H19" s="20"/>
    </row>
    <row r="20" spans="1:8">
      <c r="A20" s="21" t="s">
        <v>96</v>
      </c>
      <c r="B20" s="13">
        <v>37</v>
      </c>
      <c r="C20" s="20" t="s">
        <v>81</v>
      </c>
      <c r="D20" s="20"/>
      <c r="E20" s="20"/>
      <c r="F20" s="15"/>
      <c r="G20" s="16"/>
      <c r="H20" s="20"/>
    </row>
    <row r="21" spans="1:8">
      <c r="A21" s="21" t="s">
        <v>61</v>
      </c>
      <c r="B21" s="13">
        <v>47</v>
      </c>
      <c r="C21" s="20"/>
      <c r="D21" s="20"/>
      <c r="E21" s="20"/>
      <c r="F21" s="20"/>
      <c r="G21" s="20"/>
      <c r="H21" s="20"/>
    </row>
    <row r="22" spans="1:8">
      <c r="A22" s="21" t="s">
        <v>62</v>
      </c>
      <c r="B22" s="13">
        <v>68</v>
      </c>
      <c r="C22" s="20"/>
      <c r="D22" s="20"/>
      <c r="E22" s="20"/>
      <c r="F22" s="20"/>
      <c r="G22" s="20"/>
      <c r="H22" s="20"/>
    </row>
    <row r="23" spans="1:8">
      <c r="A23" s="21" t="s">
        <v>63</v>
      </c>
      <c r="B23" s="13">
        <v>34</v>
      </c>
      <c r="C23" s="20"/>
      <c r="D23" s="20"/>
      <c r="E23" s="20"/>
      <c r="F23" s="20"/>
      <c r="G23" s="20"/>
      <c r="H23" s="20"/>
    </row>
    <row r="24" spans="1:8">
      <c r="A24" s="21" t="s">
        <v>31</v>
      </c>
      <c r="B24" s="13">
        <v>34</v>
      </c>
      <c r="C24" s="20"/>
      <c r="D24" s="20"/>
      <c r="E24" s="20"/>
      <c r="F24" s="20"/>
      <c r="G24" s="20"/>
      <c r="H24" s="20"/>
    </row>
    <row r="25" spans="1:8">
      <c r="A25" s="2" t="s">
        <v>64</v>
      </c>
      <c r="B25" s="13"/>
      <c r="C25" s="20"/>
      <c r="D25" s="20"/>
      <c r="E25" s="20"/>
      <c r="F25" s="20"/>
      <c r="G25" s="20"/>
      <c r="H25" s="20"/>
    </row>
    <row r="26" spans="1:8">
      <c r="A26" s="21" t="s">
        <v>65</v>
      </c>
      <c r="B26" s="13">
        <v>29</v>
      </c>
      <c r="C26" s="20"/>
      <c r="D26" s="20"/>
      <c r="E26" s="20"/>
      <c r="F26" s="20"/>
      <c r="G26" s="20"/>
      <c r="H26" s="20"/>
    </row>
    <row r="27" spans="1:8">
      <c r="A27" s="21" t="s">
        <v>66</v>
      </c>
      <c r="B27" s="13">
        <v>175</v>
      </c>
      <c r="C27" s="20"/>
      <c r="D27" s="20"/>
      <c r="E27" s="20"/>
      <c r="F27" s="20"/>
      <c r="G27" s="20"/>
      <c r="H27" s="20"/>
    </row>
    <row r="28" spans="1:8">
      <c r="A28" s="21" t="s">
        <v>67</v>
      </c>
      <c r="B28" s="13">
        <v>250</v>
      </c>
      <c r="C28" s="20"/>
      <c r="D28" s="20"/>
      <c r="E28" s="20"/>
      <c r="F28" s="20"/>
      <c r="G28" s="20"/>
      <c r="H28" s="20"/>
    </row>
    <row r="29" spans="1:8">
      <c r="A29" s="21" t="s">
        <v>68</v>
      </c>
      <c r="B29" s="13">
        <v>324</v>
      </c>
      <c r="C29" s="20"/>
      <c r="D29" s="20"/>
      <c r="E29" s="20"/>
      <c r="F29" s="20"/>
      <c r="G29" s="20"/>
      <c r="H29" s="20"/>
    </row>
    <row r="30" spans="1:8">
      <c r="A30" s="21" t="s">
        <v>69</v>
      </c>
      <c r="B30" s="13">
        <v>473</v>
      </c>
      <c r="C30" s="20"/>
      <c r="D30" s="20"/>
      <c r="E30" s="20"/>
      <c r="F30" s="20"/>
      <c r="G30" s="20"/>
      <c r="H30" s="20"/>
    </row>
    <row r="31" spans="1:8">
      <c r="A31" s="21" t="s">
        <v>70</v>
      </c>
      <c r="B31" s="13">
        <v>613</v>
      </c>
      <c r="C31" s="20"/>
      <c r="D31" s="20"/>
      <c r="E31" s="20"/>
      <c r="F31" s="20"/>
      <c r="G31" s="20"/>
      <c r="H31" s="20"/>
    </row>
    <row r="32" spans="1:8">
      <c r="A32" s="21" t="s">
        <v>71</v>
      </c>
      <c r="B32" s="13">
        <v>840</v>
      </c>
      <c r="C32" s="20"/>
      <c r="D32" s="20"/>
      <c r="E32" s="20"/>
      <c r="F32" s="20"/>
      <c r="G32" s="20"/>
      <c r="H32" s="20"/>
    </row>
    <row r="33" spans="1:8">
      <c r="A33" s="21" t="s">
        <v>72</v>
      </c>
      <c r="B33" s="13">
        <v>980</v>
      </c>
      <c r="C33" s="20"/>
      <c r="D33" s="20"/>
      <c r="E33" s="20"/>
      <c r="F33" s="20"/>
      <c r="G33" s="20"/>
      <c r="H33" s="20"/>
    </row>
    <row r="34" spans="1:8">
      <c r="A34" s="21" t="s">
        <v>88</v>
      </c>
      <c r="B34" s="13">
        <v>482</v>
      </c>
      <c r="C34" s="20" t="s">
        <v>81</v>
      </c>
      <c r="D34" s="20"/>
      <c r="E34" s="20"/>
      <c r="F34" s="20"/>
      <c r="G34" s="20"/>
      <c r="H34" s="20"/>
    </row>
    <row r="35" spans="1:8">
      <c r="A35" s="21" t="s">
        <v>89</v>
      </c>
      <c r="B35" s="13">
        <v>689</v>
      </c>
      <c r="C35" s="20" t="s">
        <v>81</v>
      </c>
      <c r="D35" s="20"/>
      <c r="E35" s="20"/>
      <c r="F35" s="20"/>
      <c r="G35" s="20"/>
      <c r="H35" s="20"/>
    </row>
    <row r="36" spans="1:8">
      <c r="A36" s="21" t="s">
        <v>74</v>
      </c>
      <c r="B36" s="13">
        <v>892</v>
      </c>
      <c r="C36" s="20" t="s">
        <v>81</v>
      </c>
      <c r="D36" s="20"/>
      <c r="E36" s="20"/>
      <c r="F36" s="20"/>
      <c r="G36" s="20"/>
      <c r="H36" s="20"/>
    </row>
    <row r="37" spans="1:8">
      <c r="A37" s="21" t="s">
        <v>73</v>
      </c>
      <c r="B37" s="13">
        <v>1301</v>
      </c>
      <c r="C37" s="20"/>
      <c r="D37" s="20"/>
      <c r="E37" s="20"/>
      <c r="F37" s="20"/>
      <c r="G37" s="20"/>
      <c r="H37" s="20"/>
    </row>
    <row r="38" spans="1:8">
      <c r="A38" s="21" t="s">
        <v>75</v>
      </c>
      <c r="B38" s="13">
        <v>1686</v>
      </c>
      <c r="C38" s="20"/>
      <c r="D38" s="20"/>
      <c r="E38" s="20"/>
      <c r="F38" s="20"/>
      <c r="G38" s="20"/>
      <c r="H38" s="20"/>
    </row>
    <row r="39" spans="1:8">
      <c r="A39" s="21" t="s">
        <v>76</v>
      </c>
      <c r="B39" s="13">
        <v>2046</v>
      </c>
      <c r="C39" s="20"/>
      <c r="D39" s="20"/>
      <c r="E39" s="20"/>
      <c r="F39" s="20"/>
      <c r="G39" s="20"/>
      <c r="H39" s="20"/>
    </row>
    <row r="40" spans="1:8">
      <c r="A40" s="21" t="s">
        <v>77</v>
      </c>
      <c r="B40" s="13">
        <v>2310</v>
      </c>
      <c r="C40" s="20"/>
      <c r="D40" s="20"/>
      <c r="E40" s="20"/>
      <c r="F40" s="20"/>
      <c r="G40" s="20"/>
      <c r="H40" s="20"/>
    </row>
    <row r="41" spans="1:8">
      <c r="A41" s="21" t="s">
        <v>90</v>
      </c>
      <c r="B41" s="13">
        <v>2800</v>
      </c>
      <c r="C41" s="20" t="s">
        <v>81</v>
      </c>
      <c r="D41" s="20"/>
      <c r="E41" s="20"/>
      <c r="F41" s="20"/>
      <c r="G41" s="20"/>
      <c r="H41" s="20"/>
    </row>
    <row r="42" spans="1:8">
      <c r="A42" s="21" t="s">
        <v>78</v>
      </c>
      <c r="B42" s="13">
        <v>125</v>
      </c>
      <c r="C42" s="20"/>
      <c r="D42" s="20"/>
      <c r="E42" s="20"/>
      <c r="F42" s="20"/>
      <c r="G42" s="20"/>
      <c r="H42" s="20"/>
    </row>
    <row r="43" spans="1:8">
      <c r="B43" s="190" t="s">
        <v>92</v>
      </c>
      <c r="C43" s="190"/>
    </row>
    <row r="46" spans="1:8">
      <c r="A46" s="29" t="s">
        <v>183</v>
      </c>
      <c r="B46" s="27" t="s">
        <v>5</v>
      </c>
      <c r="C46" s="27" t="s">
        <v>6</v>
      </c>
      <c r="F46" s="189" t="s">
        <v>26</v>
      </c>
      <c r="G46" s="189"/>
    </row>
    <row r="47" spans="1:8">
      <c r="A47" s="23" t="s">
        <v>7</v>
      </c>
      <c r="B47" s="7">
        <v>89.8</v>
      </c>
      <c r="C47" s="5">
        <f>B47/2000</f>
        <v>4.4899999999999995E-2</v>
      </c>
      <c r="D47" s="178">
        <f>+B48/B47</f>
        <v>1.0233853006681515</v>
      </c>
      <c r="F47" s="3" t="s">
        <v>27</v>
      </c>
      <c r="G47" s="9">
        <f>0.015</f>
        <v>1.4999999999999999E-2</v>
      </c>
    </row>
    <row r="48" spans="1:8">
      <c r="A48" s="23" t="s">
        <v>8</v>
      </c>
      <c r="B48" s="7">
        <v>91.9</v>
      </c>
      <c r="C48" s="8">
        <f>B48/2000</f>
        <v>4.5950000000000005E-2</v>
      </c>
      <c r="F48" s="3" t="s">
        <v>28</v>
      </c>
      <c r="G48" s="10">
        <f>0.004</f>
        <v>4.0000000000000001E-3</v>
      </c>
    </row>
    <row r="49" spans="1:7">
      <c r="A49" s="21" t="s">
        <v>9</v>
      </c>
      <c r="B49" s="6">
        <f>B48-B47</f>
        <v>2.1000000000000085</v>
      </c>
      <c r="C49" s="12">
        <f>C48-C47</f>
        <v>1.0500000000000093E-3</v>
      </c>
      <c r="F49" s="3" t="s">
        <v>48</v>
      </c>
      <c r="G49" s="11"/>
    </row>
    <row r="50" spans="1:7">
      <c r="F50" s="3" t="s">
        <v>16</v>
      </c>
      <c r="G50" s="24">
        <f>SUM(G47:G49)</f>
        <v>1.9E-2</v>
      </c>
    </row>
    <row r="51" spans="1:7">
      <c r="B51" s="28" t="s">
        <v>93</v>
      </c>
    </row>
    <row r="52" spans="1:7">
      <c r="A52" s="3" t="s">
        <v>3</v>
      </c>
      <c r="B52" s="25">
        <f>B49</f>
        <v>2.1000000000000085</v>
      </c>
      <c r="F52" s="3" t="s">
        <v>29</v>
      </c>
      <c r="G52" s="26">
        <f>1-G50</f>
        <v>0.98099999999999998</v>
      </c>
    </row>
    <row r="53" spans="1:7">
      <c r="A53" s="3" t="s">
        <v>25</v>
      </c>
      <c r="B53" s="25">
        <f>B52/$G$52</f>
        <v>2.1406727828746264</v>
      </c>
      <c r="C53" s="175"/>
    </row>
    <row r="54" spans="1:7">
      <c r="A54" s="3" t="s">
        <v>24</v>
      </c>
      <c r="B54" s="14">
        <f>Calculations!D123</f>
        <v>7564</v>
      </c>
    </row>
    <row r="55" spans="1:7">
      <c r="A55" s="2" t="s">
        <v>30</v>
      </c>
      <c r="B55" s="4">
        <f>B53*B54</f>
        <v>16192.048929663673</v>
      </c>
    </row>
    <row r="58" spans="1:7" ht="15.75" thickBot="1"/>
    <row r="59" spans="1:7">
      <c r="A59" s="93" t="s">
        <v>84</v>
      </c>
      <c r="B59" s="94" t="s">
        <v>82</v>
      </c>
      <c r="D59" s="25"/>
    </row>
    <row r="60" spans="1:7">
      <c r="A60" s="95" t="s">
        <v>83</v>
      </c>
      <c r="B60" s="96">
        <f>+Calculations!Q56</f>
        <v>16192.048929663912</v>
      </c>
    </row>
    <row r="61" spans="1:7">
      <c r="A61" s="95" t="s">
        <v>12</v>
      </c>
      <c r="B61" s="96">
        <f>B60-B55</f>
        <v>2.382876118645072E-10</v>
      </c>
    </row>
    <row r="62" spans="1:7">
      <c r="A62" s="95"/>
      <c r="B62" s="97"/>
    </row>
    <row r="63" spans="1:7">
      <c r="A63" s="98" t="s">
        <v>85</v>
      </c>
      <c r="B63" s="99" t="s">
        <v>82</v>
      </c>
    </row>
    <row r="64" spans="1:7">
      <c r="A64" s="95" t="s">
        <v>44</v>
      </c>
      <c r="B64" s="100">
        <f>Calculations!Q56</f>
        <v>16192.048929663912</v>
      </c>
    </row>
    <row r="65" spans="1:7" ht="15.75" thickBot="1">
      <c r="A65" s="101" t="s">
        <v>12</v>
      </c>
      <c r="B65" s="102">
        <f>B64-B55</f>
        <v>2.382876118645072E-10</v>
      </c>
      <c r="C65" s="25">
        <f>B61-B65</f>
        <v>0</v>
      </c>
    </row>
    <row r="69" spans="1:7">
      <c r="A69" s="181" t="s">
        <v>202</v>
      </c>
      <c r="B69" s="181"/>
      <c r="C69" s="181"/>
      <c r="D69" s="181"/>
      <c r="E69" s="181"/>
      <c r="F69" s="181"/>
      <c r="G69" s="181"/>
    </row>
    <row r="70" spans="1:7">
      <c r="A70" s="180" t="s">
        <v>183</v>
      </c>
      <c r="B70" s="180" t="s">
        <v>5</v>
      </c>
      <c r="C70" s="180" t="s">
        <v>6</v>
      </c>
      <c r="D70" s="181"/>
      <c r="E70" s="181"/>
      <c r="F70" s="191" t="s">
        <v>26</v>
      </c>
      <c r="G70" s="191"/>
    </row>
    <row r="71" spans="1:7">
      <c r="A71" s="181" t="s">
        <v>7</v>
      </c>
      <c r="B71" s="182">
        <v>85.3</v>
      </c>
      <c r="C71" s="183">
        <f>B71/2000</f>
        <v>4.265E-2</v>
      </c>
      <c r="D71" s="181"/>
      <c r="E71" s="181"/>
      <c r="F71" s="181" t="s">
        <v>27</v>
      </c>
      <c r="G71" s="181">
        <v>1.4999999999999999E-2</v>
      </c>
    </row>
    <row r="72" spans="1:7">
      <c r="A72" s="181" t="s">
        <v>8</v>
      </c>
      <c r="B72" s="182">
        <v>89.8</v>
      </c>
      <c r="C72" s="183">
        <f>B72/2000</f>
        <v>4.4899999999999995E-2</v>
      </c>
      <c r="D72" s="181"/>
      <c r="E72" s="181"/>
      <c r="F72" s="181" t="s">
        <v>28</v>
      </c>
      <c r="G72" s="181">
        <v>5.1000000000000004E-3</v>
      </c>
    </row>
    <row r="73" spans="1:7">
      <c r="A73" s="184" t="s">
        <v>9</v>
      </c>
      <c r="B73" s="185">
        <f>B72-B71</f>
        <v>4.5</v>
      </c>
      <c r="C73" s="186">
        <f>C72-C71</f>
        <v>2.2499999999999951E-3</v>
      </c>
      <c r="D73" s="181"/>
      <c r="E73" s="181"/>
      <c r="F73" s="181" t="s">
        <v>48</v>
      </c>
      <c r="G73" s="181">
        <v>0</v>
      </c>
    </row>
    <row r="74" spans="1:7">
      <c r="A74" s="181"/>
      <c r="B74" s="181"/>
      <c r="C74" s="181"/>
      <c r="D74" s="181"/>
      <c r="E74" s="181"/>
      <c r="F74" s="184" t="s">
        <v>16</v>
      </c>
      <c r="G74" s="184">
        <f>SUM(G71:G73)</f>
        <v>2.01E-2</v>
      </c>
    </row>
    <row r="75" spans="1:7">
      <c r="A75" s="181"/>
      <c r="B75" s="181"/>
      <c r="C75" s="181"/>
      <c r="D75" s="181"/>
      <c r="E75" s="181"/>
      <c r="F75" s="181"/>
      <c r="G75" s="181"/>
    </row>
    <row r="76" spans="1:7">
      <c r="A76" s="181" t="s">
        <v>3</v>
      </c>
      <c r="B76" s="187">
        <f>B73</f>
        <v>4.5</v>
      </c>
      <c r="C76" s="181"/>
      <c r="D76" s="181"/>
      <c r="E76" s="181"/>
      <c r="F76" s="181" t="s">
        <v>29</v>
      </c>
      <c r="G76" s="181">
        <f>1-G74</f>
        <v>0.97989999999999999</v>
      </c>
    </row>
    <row r="77" spans="1:7">
      <c r="A77" s="181" t="s">
        <v>25</v>
      </c>
      <c r="B77" s="187">
        <f>B76/G76</f>
        <v>4.5923053372793143</v>
      </c>
      <c r="C77" s="181"/>
      <c r="D77" s="181"/>
      <c r="E77" s="181"/>
      <c r="F77" s="181"/>
      <c r="G77" s="181"/>
    </row>
    <row r="78" spans="1:7">
      <c r="A78" s="181" t="s">
        <v>24</v>
      </c>
      <c r="B78" s="181" t="e">
        <f>#REF!</f>
        <v>#REF!</v>
      </c>
      <c r="C78" s="181"/>
      <c r="D78" s="181"/>
      <c r="E78" s="181"/>
      <c r="F78" s="181"/>
      <c r="G78" s="181"/>
    </row>
    <row r="79" spans="1:7">
      <c r="A79" s="181" t="s">
        <v>30</v>
      </c>
      <c r="B79" s="187" t="e">
        <f>B78*B77</f>
        <v>#REF!</v>
      </c>
      <c r="C79" s="181"/>
      <c r="D79" s="181"/>
      <c r="E79" s="181"/>
      <c r="F79" s="181"/>
      <c r="G79" s="181"/>
    </row>
  </sheetData>
  <mergeCells count="5">
    <mergeCell ref="A1:H1"/>
    <mergeCell ref="F46:G46"/>
    <mergeCell ref="A11:B11"/>
    <mergeCell ref="B43:C43"/>
    <mergeCell ref="F70:G70"/>
  </mergeCells>
  <phoneticPr fontId="0" type="noConversion"/>
  <pageMargins left="0.28000000000000003" right="0.52" top="0.75" bottom="0.75" header="0.3" footer="0.3"/>
  <pageSetup scale="72" orientation="portrait" r:id="rId1"/>
  <headerFooter>
    <oddHeader>&amp;C&amp;"-,Bold"&amp;12Basin Disposal of Walla Walla &amp;"-,Regular"
Disposal Fee Reference</oddHeader>
    <oddFooter>&amp;L&amp;8&amp;F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134"/>
  <sheetViews>
    <sheetView tabSelected="1" zoomScaleNormal="100" workbookViewId="0">
      <pane xSplit="3" ySplit="5" topLeftCell="D112" activePane="bottomRight" state="frozen"/>
      <selection pane="topRight" activeCell="D1" sqref="D1"/>
      <selection pane="bottomLeft" activeCell="A6" sqref="A6"/>
      <selection pane="bottomRight" activeCell="A4" sqref="A4"/>
    </sheetView>
  </sheetViews>
  <sheetFormatPr defaultColWidth="8.85546875" defaultRowHeight="15"/>
  <cols>
    <col min="1" max="1" width="4.5703125" style="57" customWidth="1"/>
    <col min="2" max="2" width="17.7109375" style="61" customWidth="1"/>
    <col min="3" max="3" width="35.5703125" style="57" bestFit="1" customWidth="1"/>
    <col min="4" max="4" width="18.85546875" style="58" bestFit="1" customWidth="1"/>
    <col min="5" max="5" width="10.42578125" style="57" bestFit="1" customWidth="1"/>
    <col min="6" max="6" width="15.85546875" style="57" customWidth="1"/>
    <col min="7" max="7" width="15.140625" style="57" customWidth="1"/>
    <col min="8" max="8" width="21.42578125" style="57" customWidth="1"/>
    <col min="9" max="9" width="16.28515625" style="56" customWidth="1"/>
    <col min="10" max="11" width="14.140625" style="57" customWidth="1"/>
    <col min="12" max="12" width="10.7109375" style="57" customWidth="1"/>
    <col min="13" max="13" width="16.5703125" style="57" customWidth="1"/>
    <col min="14" max="14" width="15.42578125" style="57" customWidth="1"/>
    <col min="15" max="17" width="19.28515625" style="57" customWidth="1"/>
    <col min="18" max="19" width="8.85546875" style="57"/>
    <col min="20" max="20" width="12" style="57" bestFit="1" customWidth="1"/>
    <col min="21" max="21" width="11.140625" style="57" bestFit="1" customWidth="1"/>
    <col min="22" max="16384" width="8.85546875" style="57"/>
  </cols>
  <sheetData>
    <row r="1" spans="1:21">
      <c r="A1"/>
      <c r="B1"/>
      <c r="C1"/>
    </row>
    <row r="2" spans="1:21">
      <c r="A2" t="s">
        <v>203</v>
      </c>
      <c r="B2"/>
      <c r="C2"/>
    </row>
    <row r="3" spans="1:21">
      <c r="A3" t="s">
        <v>205</v>
      </c>
      <c r="B3"/>
      <c r="C3"/>
    </row>
    <row r="4" spans="1:21">
      <c r="A4" t="s">
        <v>204</v>
      </c>
      <c r="B4"/>
      <c r="C4"/>
    </row>
    <row r="5" spans="1:21" ht="30">
      <c r="A5" s="29"/>
      <c r="B5" s="83" t="s">
        <v>15</v>
      </c>
      <c r="C5" s="84" t="s">
        <v>17</v>
      </c>
      <c r="D5" s="83" t="s">
        <v>37</v>
      </c>
      <c r="E5" s="83" t="s">
        <v>0</v>
      </c>
      <c r="F5" s="29" t="s">
        <v>1</v>
      </c>
      <c r="G5" s="83" t="s">
        <v>10</v>
      </c>
      <c r="H5" s="83" t="s">
        <v>34</v>
      </c>
      <c r="I5" s="110" t="s">
        <v>35</v>
      </c>
      <c r="J5" s="108" t="s">
        <v>9</v>
      </c>
      <c r="K5" s="83" t="s">
        <v>2</v>
      </c>
      <c r="L5" s="83" t="s">
        <v>38</v>
      </c>
      <c r="M5" s="83" t="s">
        <v>181</v>
      </c>
      <c r="N5" s="83" t="s">
        <v>180</v>
      </c>
      <c r="O5" s="83" t="s">
        <v>36</v>
      </c>
      <c r="P5" s="83" t="s">
        <v>182</v>
      </c>
      <c r="Q5" s="83" t="s">
        <v>39</v>
      </c>
      <c r="T5" s="42"/>
    </row>
    <row r="6" spans="1:21" s="59" customFormat="1" ht="15" customHeight="1">
      <c r="A6" s="194" t="s">
        <v>13</v>
      </c>
      <c r="B6" s="114">
        <v>20</v>
      </c>
      <c r="C6" s="43" t="s">
        <v>99</v>
      </c>
      <c r="D6" s="159">
        <v>1388</v>
      </c>
      <c r="E6" s="69">
        <f>References!$B$7</f>
        <v>4.333333333333333</v>
      </c>
      <c r="F6" s="68">
        <f>D6*E6*12</f>
        <v>72176</v>
      </c>
      <c r="G6" s="145">
        <f>References!B21</f>
        <v>47</v>
      </c>
      <c r="H6" s="70">
        <f>F6*G6</f>
        <v>3392272</v>
      </c>
      <c r="I6" s="109">
        <f t="shared" ref="I6:I12" si="0">$D$126*H6</f>
        <v>3204022.7443243922</v>
      </c>
      <c r="J6" s="72">
        <f>(References!$C$49*I6)</f>
        <v>3364.2238815406413</v>
      </c>
      <c r="K6" s="72">
        <f>J6/References!$G$52</f>
        <v>3429.3821422432634</v>
      </c>
      <c r="L6" s="67">
        <f>IFERROR(K6/F6*E6,0)</f>
        <v>0.2058947011433275</v>
      </c>
      <c r="M6" s="162">
        <v>21.056494846055845</v>
      </c>
      <c r="N6" s="155">
        <f>L6+M6</f>
        <v>21.262389547199174</v>
      </c>
      <c r="O6" s="67">
        <f>D6*M6*12</f>
        <v>350716.97815590614</v>
      </c>
      <c r="P6" s="67">
        <f>D6*N6*12</f>
        <v>354146.36029814946</v>
      </c>
      <c r="Q6" s="71">
        <f>+P6-O6</f>
        <v>3429.3821422433248</v>
      </c>
      <c r="S6" s="174"/>
    </row>
    <row r="7" spans="1:21" s="59" customFormat="1">
      <c r="A7" s="193"/>
      <c r="B7" s="114">
        <v>20</v>
      </c>
      <c r="C7" s="43" t="s">
        <v>100</v>
      </c>
      <c r="D7" s="159">
        <v>181</v>
      </c>
      <c r="E7" s="69">
        <f>References!$B$7</f>
        <v>4.333333333333333</v>
      </c>
      <c r="F7" s="68">
        <f t="shared" ref="F7:F10" si="1">D7*E7*12</f>
        <v>9412</v>
      </c>
      <c r="G7" s="145">
        <f>References!B14</f>
        <v>34</v>
      </c>
      <c r="H7" s="68">
        <f t="shared" ref="H7:H12" si="2">F7*G7</f>
        <v>320008</v>
      </c>
      <c r="I7" s="45">
        <f t="shared" si="0"/>
        <v>302249.61629425944</v>
      </c>
      <c r="J7" s="67">
        <f>(References!$C$49*I7)</f>
        <v>317.36209710897521</v>
      </c>
      <c r="K7" s="67">
        <f>J7/References!$G$52</f>
        <v>323.50876361771174</v>
      </c>
      <c r="L7" s="67">
        <f t="shared" ref="L7:L10" si="3">IFERROR(K7/F7*E7,0)</f>
        <v>0.14894510295474758</v>
      </c>
      <c r="M7" s="162">
        <v>15.92746435672125</v>
      </c>
      <c r="N7" s="156">
        <f>L7+M7</f>
        <v>16.076409459675997</v>
      </c>
      <c r="O7" s="67">
        <f>D7*M7*12</f>
        <v>34594.452582798556</v>
      </c>
      <c r="P7" s="67">
        <f>D7*N7*12</f>
        <v>34917.961346416268</v>
      </c>
      <c r="Q7" s="71">
        <f t="shared" ref="Q7:Q13" si="4">+P7-O7</f>
        <v>323.50876361771225</v>
      </c>
      <c r="S7" s="174"/>
    </row>
    <row r="8" spans="1:21" s="59" customFormat="1">
      <c r="A8" s="193"/>
      <c r="B8" s="114">
        <v>20</v>
      </c>
      <c r="C8" s="43" t="s">
        <v>101</v>
      </c>
      <c r="D8" s="159">
        <v>9</v>
      </c>
      <c r="E8" s="69">
        <f>References!$B$9</f>
        <v>1</v>
      </c>
      <c r="F8" s="68">
        <f t="shared" si="1"/>
        <v>108</v>
      </c>
      <c r="G8" s="145">
        <f>References!B21</f>
        <v>47</v>
      </c>
      <c r="H8" s="68">
        <f t="shared" si="2"/>
        <v>5076</v>
      </c>
      <c r="I8" s="45">
        <f t="shared" si="0"/>
        <v>4794.3146806006762</v>
      </c>
      <c r="J8" s="67">
        <f>(References!$C$49*I8)</f>
        <v>5.0340304146307542</v>
      </c>
      <c r="K8" s="67">
        <f>J8/References!$G$52</f>
        <v>5.1315294746490867</v>
      </c>
      <c r="L8" s="67">
        <f t="shared" si="3"/>
        <v>4.7514161802306359E-2</v>
      </c>
      <c r="M8" s="162">
        <v>6.0276526567821183</v>
      </c>
      <c r="N8" s="156">
        <f t="shared" ref="N8:N43" si="5">L8+M8</f>
        <v>6.0751668185844245</v>
      </c>
      <c r="O8" s="67">
        <f>D8*M8*12</f>
        <v>650.98648693246878</v>
      </c>
      <c r="P8" s="67">
        <f>D8*N8*12</f>
        <v>656.11801640711781</v>
      </c>
      <c r="Q8" s="71">
        <f t="shared" si="4"/>
        <v>5.1315294746490281</v>
      </c>
      <c r="S8" s="174"/>
    </row>
    <row r="9" spans="1:21" s="59" customFormat="1">
      <c r="A9" s="193"/>
      <c r="B9" s="114">
        <v>20</v>
      </c>
      <c r="C9" s="43" t="s">
        <v>102</v>
      </c>
      <c r="D9" s="159">
        <v>28</v>
      </c>
      <c r="E9" s="69">
        <f>References!$B$9</f>
        <v>1</v>
      </c>
      <c r="F9" s="68">
        <f t="shared" si="1"/>
        <v>336</v>
      </c>
      <c r="G9" s="145">
        <f>References!B22</f>
        <v>68</v>
      </c>
      <c r="H9" s="68">
        <f t="shared" si="2"/>
        <v>22848</v>
      </c>
      <c r="I9" s="45">
        <f t="shared" si="0"/>
        <v>21580.083101332591</v>
      </c>
      <c r="J9" s="67">
        <f>(References!$C$49*I9)</f>
        <v>22.65908725639942</v>
      </c>
      <c r="K9" s="67">
        <f>J9/References!$G$52</f>
        <v>23.09794827359778</v>
      </c>
      <c r="L9" s="67">
        <f t="shared" si="3"/>
        <v>6.874389367142196E-2</v>
      </c>
      <c r="M9" s="162">
        <v>6.2657527800251929</v>
      </c>
      <c r="N9" s="156">
        <f>L9+M9</f>
        <v>6.3344966736966146</v>
      </c>
      <c r="O9" s="67">
        <f>D9*M9*12</f>
        <v>2105.2929340884648</v>
      </c>
      <c r="P9" s="67">
        <f>D9*N9*12</f>
        <v>2128.3908823620627</v>
      </c>
      <c r="Q9" s="71">
        <f t="shared" si="4"/>
        <v>23.097948273597922</v>
      </c>
      <c r="S9" s="174"/>
    </row>
    <row r="10" spans="1:21" s="59" customFormat="1">
      <c r="A10" s="193"/>
      <c r="B10" s="114">
        <v>20</v>
      </c>
      <c r="C10" s="43" t="s">
        <v>103</v>
      </c>
      <c r="D10" s="159">
        <v>2725</v>
      </c>
      <c r="E10" s="69">
        <f>References!$B$7</f>
        <v>4.333333333333333</v>
      </c>
      <c r="F10" s="68">
        <f t="shared" si="1"/>
        <v>141700</v>
      </c>
      <c r="G10" s="145">
        <f>References!B22</f>
        <v>68</v>
      </c>
      <c r="H10" s="68">
        <f t="shared" si="2"/>
        <v>9635600</v>
      </c>
      <c r="I10" s="45">
        <f t="shared" si="0"/>
        <v>9100886.2364846077</v>
      </c>
      <c r="J10" s="67">
        <f>(References!$C$49*I10)</f>
        <v>9555.9305483089229</v>
      </c>
      <c r="K10" s="67">
        <f>J10/References!$G$52</f>
        <v>9741.009733240493</v>
      </c>
      <c r="L10" s="67">
        <f t="shared" si="3"/>
        <v>0.29789020590949522</v>
      </c>
      <c r="M10" s="162">
        <v>26.544928713442502</v>
      </c>
      <c r="N10" s="156">
        <f t="shared" si="5"/>
        <v>26.842818919351998</v>
      </c>
      <c r="O10" s="67">
        <f>D10*M10*12</f>
        <v>868019.16892956989</v>
      </c>
      <c r="P10" s="67">
        <f>D10*N10*12</f>
        <v>877760.17866281047</v>
      </c>
      <c r="Q10" s="71">
        <f t="shared" si="4"/>
        <v>9741.0097332405858</v>
      </c>
      <c r="S10" s="174"/>
    </row>
    <row r="11" spans="1:21" s="59" customFormat="1">
      <c r="A11" s="193"/>
      <c r="B11" s="46" t="s">
        <v>104</v>
      </c>
      <c r="C11" s="137" t="s">
        <v>108</v>
      </c>
      <c r="D11" s="68"/>
      <c r="E11" s="69"/>
      <c r="F11" s="159">
        <v>1830</v>
      </c>
      <c r="G11" s="68">
        <f>References!B24</f>
        <v>34</v>
      </c>
      <c r="H11" s="106">
        <f t="shared" si="2"/>
        <v>62220</v>
      </c>
      <c r="I11" s="45">
        <f t="shared" si="0"/>
        <v>58767.190588450365</v>
      </c>
      <c r="J11" s="67">
        <f>(References!$C$49*I11)</f>
        <v>61.705550117873429</v>
      </c>
      <c r="K11" s="67">
        <f>J11/References!$G$52</f>
        <v>62.900662709351103</v>
      </c>
      <c r="L11" s="67">
        <f t="shared" ref="L11:L12" si="6">IFERROR(K11/F11,0)</f>
        <v>3.4371946835710987E-2</v>
      </c>
      <c r="M11" s="162">
        <v>2.5378763900125962</v>
      </c>
      <c r="N11" s="156">
        <f>L11+M11</f>
        <v>2.5722483368483071</v>
      </c>
      <c r="O11" s="67">
        <f>F11*M11</f>
        <v>4644.3137937230513</v>
      </c>
      <c r="P11" s="67">
        <f>F11*N11</f>
        <v>4707.2144564324017</v>
      </c>
      <c r="Q11" s="71">
        <f t="shared" ref="Q11:Q12" si="7">+P11-O11</f>
        <v>62.900662709350399</v>
      </c>
      <c r="S11" s="174"/>
    </row>
    <row r="12" spans="1:21" s="59" customFormat="1">
      <c r="A12" s="193"/>
      <c r="B12" s="46">
        <v>21</v>
      </c>
      <c r="C12" s="59" t="s">
        <v>109</v>
      </c>
      <c r="D12" s="68"/>
      <c r="E12" s="69"/>
      <c r="F12" s="159">
        <v>76</v>
      </c>
      <c r="G12" s="68">
        <f>References!B42</f>
        <v>125</v>
      </c>
      <c r="H12" s="106">
        <f t="shared" si="2"/>
        <v>9500</v>
      </c>
      <c r="I12" s="45">
        <f t="shared" si="0"/>
        <v>8972.8111634567413</v>
      </c>
      <c r="J12" s="67">
        <f>(References!$C$49*I12)</f>
        <v>9.421451721629662</v>
      </c>
      <c r="K12" s="67">
        <f>J12/References!$G$52</f>
        <v>9.6039263217427742</v>
      </c>
      <c r="L12" s="67">
        <f t="shared" si="6"/>
        <v>0.12636745160187859</v>
      </c>
      <c r="M12" s="162">
        <v>10.076310257399252</v>
      </c>
      <c r="N12" s="156">
        <f>L12+M12</f>
        <v>10.202677709001129</v>
      </c>
      <c r="O12" s="67">
        <f>F12*M12</f>
        <v>765.79957956234307</v>
      </c>
      <c r="P12" s="67">
        <f>F12*N12</f>
        <v>775.4035058840858</v>
      </c>
      <c r="Q12" s="71">
        <f t="shared" si="7"/>
        <v>9.6039263217427333</v>
      </c>
      <c r="S12" s="174"/>
      <c r="U12" s="176"/>
    </row>
    <row r="13" spans="1:21" s="59" customFormat="1">
      <c r="A13" s="193"/>
      <c r="B13" s="114"/>
      <c r="C13" s="63" t="s">
        <v>124</v>
      </c>
      <c r="D13" s="115"/>
      <c r="E13" s="69"/>
      <c r="F13" s="68"/>
      <c r="G13" s="145"/>
      <c r="H13" s="68"/>
      <c r="I13" s="45"/>
      <c r="J13" s="67"/>
      <c r="K13" s="67"/>
      <c r="L13" s="67"/>
      <c r="M13" s="118"/>
      <c r="N13" s="118"/>
      <c r="O13" s="67"/>
      <c r="P13" s="67"/>
      <c r="Q13" s="71">
        <f t="shared" si="4"/>
        <v>0</v>
      </c>
      <c r="S13" s="174"/>
    </row>
    <row r="14" spans="1:21" s="59" customFormat="1">
      <c r="A14" s="193"/>
      <c r="B14" s="114">
        <v>20</v>
      </c>
      <c r="C14" s="105" t="s">
        <v>176</v>
      </c>
      <c r="D14" s="159">
        <v>1</v>
      </c>
      <c r="E14" s="69">
        <f>References!$B$7</f>
        <v>4.333333333333333</v>
      </c>
      <c r="F14" s="68">
        <f t="shared" ref="F14" si="8">E14*12</f>
        <v>52</v>
      </c>
      <c r="G14" s="145">
        <f>References!B22</f>
        <v>68</v>
      </c>
      <c r="H14" s="68">
        <f t="shared" ref="H14" si="9">F14*G14</f>
        <v>3536</v>
      </c>
      <c r="I14" s="45">
        <f>$D$126*H14</f>
        <v>3339.7747656824249</v>
      </c>
      <c r="J14" s="67">
        <f>(References!$C$49*I14)</f>
        <v>3.5067635039665772</v>
      </c>
      <c r="K14" s="67">
        <f>J14/References!$G$52</f>
        <v>3.5746824709139422</v>
      </c>
      <c r="L14" s="67">
        <f t="shared" ref="L14" si="10">IFERROR(K14/F14*E14,0)</f>
        <v>0.29789020590949516</v>
      </c>
      <c r="M14" s="163">
        <v>22.32</v>
      </c>
      <c r="N14" s="156">
        <f t="shared" si="5"/>
        <v>22.617890205909497</v>
      </c>
      <c r="O14" s="67">
        <f>D14*M14*12</f>
        <v>267.84000000000003</v>
      </c>
      <c r="P14" s="67">
        <f>D14*N14*12</f>
        <v>271.41468247091393</v>
      </c>
      <c r="Q14" s="71">
        <f t="shared" ref="Q14" si="11">+P14-O14</f>
        <v>3.5746824709138991</v>
      </c>
      <c r="S14" s="174"/>
    </row>
    <row r="15" spans="1:21" s="59" customFormat="1">
      <c r="A15" s="193"/>
      <c r="B15" s="46"/>
      <c r="C15" s="119"/>
      <c r="D15" s="120"/>
      <c r="E15" s="113"/>
      <c r="F15" s="68"/>
      <c r="G15" s="117"/>
      <c r="H15" s="68"/>
      <c r="I15" s="45"/>
      <c r="J15" s="67"/>
      <c r="K15" s="67"/>
      <c r="L15" s="67"/>
      <c r="M15" s="118"/>
      <c r="N15" s="118"/>
      <c r="O15" s="67"/>
      <c r="P15" s="67"/>
      <c r="Q15" s="71"/>
      <c r="S15" s="174"/>
    </row>
    <row r="16" spans="1:21" s="59" customFormat="1">
      <c r="A16" s="47"/>
      <c r="B16" s="85"/>
      <c r="C16" s="48" t="s">
        <v>16</v>
      </c>
      <c r="D16" s="49">
        <f>SUM(D6:D15)</f>
        <v>4332</v>
      </c>
      <c r="E16" s="50"/>
      <c r="F16" s="51">
        <f>SUM(F6:F15)</f>
        <v>225690</v>
      </c>
      <c r="G16" s="52"/>
      <c r="H16" s="86">
        <f>SUM(H6:H15)</f>
        <v>13451060</v>
      </c>
      <c r="I16" s="53">
        <f>SUM(I6:I15)</f>
        <v>12704612.771402784</v>
      </c>
      <c r="J16" s="74"/>
      <c r="K16" s="74"/>
      <c r="L16" s="74"/>
      <c r="M16" s="74"/>
      <c r="N16" s="74"/>
      <c r="O16" s="73">
        <f>SUM(O6:O15)</f>
        <v>1261764.8324625809</v>
      </c>
      <c r="P16" s="73">
        <f>SUM(P6:P15)</f>
        <v>1275363.0418509331</v>
      </c>
      <c r="Q16" s="73">
        <f>SUM(Q6:Q15)</f>
        <v>13598.209388351876</v>
      </c>
      <c r="S16" s="174"/>
      <c r="T16" s="174">
        <f>+Q16/O16</f>
        <v>1.0777134564617964E-2</v>
      </c>
    </row>
    <row r="17" spans="1:19" s="59" customFormat="1">
      <c r="A17" s="193"/>
      <c r="B17" s="46" t="s">
        <v>187</v>
      </c>
      <c r="C17" s="121" t="s">
        <v>106</v>
      </c>
      <c r="D17" s="56"/>
      <c r="E17" s="69"/>
      <c r="F17" s="160">
        <v>224</v>
      </c>
      <c r="G17" s="145">
        <f>References!B21</f>
        <v>47</v>
      </c>
      <c r="H17" s="106">
        <f t="shared" ref="H17:H39" si="12">F17*G17</f>
        <v>10528</v>
      </c>
      <c r="I17" s="45">
        <f>$D$126*H17</f>
        <v>9943.7637819865868</v>
      </c>
      <c r="J17" s="67">
        <f>(References!$C$49*I17)</f>
        <v>10.440951971086008</v>
      </c>
      <c r="K17" s="67">
        <f>J17/References!$G$52</f>
        <v>10.643172243716624</v>
      </c>
      <c r="L17" s="67">
        <f t="shared" ref="L17:L51" si="13">IFERROR(K17/F17,0)</f>
        <v>4.7514161802306353E-2</v>
      </c>
      <c r="M17" s="162">
        <v>4.5476526567821187</v>
      </c>
      <c r="N17" s="156">
        <f t="shared" si="5"/>
        <v>4.595166818584425</v>
      </c>
      <c r="O17" s="67">
        <f t="shared" ref="O17:O43" si="14">F17*M17</f>
        <v>1018.6741951191946</v>
      </c>
      <c r="P17" s="67">
        <f t="shared" ref="P17:P43" si="15">F17*N17</f>
        <v>1029.3173673629112</v>
      </c>
      <c r="Q17" s="71">
        <f t="shared" ref="Q17:Q51" si="16">+P17-O17</f>
        <v>10.643172243716663</v>
      </c>
      <c r="S17" s="174"/>
    </row>
    <row r="18" spans="1:19" s="59" customFormat="1">
      <c r="A18" s="193"/>
      <c r="B18" s="46" t="s">
        <v>187</v>
      </c>
      <c r="C18" s="121" t="s">
        <v>107</v>
      </c>
      <c r="D18" s="116"/>
      <c r="E18" s="69"/>
      <c r="F18" s="160">
        <v>1819</v>
      </c>
      <c r="G18" s="145">
        <f>References!B22</f>
        <v>68</v>
      </c>
      <c r="H18" s="106">
        <f t="shared" si="12"/>
        <v>123692</v>
      </c>
      <c r="I18" s="45">
        <f>$D$126*H18</f>
        <v>116827.89036108329</v>
      </c>
      <c r="J18" s="67">
        <f>(References!$C$49*I18)</f>
        <v>122.66928487913854</v>
      </c>
      <c r="K18" s="67">
        <f>J18/References!$G$52</f>
        <v>125.04514258831657</v>
      </c>
      <c r="L18" s="67">
        <f t="shared" si="13"/>
        <v>6.8743893671421974E-2</v>
      </c>
      <c r="M18" s="163">
        <v>5.7557527800251922</v>
      </c>
      <c r="N18" s="156">
        <f t="shared" si="5"/>
        <v>5.8244966736966139</v>
      </c>
      <c r="O18" s="67">
        <f t="shared" si="14"/>
        <v>10469.714306865824</v>
      </c>
      <c r="P18" s="67">
        <f t="shared" si="15"/>
        <v>10594.759449454141</v>
      </c>
      <c r="Q18" s="71">
        <f t="shared" si="16"/>
        <v>125.04514258831659</v>
      </c>
      <c r="S18" s="174"/>
    </row>
    <row r="19" spans="1:19" s="59" customFormat="1">
      <c r="A19" s="193"/>
      <c r="B19" s="46" t="s">
        <v>179</v>
      </c>
      <c r="C19" s="121" t="s">
        <v>125</v>
      </c>
      <c r="D19" s="116"/>
      <c r="E19" s="69"/>
      <c r="F19" s="160">
        <v>2060</v>
      </c>
      <c r="G19" s="147">
        <f>References!B28</f>
        <v>250</v>
      </c>
      <c r="H19" s="68">
        <f>F19*G19</f>
        <v>515000</v>
      </c>
      <c r="I19" s="45">
        <f>$D$126*H19</f>
        <v>486420.81570318126</v>
      </c>
      <c r="J19" s="67">
        <f>(References!$C$49*I19)</f>
        <v>510.74185648834481</v>
      </c>
      <c r="K19" s="67">
        <f>J19/References!$G$52</f>
        <v>520.63390059973983</v>
      </c>
      <c r="L19" s="177">
        <f t="shared" si="13"/>
        <v>0.25273490320375719</v>
      </c>
      <c r="M19" s="164">
        <v>42.732620514798498</v>
      </c>
      <c r="N19" s="156">
        <f>L19+M19</f>
        <v>42.985355418002257</v>
      </c>
      <c r="O19" s="67">
        <f>F19*M19</f>
        <v>88029.198260484904</v>
      </c>
      <c r="P19" s="67">
        <f>F19*N19</f>
        <v>88549.832161084647</v>
      </c>
      <c r="Q19" s="71">
        <f t="shared" si="16"/>
        <v>520.63390059974336</v>
      </c>
      <c r="S19" s="174"/>
    </row>
    <row r="20" spans="1:19" s="59" customFormat="1">
      <c r="A20" s="193"/>
      <c r="B20" s="46">
        <v>28</v>
      </c>
      <c r="C20" s="138" t="s">
        <v>174</v>
      </c>
      <c r="D20" s="139"/>
      <c r="E20" s="140"/>
      <c r="F20" s="161"/>
      <c r="G20" s="148"/>
      <c r="H20" s="141"/>
      <c r="I20" s="142"/>
      <c r="J20" s="143"/>
      <c r="K20" s="143"/>
      <c r="L20" s="143"/>
      <c r="M20" s="165">
        <v>11.4</v>
      </c>
      <c r="N20" s="157">
        <f>L20+M20</f>
        <v>11.4</v>
      </c>
      <c r="O20" s="143"/>
      <c r="P20" s="143"/>
      <c r="Q20" s="71"/>
      <c r="S20" s="174"/>
    </row>
    <row r="21" spans="1:19" s="59" customFormat="1">
      <c r="A21" s="193"/>
      <c r="B21" s="46">
        <v>28</v>
      </c>
      <c r="C21" s="121" t="s">
        <v>126</v>
      </c>
      <c r="D21" s="116"/>
      <c r="E21" s="69"/>
      <c r="F21" s="160">
        <v>96</v>
      </c>
      <c r="G21" s="149">
        <f>References!B27</f>
        <v>175</v>
      </c>
      <c r="H21" s="68">
        <f>F21*G21</f>
        <v>16800</v>
      </c>
      <c r="I21" s="45">
        <f>$D$126*H21</f>
        <v>15867.708162744553</v>
      </c>
      <c r="J21" s="67">
        <f>(References!$C$49*I21)</f>
        <v>16.661093570881928</v>
      </c>
      <c r="K21" s="67">
        <f>J21/References!$G$52</f>
        <v>16.983785495292484</v>
      </c>
      <c r="L21" s="67">
        <f t="shared" si="13"/>
        <v>0.17691443224263004</v>
      </c>
      <c r="M21" s="164">
        <v>14.570834360358953</v>
      </c>
      <c r="N21" s="156">
        <f>L21+M21</f>
        <v>14.747748792601582</v>
      </c>
      <c r="O21" s="67">
        <f>F21*M21</f>
        <v>1398.8000985944595</v>
      </c>
      <c r="P21" s="67">
        <f>F21*N21</f>
        <v>1415.7838840897518</v>
      </c>
      <c r="Q21" s="71">
        <f t="shared" si="16"/>
        <v>16.983785495292295</v>
      </c>
      <c r="R21" s="179"/>
      <c r="S21" s="174"/>
    </row>
    <row r="22" spans="1:19" s="59" customFormat="1">
      <c r="A22" s="193"/>
      <c r="B22" s="46">
        <v>28</v>
      </c>
      <c r="C22" s="121" t="s">
        <v>127</v>
      </c>
      <c r="D22" s="116"/>
      <c r="E22" s="69"/>
      <c r="F22" s="160">
        <v>216</v>
      </c>
      <c r="G22" s="149">
        <f>References!B27</f>
        <v>175</v>
      </c>
      <c r="H22" s="68">
        <f>F22*G22</f>
        <v>37800</v>
      </c>
      <c r="I22" s="45">
        <f>$D$126*H22</f>
        <v>35702.343366175242</v>
      </c>
      <c r="J22" s="67">
        <f>(References!$C$49*I22)</f>
        <v>37.487460534484335</v>
      </c>
      <c r="K22" s="67">
        <f>J22/References!$G$52</f>
        <v>38.213517364408091</v>
      </c>
      <c r="L22" s="67">
        <f t="shared" si="13"/>
        <v>0.17691443224263004</v>
      </c>
      <c r="M22" s="164">
        <v>14.570834360358953</v>
      </c>
      <c r="N22" s="156">
        <f>L22+M22</f>
        <v>14.747748792601582</v>
      </c>
      <c r="O22" s="67">
        <f>F22*M22</f>
        <v>3147.3002218375336</v>
      </c>
      <c r="P22" s="67">
        <f>F22*N22</f>
        <v>3185.5137392019419</v>
      </c>
      <c r="Q22" s="71">
        <f t="shared" si="16"/>
        <v>38.21351736440829</v>
      </c>
      <c r="S22" s="174"/>
    </row>
    <row r="23" spans="1:19" s="59" customFormat="1">
      <c r="A23" s="193"/>
      <c r="B23" s="46">
        <v>28</v>
      </c>
      <c r="C23" s="121" t="s">
        <v>128</v>
      </c>
      <c r="D23" s="56"/>
      <c r="E23" s="69"/>
      <c r="F23" s="160">
        <v>1</v>
      </c>
      <c r="G23" s="149">
        <f>References!B27</f>
        <v>175</v>
      </c>
      <c r="H23" s="68">
        <f t="shared" si="12"/>
        <v>175</v>
      </c>
      <c r="I23" s="45">
        <f>$D$126*H23</f>
        <v>165.28862669525577</v>
      </c>
      <c r="J23" s="67">
        <f>(References!$C$49*I23)</f>
        <v>0.17355305803002008</v>
      </c>
      <c r="K23" s="67">
        <f>J23/References!$G$52</f>
        <v>0.17691443224263007</v>
      </c>
      <c r="L23" s="67">
        <f t="shared" si="13"/>
        <v>0.17691443224263007</v>
      </c>
      <c r="M23" s="164">
        <v>17.970834360358953</v>
      </c>
      <c r="N23" s="156">
        <f t="shared" si="5"/>
        <v>18.147748792601583</v>
      </c>
      <c r="O23" s="67">
        <f t="shared" si="14"/>
        <v>17.970834360358953</v>
      </c>
      <c r="P23" s="67">
        <f t="shared" si="15"/>
        <v>18.147748792601583</v>
      </c>
      <c r="Q23" s="71">
        <f t="shared" si="16"/>
        <v>0.17691443224262926</v>
      </c>
      <c r="S23" s="174"/>
    </row>
    <row r="24" spans="1:19" s="59" customFormat="1">
      <c r="A24" s="193"/>
      <c r="B24" s="46"/>
      <c r="C24" s="121" t="s">
        <v>201</v>
      </c>
      <c r="D24" s="56"/>
      <c r="E24" s="69"/>
      <c r="F24" s="160"/>
      <c r="G24" s="145">
        <f>[1]References!B27</f>
        <v>175</v>
      </c>
      <c r="H24" s="68">
        <f t="shared" si="12"/>
        <v>0</v>
      </c>
      <c r="I24" s="45">
        <f>$D$124*H24</f>
        <v>0</v>
      </c>
      <c r="J24" s="67">
        <f>([1]References!$C$49*I24)</f>
        <v>0</v>
      </c>
      <c r="K24" s="67">
        <f>J24/[1]References!$G$52</f>
        <v>0</v>
      </c>
      <c r="L24" s="67"/>
      <c r="M24" s="164"/>
      <c r="N24" s="156"/>
      <c r="O24" s="67"/>
      <c r="P24" s="67"/>
      <c r="Q24" s="71"/>
      <c r="S24" s="174"/>
    </row>
    <row r="25" spans="1:19" s="59" customFormat="1">
      <c r="A25" s="193"/>
      <c r="B25" s="46">
        <v>28</v>
      </c>
      <c r="C25" s="138" t="s">
        <v>166</v>
      </c>
      <c r="D25" s="141"/>
      <c r="E25" s="140"/>
      <c r="F25" s="161"/>
      <c r="G25" s="148"/>
      <c r="H25" s="141"/>
      <c r="I25" s="142"/>
      <c r="J25" s="143"/>
      <c r="K25" s="143"/>
      <c r="L25" s="143"/>
      <c r="M25" s="165">
        <v>11.93</v>
      </c>
      <c r="N25" s="157">
        <f>L25+M25</f>
        <v>11.93</v>
      </c>
      <c r="O25" s="143"/>
      <c r="P25" s="143"/>
      <c r="Q25" s="71"/>
      <c r="S25" s="174"/>
    </row>
    <row r="26" spans="1:19" s="59" customFormat="1">
      <c r="A26" s="193"/>
      <c r="B26" s="46">
        <v>28</v>
      </c>
      <c r="C26" s="121" t="s">
        <v>188</v>
      </c>
      <c r="D26" s="116"/>
      <c r="E26" s="69"/>
      <c r="F26" s="160">
        <f>42+13</f>
        <v>55</v>
      </c>
      <c r="G26" s="145">
        <f>References!$B$28</f>
        <v>250</v>
      </c>
      <c r="H26" s="68">
        <f>F26*G26</f>
        <v>13750</v>
      </c>
      <c r="I26" s="45">
        <f>$D$126*H26</f>
        <v>12986.96352605581</v>
      </c>
      <c r="J26" s="67">
        <f>(References!$C$49*I26)</f>
        <v>13.63631170235872</v>
      </c>
      <c r="K26" s="67">
        <f>J26/References!$G$52</f>
        <v>13.900419676206646</v>
      </c>
      <c r="L26" s="67">
        <f t="shared" si="13"/>
        <v>0.25273490320375719</v>
      </c>
      <c r="M26" s="162">
        <v>22.752620514798505</v>
      </c>
      <c r="N26" s="156">
        <f>L26+M26</f>
        <v>23.00535541800226</v>
      </c>
      <c r="O26" s="67">
        <f>F26*M26</f>
        <v>1251.3941283139177</v>
      </c>
      <c r="P26" s="67">
        <f>F26*N26</f>
        <v>1265.2945479901243</v>
      </c>
      <c r="Q26" s="71">
        <f t="shared" ref="Q26" si="17">+P26-O26</f>
        <v>13.900419676206639</v>
      </c>
      <c r="R26" s="179"/>
      <c r="S26" s="174"/>
    </row>
    <row r="27" spans="1:19" s="59" customFormat="1">
      <c r="A27" s="193"/>
      <c r="B27" s="46">
        <v>28</v>
      </c>
      <c r="C27" s="121" t="s">
        <v>130</v>
      </c>
      <c r="D27" s="56"/>
      <c r="E27" s="69"/>
      <c r="F27" s="160">
        <f>141+100</f>
        <v>241</v>
      </c>
      <c r="G27" s="145">
        <f>References!$B$28</f>
        <v>250</v>
      </c>
      <c r="H27" s="68">
        <f t="shared" si="12"/>
        <v>60250</v>
      </c>
      <c r="I27" s="45">
        <f>$D$126*H27</f>
        <v>56906.512905080912</v>
      </c>
      <c r="J27" s="67">
        <f>(References!$C$49*I27)</f>
        <v>59.751838550335485</v>
      </c>
      <c r="K27" s="67">
        <f>J27/References!$G$52</f>
        <v>60.909111672105489</v>
      </c>
      <c r="L27" s="67">
        <f t="shared" si="13"/>
        <v>0.25273490320375719</v>
      </c>
      <c r="M27" s="162">
        <v>22.752620514798505</v>
      </c>
      <c r="N27" s="156">
        <f t="shared" si="5"/>
        <v>23.00535541800226</v>
      </c>
      <c r="O27" s="67">
        <f t="shared" si="14"/>
        <v>5483.3815440664393</v>
      </c>
      <c r="P27" s="67">
        <f t="shared" si="15"/>
        <v>5544.290655738545</v>
      </c>
      <c r="Q27" s="71">
        <f t="shared" si="16"/>
        <v>60.90911167210561</v>
      </c>
      <c r="S27" s="174"/>
    </row>
    <row r="28" spans="1:19" s="59" customFormat="1">
      <c r="A28" s="193"/>
      <c r="B28" s="46">
        <v>28</v>
      </c>
      <c r="C28" s="154" t="s">
        <v>131</v>
      </c>
      <c r="D28" s="56">
        <v>0</v>
      </c>
      <c r="E28" s="69"/>
      <c r="F28" s="160">
        <v>1</v>
      </c>
      <c r="G28" s="68">
        <f>References!B28</f>
        <v>250</v>
      </c>
      <c r="H28" s="106">
        <f>F28*G28</f>
        <v>250</v>
      </c>
      <c r="I28" s="45">
        <f>$D$126*H28</f>
        <v>236.12660956465109</v>
      </c>
      <c r="J28" s="67">
        <f>(References!$C$49*I28)</f>
        <v>0.24793294004288582</v>
      </c>
      <c r="K28" s="67">
        <f>J28/References!$G$52</f>
        <v>0.25273490320375719</v>
      </c>
      <c r="L28" s="67">
        <f t="shared" si="13"/>
        <v>0.25273490320375719</v>
      </c>
      <c r="M28" s="162">
        <v>23.552620514798505</v>
      </c>
      <c r="N28" s="156">
        <f>L28+M28</f>
        <v>23.805355418002261</v>
      </c>
      <c r="O28" s="67">
        <f t="shared" ref="O28" si="18">F28*M28</f>
        <v>23.552620514798505</v>
      </c>
      <c r="P28" s="67">
        <f t="shared" ref="P28" si="19">F28*N28</f>
        <v>23.805355418002261</v>
      </c>
      <c r="Q28" s="71">
        <f t="shared" ref="Q28" si="20">+P28-O28</f>
        <v>0.25273490320375558</v>
      </c>
      <c r="S28" s="174"/>
    </row>
    <row r="29" spans="1:19" s="59" customFormat="1">
      <c r="A29" s="193"/>
      <c r="B29" s="46">
        <v>28</v>
      </c>
      <c r="C29" s="138" t="s">
        <v>167</v>
      </c>
      <c r="D29" s="141"/>
      <c r="E29" s="140"/>
      <c r="F29" s="161"/>
      <c r="G29" s="148"/>
      <c r="H29" s="141"/>
      <c r="I29" s="142"/>
      <c r="J29" s="143"/>
      <c r="K29" s="143"/>
      <c r="L29" s="143"/>
      <c r="M29" s="165">
        <v>14.91</v>
      </c>
      <c r="N29" s="157">
        <f>L29+M29</f>
        <v>14.91</v>
      </c>
      <c r="O29" s="143"/>
      <c r="P29" s="143"/>
      <c r="Q29" s="71"/>
      <c r="S29" s="174"/>
    </row>
    <row r="30" spans="1:19" s="59" customFormat="1">
      <c r="A30" s="193"/>
      <c r="B30" s="46">
        <v>28</v>
      </c>
      <c r="C30" s="121" t="s">
        <v>189</v>
      </c>
      <c r="D30" s="116"/>
      <c r="E30" s="69"/>
      <c r="F30" s="160">
        <v>169</v>
      </c>
      <c r="G30" s="145">
        <f>References!$B$29</f>
        <v>324</v>
      </c>
      <c r="H30" s="68">
        <f>F30*G30</f>
        <v>54756</v>
      </c>
      <c r="I30" s="45">
        <f>$D$126*H30</f>
        <v>51717.394533288141</v>
      </c>
      <c r="J30" s="67">
        <f>(References!$C$49*I30)</f>
        <v>54.303264259953025</v>
      </c>
      <c r="K30" s="67">
        <f>J30/References!$G$52</f>
        <v>55.355009439299721</v>
      </c>
      <c r="L30" s="67">
        <f t="shared" si="13"/>
        <v>0.32754443455206933</v>
      </c>
      <c r="M30" s="162">
        <v>26.432116187178863</v>
      </c>
      <c r="N30" s="156">
        <f>L30+M30</f>
        <v>26.759660621730934</v>
      </c>
      <c r="O30" s="67">
        <f>F30*M30</f>
        <v>4467.0276356332279</v>
      </c>
      <c r="P30" s="67">
        <f>F30*N30</f>
        <v>4522.3826450725273</v>
      </c>
      <c r="Q30" s="71">
        <f t="shared" ref="Q30" si="21">+P30-O30</f>
        <v>55.355009439299465</v>
      </c>
      <c r="R30" s="179"/>
      <c r="S30" s="174"/>
    </row>
    <row r="31" spans="1:19" s="59" customFormat="1">
      <c r="A31" s="193"/>
      <c r="B31" s="46">
        <v>28</v>
      </c>
      <c r="C31" s="121" t="s">
        <v>133</v>
      </c>
      <c r="D31" s="56"/>
      <c r="E31" s="69"/>
      <c r="F31" s="160">
        <v>435</v>
      </c>
      <c r="G31" s="145">
        <f>References!$B$29</f>
        <v>324</v>
      </c>
      <c r="H31" s="68">
        <f t="shared" si="12"/>
        <v>140940</v>
      </c>
      <c r="I31" s="45">
        <f>$D$126*H31</f>
        <v>133118.73740816771</v>
      </c>
      <c r="J31" s="67">
        <f>(References!$C$49*I31)</f>
        <v>139.77467427857732</v>
      </c>
      <c r="K31" s="67">
        <f>J31/References!$G$52</f>
        <v>142.48182903015018</v>
      </c>
      <c r="L31" s="67">
        <f t="shared" si="13"/>
        <v>0.32754443455206939</v>
      </c>
      <c r="M31" s="162">
        <v>26.432116187178863</v>
      </c>
      <c r="N31" s="156">
        <f t="shared" si="5"/>
        <v>26.759660621730934</v>
      </c>
      <c r="O31" s="67">
        <f t="shared" si="14"/>
        <v>11497.970541422805</v>
      </c>
      <c r="P31" s="67">
        <f t="shared" si="15"/>
        <v>11640.452370452957</v>
      </c>
      <c r="Q31" s="71">
        <f t="shared" si="16"/>
        <v>142.48182903015186</v>
      </c>
      <c r="S31" s="174"/>
    </row>
    <row r="32" spans="1:19" s="59" customFormat="1">
      <c r="A32" s="193"/>
      <c r="B32" s="46">
        <v>28</v>
      </c>
      <c r="C32" s="43" t="s">
        <v>134</v>
      </c>
      <c r="D32" s="56">
        <v>0</v>
      </c>
      <c r="E32" s="69"/>
      <c r="F32" s="160">
        <v>4</v>
      </c>
      <c r="G32" s="68">
        <f>References!B29</f>
        <v>324</v>
      </c>
      <c r="H32" s="106">
        <f>F32*G32</f>
        <v>1296</v>
      </c>
      <c r="I32" s="45">
        <f>$D$126*H32</f>
        <v>1224.0803439831514</v>
      </c>
      <c r="J32" s="67">
        <f>(References!$C$49*I32)</f>
        <v>1.2852843611823201</v>
      </c>
      <c r="K32" s="67">
        <f>J32/References!$G$52</f>
        <v>1.3101777382082775</v>
      </c>
      <c r="L32" s="67">
        <f t="shared" si="13"/>
        <v>0.32754443455206939</v>
      </c>
      <c r="M32" s="162">
        <v>30.882116187178863</v>
      </c>
      <c r="N32" s="156">
        <f>L32+M32</f>
        <v>31.209660621730933</v>
      </c>
      <c r="O32" s="67">
        <f t="shared" ref="O32" si="22">F32*M32</f>
        <v>123.52846474871545</v>
      </c>
      <c r="P32" s="67">
        <f t="shared" ref="P32" si="23">F32*N32</f>
        <v>124.83864248692373</v>
      </c>
      <c r="Q32" s="71">
        <f t="shared" si="16"/>
        <v>1.3101777382082815</v>
      </c>
      <c r="S32" s="174"/>
    </row>
    <row r="33" spans="1:19" s="59" customFormat="1">
      <c r="A33" s="193"/>
      <c r="B33" s="46">
        <v>28</v>
      </c>
      <c r="C33" s="138" t="s">
        <v>168</v>
      </c>
      <c r="D33" s="141"/>
      <c r="E33" s="140"/>
      <c r="F33" s="161"/>
      <c r="G33" s="148"/>
      <c r="H33" s="141"/>
      <c r="I33" s="142"/>
      <c r="J33" s="143"/>
      <c r="K33" s="143"/>
      <c r="L33" s="143"/>
      <c r="M33" s="165">
        <v>16.96</v>
      </c>
      <c r="N33" s="157">
        <f>L33+M33</f>
        <v>16.96</v>
      </c>
      <c r="O33" s="143"/>
      <c r="P33" s="143"/>
      <c r="Q33" s="71"/>
      <c r="S33" s="174"/>
    </row>
    <row r="34" spans="1:19" s="59" customFormat="1">
      <c r="A34" s="193"/>
      <c r="B34" s="46">
        <v>28</v>
      </c>
      <c r="C34" s="121" t="s">
        <v>190</v>
      </c>
      <c r="D34" s="116"/>
      <c r="E34" s="69"/>
      <c r="F34" s="160">
        <v>140</v>
      </c>
      <c r="G34" s="145">
        <f>References!$B$30</f>
        <v>473</v>
      </c>
      <c r="H34" s="68">
        <f>F34*G34</f>
        <v>66220</v>
      </c>
      <c r="I34" s="45">
        <f>$D$126*H34</f>
        <v>62545.216341484782</v>
      </c>
      <c r="J34" s="67">
        <f>(References!$C$49*I34)</f>
        <v>65.672477158559602</v>
      </c>
      <c r="K34" s="67">
        <f>J34/References!$G$52</f>
        <v>66.944421160611213</v>
      </c>
      <c r="L34" s="67">
        <f t="shared" si="13"/>
        <v>0.47817443686150868</v>
      </c>
      <c r="M34" s="162">
        <v>39.003398013998769</v>
      </c>
      <c r="N34" s="156">
        <f>L34+M34</f>
        <v>39.481572450860277</v>
      </c>
      <c r="O34" s="67">
        <f>F34*M34</f>
        <v>5460.4757219598278</v>
      </c>
      <c r="P34" s="67">
        <f>F34*N34</f>
        <v>5527.4201431204392</v>
      </c>
      <c r="Q34" s="71">
        <f t="shared" ref="Q34" si="24">+P34-O34</f>
        <v>66.944421160611455</v>
      </c>
      <c r="R34" s="179"/>
      <c r="S34" s="174"/>
    </row>
    <row r="35" spans="1:19" s="59" customFormat="1">
      <c r="A35" s="193"/>
      <c r="B35" s="46">
        <v>28</v>
      </c>
      <c r="C35" s="121" t="s">
        <v>136</v>
      </c>
      <c r="D35" s="56"/>
      <c r="E35" s="69"/>
      <c r="F35" s="160">
        <v>469</v>
      </c>
      <c r="G35" s="145">
        <f>References!$B$30</f>
        <v>473</v>
      </c>
      <c r="H35" s="68">
        <f t="shared" si="12"/>
        <v>221837</v>
      </c>
      <c r="I35" s="45">
        <f>$D$126*H35</f>
        <v>209526.47474397402</v>
      </c>
      <c r="J35" s="67">
        <f>(References!$C$49*I35)</f>
        <v>220.00279848117466</v>
      </c>
      <c r="K35" s="67">
        <f>J35/References!$G$52</f>
        <v>224.26381088804757</v>
      </c>
      <c r="L35" s="67">
        <f t="shared" si="13"/>
        <v>0.47817443686150868</v>
      </c>
      <c r="M35" s="162">
        <v>39.003398013998769</v>
      </c>
      <c r="N35" s="156">
        <f t="shared" si="5"/>
        <v>39.481572450860277</v>
      </c>
      <c r="O35" s="67">
        <f t="shared" si="14"/>
        <v>18292.593668565423</v>
      </c>
      <c r="P35" s="67">
        <f t="shared" si="15"/>
        <v>18516.857479453469</v>
      </c>
      <c r="Q35" s="71">
        <f t="shared" si="16"/>
        <v>224.26381088804555</v>
      </c>
      <c r="S35" s="174"/>
    </row>
    <row r="36" spans="1:19" s="59" customFormat="1">
      <c r="A36" s="193"/>
      <c r="B36" s="46">
        <v>28</v>
      </c>
      <c r="C36" s="154" t="s">
        <v>137</v>
      </c>
      <c r="D36" s="56">
        <v>0</v>
      </c>
      <c r="E36" s="69"/>
      <c r="F36" s="160">
        <v>3</v>
      </c>
      <c r="G36" s="145">
        <f>References!$B$30</f>
        <v>473</v>
      </c>
      <c r="H36" s="106">
        <f t="shared" si="12"/>
        <v>1419</v>
      </c>
      <c r="I36" s="45">
        <f>$D$126*H36</f>
        <v>1340.2546358889597</v>
      </c>
      <c r="J36" s="67">
        <f>(References!$C$49*I36)</f>
        <v>1.40726736768342</v>
      </c>
      <c r="K36" s="67">
        <f>J36/References!$G$52</f>
        <v>1.4345233105845261</v>
      </c>
      <c r="L36" s="67">
        <f t="shared" si="13"/>
        <v>0.47817443686150868</v>
      </c>
      <c r="M36" s="162">
        <v>40.993398013998764</v>
      </c>
      <c r="N36" s="156">
        <f t="shared" si="5"/>
        <v>41.471572450860272</v>
      </c>
      <c r="O36" s="67">
        <f t="shared" si="14"/>
        <v>122.9801940419963</v>
      </c>
      <c r="P36" s="67">
        <f t="shared" si="15"/>
        <v>124.41471735258082</v>
      </c>
      <c r="Q36" s="71">
        <f t="shared" si="16"/>
        <v>1.4345233105845239</v>
      </c>
      <c r="S36" s="174"/>
    </row>
    <row r="37" spans="1:19" s="59" customFormat="1">
      <c r="A37" s="193"/>
      <c r="B37" s="46">
        <v>28</v>
      </c>
      <c r="C37" s="138" t="s">
        <v>169</v>
      </c>
      <c r="D37" s="141"/>
      <c r="E37" s="140"/>
      <c r="F37" s="161"/>
      <c r="G37" s="148"/>
      <c r="H37" s="141"/>
      <c r="I37" s="142"/>
      <c r="J37" s="143"/>
      <c r="K37" s="143"/>
      <c r="L37" s="143"/>
      <c r="M37" s="165">
        <v>18.5</v>
      </c>
      <c r="N37" s="157">
        <f>L37+M37</f>
        <v>18.5</v>
      </c>
      <c r="O37" s="143"/>
      <c r="P37" s="143"/>
      <c r="Q37" s="71"/>
      <c r="S37" s="174"/>
    </row>
    <row r="38" spans="1:19" s="59" customFormat="1">
      <c r="A38" s="193"/>
      <c r="B38" s="46">
        <v>28</v>
      </c>
      <c r="C38" s="121" t="s">
        <v>191</v>
      </c>
      <c r="D38" s="116"/>
      <c r="E38" s="69"/>
      <c r="F38" s="160">
        <v>97</v>
      </c>
      <c r="G38" s="149">
        <f>References!$B$31</f>
        <v>613</v>
      </c>
      <c r="H38" s="68">
        <f>F38*G38</f>
        <v>59461</v>
      </c>
      <c r="I38" s="45">
        <f>$D$126*H38</f>
        <v>56161.297325294872</v>
      </c>
      <c r="J38" s="67">
        <f>(References!$C$49*I38)</f>
        <v>58.969362191560137</v>
      </c>
      <c r="K38" s="67">
        <f>J38/References!$G$52</f>
        <v>60.111480317594435</v>
      </c>
      <c r="L38" s="67">
        <f t="shared" si="13"/>
        <v>0.61970598265561272</v>
      </c>
      <c r="M38" s="162">
        <v>51.494065502285927</v>
      </c>
      <c r="N38" s="156">
        <f>L38+M38</f>
        <v>52.113771484941537</v>
      </c>
      <c r="O38" s="67">
        <f>F38*M38</f>
        <v>4994.9243537217353</v>
      </c>
      <c r="P38" s="67">
        <f>F38*N38</f>
        <v>5055.0358340393295</v>
      </c>
      <c r="Q38" s="71">
        <f t="shared" ref="Q38" si="25">+P38-O38</f>
        <v>60.111480317594214</v>
      </c>
      <c r="R38" s="179"/>
      <c r="S38" s="174"/>
    </row>
    <row r="39" spans="1:19" s="59" customFormat="1">
      <c r="A39" s="193"/>
      <c r="B39" s="46">
        <v>28</v>
      </c>
      <c r="C39" s="121" t="s">
        <v>139</v>
      </c>
      <c r="D39" s="56"/>
      <c r="E39" s="69"/>
      <c r="F39" s="160">
        <v>477</v>
      </c>
      <c r="G39" s="149">
        <f>References!$B$31</f>
        <v>613</v>
      </c>
      <c r="H39" s="68">
        <f t="shared" si="12"/>
        <v>292401</v>
      </c>
      <c r="I39" s="45">
        <f>$D$126*H39</f>
        <v>276174.62705325417</v>
      </c>
      <c r="J39" s="67">
        <f>(References!$C$49*I39)</f>
        <v>289.98335840591943</v>
      </c>
      <c r="K39" s="67">
        <f>J39/References!$G$52</f>
        <v>295.59975372672727</v>
      </c>
      <c r="L39" s="67">
        <f t="shared" si="13"/>
        <v>0.61970598265561272</v>
      </c>
      <c r="M39" s="162">
        <v>51.494065502285927</v>
      </c>
      <c r="N39" s="156">
        <f t="shared" si="5"/>
        <v>52.113771484941537</v>
      </c>
      <c r="O39" s="67">
        <f t="shared" si="14"/>
        <v>24562.669244590386</v>
      </c>
      <c r="P39" s="67">
        <f t="shared" si="15"/>
        <v>24858.268998317115</v>
      </c>
      <c r="Q39" s="71">
        <f t="shared" si="16"/>
        <v>295.59975372672852</v>
      </c>
      <c r="S39" s="174"/>
    </row>
    <row r="40" spans="1:19" s="59" customFormat="1">
      <c r="A40" s="193"/>
      <c r="B40" s="46">
        <v>28</v>
      </c>
      <c r="C40" s="121" t="s">
        <v>140</v>
      </c>
      <c r="D40" s="56"/>
      <c r="E40" s="69"/>
      <c r="F40" s="160">
        <v>2</v>
      </c>
      <c r="G40" s="149">
        <f>References!$B$31</f>
        <v>613</v>
      </c>
      <c r="H40" s="68">
        <f t="shared" ref="H40:H43" si="26">F40*G40</f>
        <v>1226</v>
      </c>
      <c r="I40" s="45">
        <f>$D$126*H40</f>
        <v>1157.9648933050489</v>
      </c>
      <c r="J40" s="67">
        <f>(References!$C$49*I40)</f>
        <v>1.215863137970312</v>
      </c>
      <c r="K40" s="67">
        <f>J40/References!$G$52</f>
        <v>1.2394119653112252</v>
      </c>
      <c r="L40" s="67">
        <f t="shared" si="13"/>
        <v>0.61970598265561261</v>
      </c>
      <c r="M40" s="162">
        <v>54.404065502285924</v>
      </c>
      <c r="N40" s="156">
        <f t="shared" si="5"/>
        <v>55.023771484941534</v>
      </c>
      <c r="O40" s="67">
        <f t="shared" si="14"/>
        <v>108.80813100457185</v>
      </c>
      <c r="P40" s="67">
        <f t="shared" si="15"/>
        <v>110.04754296988307</v>
      </c>
      <c r="Q40" s="71">
        <f t="shared" si="16"/>
        <v>1.2394119653112199</v>
      </c>
      <c r="S40" s="174"/>
    </row>
    <row r="41" spans="1:19" s="59" customFormat="1">
      <c r="A41" s="193"/>
      <c r="B41" s="46">
        <v>28</v>
      </c>
      <c r="C41" s="138" t="s">
        <v>170</v>
      </c>
      <c r="D41" s="141"/>
      <c r="E41" s="140"/>
      <c r="F41" s="161"/>
      <c r="G41" s="148"/>
      <c r="H41" s="141"/>
      <c r="I41" s="142"/>
      <c r="J41" s="143"/>
      <c r="K41" s="143"/>
      <c r="L41" s="143"/>
      <c r="M41" s="165">
        <v>18.750000000000007</v>
      </c>
      <c r="N41" s="157">
        <f>L41+M41</f>
        <v>18.750000000000007</v>
      </c>
      <c r="O41" s="143"/>
      <c r="P41" s="143"/>
      <c r="Q41" s="71"/>
      <c r="S41" s="174"/>
    </row>
    <row r="42" spans="1:19" s="59" customFormat="1">
      <c r="A42" s="193"/>
      <c r="B42" s="46">
        <v>28</v>
      </c>
      <c r="C42" s="121" t="s">
        <v>192</v>
      </c>
      <c r="D42" s="116"/>
      <c r="E42" s="69"/>
      <c r="F42" s="160">
        <v>24</v>
      </c>
      <c r="G42" s="147">
        <v>766.25</v>
      </c>
      <c r="H42" s="68">
        <f>F42*G42</f>
        <v>18390</v>
      </c>
      <c r="I42" s="45">
        <f>$D$126*H42</f>
        <v>17369.473399575734</v>
      </c>
      <c r="J42" s="67">
        <f>(References!$C$49*I42)</f>
        <v>18.237947069554682</v>
      </c>
      <c r="K42" s="67">
        <f>J42/References!$G$52</f>
        <v>18.59117947966838</v>
      </c>
      <c r="L42" s="67">
        <f t="shared" si="13"/>
        <v>0.77463247831951587</v>
      </c>
      <c r="M42" s="162">
        <v>61.915081877857411</v>
      </c>
      <c r="N42" s="156">
        <f>L42+M42</f>
        <v>62.689714356176928</v>
      </c>
      <c r="O42" s="67">
        <f>F42*M42</f>
        <v>1485.9619650685779</v>
      </c>
      <c r="P42" s="67">
        <f>F42*N42</f>
        <v>1504.5531445482463</v>
      </c>
      <c r="Q42" s="71">
        <f t="shared" ref="Q42" si="27">+P42-O42</f>
        <v>18.591179479668426</v>
      </c>
      <c r="R42" s="179"/>
      <c r="S42" s="174"/>
    </row>
    <row r="43" spans="1:19" s="59" customFormat="1">
      <c r="A43" s="193"/>
      <c r="B43" s="46">
        <v>28</v>
      </c>
      <c r="C43" s="121" t="s">
        <v>142</v>
      </c>
      <c r="D43" s="56"/>
      <c r="E43" s="69"/>
      <c r="F43" s="160">
        <v>80</v>
      </c>
      <c r="G43" s="147">
        <v>766.25</v>
      </c>
      <c r="H43" s="106">
        <f t="shared" si="26"/>
        <v>61300</v>
      </c>
      <c r="I43" s="45">
        <f>$D$126*H43</f>
        <v>57898.244665252445</v>
      </c>
      <c r="J43" s="67">
        <f>(References!$C$49*I43)</f>
        <v>60.793156898515605</v>
      </c>
      <c r="K43" s="67">
        <f>J43/References!$G$52</f>
        <v>61.970598265561271</v>
      </c>
      <c r="L43" s="67">
        <f t="shared" si="13"/>
        <v>0.77463247831951587</v>
      </c>
      <c r="M43" s="162">
        <v>61.915081877857411</v>
      </c>
      <c r="N43" s="156">
        <f t="shared" si="5"/>
        <v>62.689714356176928</v>
      </c>
      <c r="O43" s="67">
        <f t="shared" si="14"/>
        <v>4953.2065502285932</v>
      </c>
      <c r="P43" s="67">
        <f t="shared" si="15"/>
        <v>5015.1771484941546</v>
      </c>
      <c r="Q43" s="71">
        <f t="shared" si="16"/>
        <v>61.970598265561421</v>
      </c>
      <c r="S43" s="174"/>
    </row>
    <row r="44" spans="1:19" s="59" customFormat="1">
      <c r="A44" s="193"/>
      <c r="B44" s="46" t="s">
        <v>187</v>
      </c>
      <c r="C44" s="138" t="s">
        <v>171</v>
      </c>
      <c r="D44" s="141"/>
      <c r="E44" s="140"/>
      <c r="F44" s="161"/>
      <c r="G44" s="148"/>
      <c r="H44" s="144"/>
      <c r="I44" s="142"/>
      <c r="J44" s="143"/>
      <c r="K44" s="143"/>
      <c r="L44" s="143"/>
      <c r="M44" s="165">
        <v>18.720000000000013</v>
      </c>
      <c r="N44" s="157">
        <f>L44+M44</f>
        <v>18.720000000000013</v>
      </c>
      <c r="O44" s="143"/>
      <c r="P44" s="143"/>
      <c r="Q44" s="71"/>
      <c r="S44" s="174"/>
    </row>
    <row r="45" spans="1:19" s="59" customFormat="1">
      <c r="A45" s="193"/>
      <c r="B45" s="46" t="s">
        <v>187</v>
      </c>
      <c r="C45" s="121" t="s">
        <v>193</v>
      </c>
      <c r="D45" s="116"/>
      <c r="E45" s="69"/>
      <c r="F45" s="160">
        <v>96</v>
      </c>
      <c r="G45" s="145">
        <f>References!$B$32</f>
        <v>840</v>
      </c>
      <c r="H45" s="68">
        <f>F45*G45</f>
        <v>80640</v>
      </c>
      <c r="I45" s="45">
        <f>$D$126*H45</f>
        <v>76164.999181173858</v>
      </c>
      <c r="J45" s="67">
        <f>(References!$C$49*I45)</f>
        <v>79.97324914023325</v>
      </c>
      <c r="K45" s="67">
        <f>J45/References!$G$52</f>
        <v>81.522170377403924</v>
      </c>
      <c r="L45" s="67">
        <f t="shared" si="13"/>
        <v>0.84918927476462425</v>
      </c>
      <c r="M45" s="162">
        <v>71.554004929722964</v>
      </c>
      <c r="N45" s="156">
        <f>L45+M45</f>
        <v>72.40319420448759</v>
      </c>
      <c r="O45" s="67">
        <f>F45*M45</f>
        <v>6869.1844732534046</v>
      </c>
      <c r="P45" s="67">
        <f>F45*N45</f>
        <v>6950.7066436308087</v>
      </c>
      <c r="Q45" s="71">
        <f t="shared" ref="Q45" si="28">+P45-O45</f>
        <v>81.522170377404109</v>
      </c>
      <c r="R45" s="179"/>
      <c r="S45" s="174"/>
    </row>
    <row r="46" spans="1:19" s="59" customFormat="1">
      <c r="A46" s="193"/>
      <c r="B46" s="46" t="s">
        <v>187</v>
      </c>
      <c r="C46" s="121" t="s">
        <v>145</v>
      </c>
      <c r="D46" s="56"/>
      <c r="E46" s="69"/>
      <c r="F46" s="160">
        <v>657</v>
      </c>
      <c r="G46" s="145">
        <f>References!$B$32</f>
        <v>840</v>
      </c>
      <c r="H46" s="106">
        <f t="shared" ref="H46:H47" si="29">F46*G46</f>
        <v>551880</v>
      </c>
      <c r="I46" s="45">
        <f>$D$126*H46</f>
        <v>521254.21314615855</v>
      </c>
      <c r="J46" s="67">
        <f>(References!$C$49*I46)</f>
        <v>547.31692380347135</v>
      </c>
      <c r="K46" s="67">
        <f>J46/References!$G$52</f>
        <v>557.91735352035812</v>
      </c>
      <c r="L46" s="67">
        <f t="shared" si="13"/>
        <v>0.84918927476462425</v>
      </c>
      <c r="M46" s="162">
        <v>71.554004929722964</v>
      </c>
      <c r="N46" s="156">
        <f t="shared" ref="N46:N47" si="30">L46+M46</f>
        <v>72.40319420448759</v>
      </c>
      <c r="O46" s="67">
        <f t="shared" ref="O46:O47" si="31">F46*M46</f>
        <v>47010.98123882799</v>
      </c>
      <c r="P46" s="67">
        <f t="shared" ref="P46:P47" si="32">F46*N46</f>
        <v>47568.898592348349</v>
      </c>
      <c r="Q46" s="71">
        <f t="shared" si="16"/>
        <v>557.91735352035903</v>
      </c>
      <c r="S46" s="174"/>
    </row>
    <row r="47" spans="1:19" s="59" customFormat="1">
      <c r="A47" s="193"/>
      <c r="B47" s="46" t="s">
        <v>187</v>
      </c>
      <c r="C47" s="121" t="s">
        <v>195</v>
      </c>
      <c r="D47" s="56"/>
      <c r="E47" s="69"/>
      <c r="F47" s="160">
        <v>3</v>
      </c>
      <c r="G47" s="145">
        <f>References!$B$32</f>
        <v>840</v>
      </c>
      <c r="H47" s="68">
        <f t="shared" si="29"/>
        <v>2520</v>
      </c>
      <c r="I47" s="45">
        <f>$D$126*H47</f>
        <v>2380.1562244116831</v>
      </c>
      <c r="J47" s="67">
        <f>(References!$C$49*I47)</f>
        <v>2.4991640356322891</v>
      </c>
      <c r="K47" s="67">
        <f>J47/References!$G$52</f>
        <v>2.5475678242938726</v>
      </c>
      <c r="L47" s="67">
        <f t="shared" si="13"/>
        <v>0.84918927476462425</v>
      </c>
      <c r="M47" s="162">
        <v>72.790000000000006</v>
      </c>
      <c r="N47" s="156">
        <f t="shared" si="30"/>
        <v>73.639189274764632</v>
      </c>
      <c r="O47" s="67">
        <f t="shared" si="31"/>
        <v>218.37</v>
      </c>
      <c r="P47" s="67">
        <f t="shared" si="32"/>
        <v>220.91756782429388</v>
      </c>
      <c r="Q47" s="71">
        <f t="shared" ref="Q47" si="33">+P47-O47</f>
        <v>2.5475678242938784</v>
      </c>
      <c r="S47" s="174"/>
    </row>
    <row r="48" spans="1:19" s="59" customFormat="1">
      <c r="A48" s="193"/>
      <c r="B48" s="46" t="s">
        <v>187</v>
      </c>
      <c r="C48" s="138" t="s">
        <v>172</v>
      </c>
      <c r="D48" s="141"/>
      <c r="E48" s="140"/>
      <c r="F48" s="161"/>
      <c r="G48" s="148"/>
      <c r="H48" s="144"/>
      <c r="I48" s="142"/>
      <c r="J48" s="143"/>
      <c r="K48" s="143"/>
      <c r="L48" s="143"/>
      <c r="M48" s="165">
        <v>20.040000000000006</v>
      </c>
      <c r="N48" s="157">
        <f>L48+M48</f>
        <v>20.040000000000006</v>
      </c>
      <c r="O48" s="143"/>
      <c r="P48" s="143"/>
      <c r="Q48" s="71"/>
      <c r="S48" s="174"/>
    </row>
    <row r="49" spans="1:20" s="59" customFormat="1">
      <c r="A49" s="193"/>
      <c r="B49" s="46" t="s">
        <v>187</v>
      </c>
      <c r="C49" s="121" t="s">
        <v>194</v>
      </c>
      <c r="D49" s="116"/>
      <c r="E49" s="69"/>
      <c r="F49" s="160">
        <v>43</v>
      </c>
      <c r="G49" s="146">
        <f>References!$B$33</f>
        <v>980</v>
      </c>
      <c r="H49" s="68">
        <f>F49*G49</f>
        <v>42140</v>
      </c>
      <c r="I49" s="45">
        <f>$D$126*H49</f>
        <v>39801.501308217586</v>
      </c>
      <c r="J49" s="67">
        <f>(References!$C$49*I49)</f>
        <v>41.791576373628835</v>
      </c>
      <c r="K49" s="67">
        <f>J49/References!$G$52</f>
        <v>42.600995284025316</v>
      </c>
      <c r="L49" s="67">
        <f t="shared" si="13"/>
        <v>0.99072082055872823</v>
      </c>
      <c r="M49" s="162">
        <v>81.274672418010141</v>
      </c>
      <c r="N49" s="156">
        <f>L49+M49</f>
        <v>82.265393238568876</v>
      </c>
      <c r="O49" s="67">
        <f>F49*M49</f>
        <v>3494.8109139744361</v>
      </c>
      <c r="P49" s="67">
        <f>F49*N49</f>
        <v>3537.4119092584615</v>
      </c>
      <c r="Q49" s="71">
        <f t="shared" ref="Q49" si="34">+P49-O49</f>
        <v>42.60099528402543</v>
      </c>
      <c r="R49" s="179"/>
      <c r="S49" s="174"/>
    </row>
    <row r="50" spans="1:20" s="59" customFormat="1">
      <c r="A50" s="193"/>
      <c r="B50" s="46" t="s">
        <v>187</v>
      </c>
      <c r="C50" s="121" t="s">
        <v>147</v>
      </c>
      <c r="D50" s="56"/>
      <c r="E50" s="69"/>
      <c r="F50" s="160">
        <v>194</v>
      </c>
      <c r="G50" s="146">
        <f>References!$B$33</f>
        <v>980</v>
      </c>
      <c r="H50" s="106">
        <f t="shared" ref="H50:H51" si="35">F50*G50</f>
        <v>190120</v>
      </c>
      <c r="I50" s="45">
        <f>$D$126*H50</f>
        <v>179569.56404172585</v>
      </c>
      <c r="J50" s="67">
        <f>(References!$C$49*I50)</f>
        <v>188.5480422438138</v>
      </c>
      <c r="K50" s="67">
        <f>J50/References!$G$52</f>
        <v>192.19983918839327</v>
      </c>
      <c r="L50" s="67">
        <f t="shared" si="13"/>
        <v>0.99072082055872823</v>
      </c>
      <c r="M50" s="162">
        <v>81.274672418010141</v>
      </c>
      <c r="N50" s="156">
        <f t="shared" ref="N50:N51" si="36">L50+M50</f>
        <v>82.265393238568876</v>
      </c>
      <c r="O50" s="67">
        <f t="shared" ref="O50:O51" si="37">F50*M50</f>
        <v>15767.286449093968</v>
      </c>
      <c r="P50" s="67">
        <f t="shared" ref="P50:P51" si="38">F50*N50</f>
        <v>15959.486288282362</v>
      </c>
      <c r="Q50" s="71">
        <f t="shared" si="16"/>
        <v>192.19983918839353</v>
      </c>
      <c r="S50" s="174"/>
    </row>
    <row r="51" spans="1:20" s="59" customFormat="1">
      <c r="A51" s="193"/>
      <c r="B51" s="46" t="s">
        <v>187</v>
      </c>
      <c r="C51" s="121" t="s">
        <v>148</v>
      </c>
      <c r="D51" s="56"/>
      <c r="E51" s="69"/>
      <c r="F51" s="160">
        <v>1</v>
      </c>
      <c r="G51" s="146">
        <f>References!$B$33</f>
        <v>980</v>
      </c>
      <c r="H51" s="106">
        <f t="shared" si="35"/>
        <v>980</v>
      </c>
      <c r="I51" s="45">
        <f>$D$126*H51</f>
        <v>925.61630949343225</v>
      </c>
      <c r="J51" s="67">
        <f>(References!$C$49*I51)</f>
        <v>0.97189712496811242</v>
      </c>
      <c r="K51" s="67">
        <f>J51/References!$G$52</f>
        <v>0.99072082055872823</v>
      </c>
      <c r="L51" s="67">
        <f t="shared" si="13"/>
        <v>0.99072082055872823</v>
      </c>
      <c r="M51" s="162">
        <v>86.354672418010139</v>
      </c>
      <c r="N51" s="156">
        <f t="shared" si="36"/>
        <v>87.345393238568874</v>
      </c>
      <c r="O51" s="67">
        <f t="shared" si="37"/>
        <v>86.354672418010139</v>
      </c>
      <c r="P51" s="67">
        <f t="shared" si="38"/>
        <v>87.345393238568874</v>
      </c>
      <c r="Q51" s="71">
        <f t="shared" si="16"/>
        <v>0.99072082055873523</v>
      </c>
      <c r="S51" s="174"/>
    </row>
    <row r="52" spans="1:20" s="59" customFormat="1">
      <c r="A52" s="193"/>
      <c r="O52" s="67"/>
      <c r="P52" s="67"/>
      <c r="Q52" s="71"/>
      <c r="S52" s="174"/>
    </row>
    <row r="53" spans="1:20" s="59" customFormat="1">
      <c r="A53" s="193"/>
      <c r="Q53" s="71"/>
      <c r="S53" s="174"/>
    </row>
    <row r="54" spans="1:20" s="59" customFormat="1">
      <c r="A54" s="193"/>
      <c r="B54" s="46"/>
      <c r="C54" s="121"/>
      <c r="D54" s="56"/>
      <c r="E54" s="69"/>
      <c r="F54" s="122"/>
      <c r="G54" s="145"/>
      <c r="H54" s="68"/>
      <c r="I54" s="45"/>
      <c r="J54" s="67"/>
      <c r="K54" s="67"/>
      <c r="L54" s="67"/>
      <c r="M54" s="67"/>
      <c r="N54" s="67"/>
      <c r="O54" s="67"/>
      <c r="P54" s="67"/>
      <c r="Q54" s="71"/>
      <c r="S54" s="174"/>
    </row>
    <row r="55" spans="1:20" s="59" customFormat="1">
      <c r="A55" s="47"/>
      <c r="B55" s="27"/>
      <c r="C55" s="48"/>
      <c r="D55" s="49">
        <f>SUM(D17:D49)</f>
        <v>0</v>
      </c>
      <c r="E55" s="49">
        <f>SUM(E17:E49)</f>
        <v>0</v>
      </c>
      <c r="F55" s="49">
        <f>SUM(F17:F54)</f>
        <v>7607</v>
      </c>
      <c r="G55" s="150">
        <f>SUM(G17:G54)</f>
        <v>13037.5</v>
      </c>
      <c r="H55" s="49">
        <f>SUM(H17:H54)</f>
        <v>2565771</v>
      </c>
      <c r="I55" s="49">
        <f>SUM(I17:I54)</f>
        <v>2423387.2285972177</v>
      </c>
      <c r="J55" s="73"/>
      <c r="K55" s="73"/>
      <c r="L55" s="73"/>
      <c r="M55" s="73"/>
      <c r="N55" s="73"/>
      <c r="O55" s="135">
        <f>SUM(O17:O54)</f>
        <v>260357.12042871103</v>
      </c>
      <c r="P55" s="135">
        <f>SUM(P17:P54)</f>
        <v>262950.95997002308</v>
      </c>
      <c r="Q55" s="135">
        <f>SUM(Q17:Q54)</f>
        <v>2593.8395413120356</v>
      </c>
      <c r="S55" s="174"/>
      <c r="T55" s="174">
        <f>+Q55/O55</f>
        <v>9.9626218673833453E-3</v>
      </c>
    </row>
    <row r="56" spans="1:20">
      <c r="C56" s="63"/>
      <c r="D56" s="64">
        <f>D16+D55</f>
        <v>4332</v>
      </c>
      <c r="E56" s="64"/>
      <c r="F56" s="104">
        <f>F16+F55</f>
        <v>233297</v>
      </c>
      <c r="G56" s="64"/>
      <c r="H56" s="64">
        <f>H16+H55</f>
        <v>16016831</v>
      </c>
      <c r="I56" s="64">
        <f>I16+I55</f>
        <v>15128000.000000002</v>
      </c>
      <c r="J56" s="67"/>
      <c r="K56" s="75"/>
      <c r="L56" s="75"/>
      <c r="M56" s="75"/>
      <c r="N56" s="75"/>
      <c r="O56" s="75">
        <f>O16+O55</f>
        <v>1522121.9528912918</v>
      </c>
      <c r="P56" s="75">
        <f>P16+P55</f>
        <v>1538314.0018209561</v>
      </c>
      <c r="Q56" s="75">
        <f>Q16+Q55</f>
        <v>16192.048929663912</v>
      </c>
      <c r="S56" s="174"/>
      <c r="T56" s="174">
        <f>+Q56/O56</f>
        <v>1.063781315216359E-2</v>
      </c>
    </row>
    <row r="57" spans="1:20">
      <c r="G57" s="151"/>
      <c r="J57" s="55"/>
      <c r="P57" s="60"/>
      <c r="S57" s="174"/>
    </row>
    <row r="58" spans="1:20">
      <c r="G58" s="151"/>
      <c r="J58" s="55"/>
      <c r="P58" s="60"/>
      <c r="S58" s="174"/>
    </row>
    <row r="59" spans="1:20">
      <c r="A59" s="76"/>
      <c r="B59" s="77"/>
      <c r="C59" s="81" t="s">
        <v>91</v>
      </c>
      <c r="D59" s="78"/>
      <c r="E59" s="76"/>
      <c r="F59" s="76"/>
      <c r="G59" s="152"/>
      <c r="H59" s="76"/>
      <c r="I59" s="79"/>
      <c r="J59" s="80"/>
      <c r="K59" s="76"/>
      <c r="L59" s="76"/>
      <c r="M59" s="76"/>
      <c r="N59" s="76"/>
      <c r="O59" s="59"/>
      <c r="P59" s="103"/>
      <c r="Q59" s="59"/>
      <c r="S59" s="174"/>
    </row>
    <row r="60" spans="1:20" s="59" customFormat="1" ht="15" customHeight="1">
      <c r="A60" s="193" t="s">
        <v>49</v>
      </c>
      <c r="B60" s="46">
        <v>20</v>
      </c>
      <c r="C60" s="121" t="s">
        <v>113</v>
      </c>
      <c r="D60" s="68">
        <v>0</v>
      </c>
      <c r="E60" s="69">
        <f>References!$B$7</f>
        <v>4.333333333333333</v>
      </c>
      <c r="F60" s="68">
        <f>E60*12</f>
        <v>52</v>
      </c>
      <c r="G60" s="68">
        <f>References!B14</f>
        <v>34</v>
      </c>
      <c r="H60" s="68">
        <f>F60*G60</f>
        <v>1768</v>
      </c>
      <c r="I60" s="45">
        <f t="shared" ref="I60:I74" si="39">$D$126*H60</f>
        <v>1669.8873828412125</v>
      </c>
      <c r="J60" s="67">
        <f>(References!$C$49*I60)</f>
        <v>1.7533817519832886</v>
      </c>
      <c r="K60" s="67">
        <f>J60/References!$G$52</f>
        <v>1.7873412354569711</v>
      </c>
      <c r="L60" s="67">
        <f>K60/F60*E60</f>
        <v>0.14894510295474758</v>
      </c>
      <c r="M60" s="162">
        <v>12.61746435672125</v>
      </c>
      <c r="N60" s="156">
        <f>L60+M60</f>
        <v>12.766409459675998</v>
      </c>
      <c r="O60" s="124"/>
      <c r="P60" s="67"/>
      <c r="Q60" s="67"/>
      <c r="S60" s="174"/>
    </row>
    <row r="61" spans="1:20" s="59" customFormat="1">
      <c r="A61" s="193"/>
      <c r="B61" s="46">
        <v>20</v>
      </c>
      <c r="C61" s="105" t="s">
        <v>114</v>
      </c>
      <c r="D61" s="68">
        <v>0</v>
      </c>
      <c r="E61" s="69">
        <f>References!$B$7</f>
        <v>4.333333333333333</v>
      </c>
      <c r="F61" s="68">
        <f t="shared" ref="F61:F73" si="40">E61*12</f>
        <v>52</v>
      </c>
      <c r="G61" s="68">
        <f>References!B15</f>
        <v>51</v>
      </c>
      <c r="H61" s="68">
        <f t="shared" ref="H61:H73" si="41">F61*G61</f>
        <v>2652</v>
      </c>
      <c r="I61" s="45">
        <f t="shared" si="39"/>
        <v>2504.8310742618187</v>
      </c>
      <c r="J61" s="67">
        <f>(References!$C$49*I61)</f>
        <v>2.6300726279749327</v>
      </c>
      <c r="K61" s="67">
        <f>J61/References!$G$52</f>
        <v>2.6810118531854563</v>
      </c>
      <c r="L61" s="67">
        <f>K61/F61*E61</f>
        <v>0.22341765443212133</v>
      </c>
      <c r="M61" s="162">
        <v>16.946196535081878</v>
      </c>
      <c r="N61" s="156">
        <f>L61+M61</f>
        <v>17.169614189514</v>
      </c>
      <c r="O61" s="67"/>
      <c r="P61" s="67"/>
      <c r="Q61" s="67"/>
      <c r="S61" s="174"/>
    </row>
    <row r="62" spans="1:20" s="59" customFormat="1">
      <c r="A62" s="193"/>
      <c r="B62" s="46">
        <v>20</v>
      </c>
      <c r="C62" s="105" t="s">
        <v>115</v>
      </c>
      <c r="D62" s="68">
        <v>0</v>
      </c>
      <c r="E62" s="69">
        <f>References!$B$7</f>
        <v>4.333333333333333</v>
      </c>
      <c r="F62" s="68">
        <f t="shared" si="40"/>
        <v>52</v>
      </c>
      <c r="G62" s="68">
        <f>References!B16</f>
        <v>77</v>
      </c>
      <c r="H62" s="68">
        <f t="shared" si="41"/>
        <v>4004</v>
      </c>
      <c r="I62" s="45">
        <f t="shared" si="39"/>
        <v>3781.8037787874518</v>
      </c>
      <c r="J62" s="67">
        <f>(References!$C$49*I62)</f>
        <v>3.9708939677268593</v>
      </c>
      <c r="K62" s="67">
        <f>J62/References!$G$52</f>
        <v>4.0478022097113753</v>
      </c>
      <c r="L62" s="67">
        <f t="shared" ref="L62:L73" si="42">K62/F62*E62</f>
        <v>0.33731685080928125</v>
      </c>
      <c r="M62" s="162">
        <v>21.644257513751068</v>
      </c>
      <c r="N62" s="156">
        <f t="shared" ref="N62:N73" si="43">L62+M62</f>
        <v>21.981574364560348</v>
      </c>
      <c r="O62" s="67"/>
      <c r="P62" s="67"/>
      <c r="Q62" s="67"/>
      <c r="S62" s="174"/>
    </row>
    <row r="63" spans="1:20" s="59" customFormat="1">
      <c r="A63" s="193"/>
      <c r="B63" s="46">
        <v>20</v>
      </c>
      <c r="C63" s="105" t="s">
        <v>116</v>
      </c>
      <c r="D63" s="68">
        <v>0</v>
      </c>
      <c r="E63" s="69">
        <f>References!$B$7</f>
        <v>4.333333333333333</v>
      </c>
      <c r="F63" s="68">
        <f t="shared" si="40"/>
        <v>52</v>
      </c>
      <c r="G63" s="68">
        <f>References!B17</f>
        <v>97</v>
      </c>
      <c r="H63" s="68">
        <f t="shared" si="41"/>
        <v>5044</v>
      </c>
      <c r="I63" s="45">
        <f t="shared" si="39"/>
        <v>4764.0904745764001</v>
      </c>
      <c r="J63" s="67">
        <f>(References!$C$49*I63)</f>
        <v>5.0022949983052643</v>
      </c>
      <c r="K63" s="67">
        <f>J63/References!$G$52</f>
        <v>5.0991794070390055</v>
      </c>
      <c r="L63" s="67">
        <f t="shared" si="42"/>
        <v>0.42493161725325046</v>
      </c>
      <c r="M63" s="162">
        <v>26.712765958881217</v>
      </c>
      <c r="N63" s="156">
        <f t="shared" si="43"/>
        <v>27.137697576134467</v>
      </c>
      <c r="O63" s="67"/>
      <c r="P63" s="67"/>
      <c r="Q63" s="67"/>
      <c r="S63" s="174"/>
    </row>
    <row r="64" spans="1:20" s="59" customFormat="1">
      <c r="A64" s="193"/>
      <c r="B64" s="46">
        <v>20</v>
      </c>
      <c r="C64" s="105" t="s">
        <v>117</v>
      </c>
      <c r="D64" s="68">
        <v>0</v>
      </c>
      <c r="E64" s="69">
        <f>References!$B$7</f>
        <v>4.333333333333333</v>
      </c>
      <c r="F64" s="68">
        <f t="shared" si="40"/>
        <v>52</v>
      </c>
      <c r="G64" s="68">
        <f>References!B18</f>
        <v>117</v>
      </c>
      <c r="H64" s="68">
        <f t="shared" si="41"/>
        <v>6084</v>
      </c>
      <c r="I64" s="45">
        <f t="shared" si="39"/>
        <v>5746.3771703653492</v>
      </c>
      <c r="J64" s="67">
        <f>(References!$C$49*I64)</f>
        <v>6.0336960288836696</v>
      </c>
      <c r="K64" s="67">
        <f>J64/References!$G$52</f>
        <v>6.1505566043666358</v>
      </c>
      <c r="L64" s="67">
        <f t="shared" si="42"/>
        <v>0.51254638369721961</v>
      </c>
      <c r="M64" s="162">
        <v>32.031274404011363</v>
      </c>
      <c r="N64" s="156">
        <f t="shared" si="43"/>
        <v>32.543820787708583</v>
      </c>
      <c r="O64" s="67"/>
      <c r="P64" s="67"/>
      <c r="Q64" s="67"/>
      <c r="S64" s="174"/>
    </row>
    <row r="65" spans="1:19" s="59" customFormat="1">
      <c r="A65" s="193"/>
      <c r="B65" s="46">
        <v>20</v>
      </c>
      <c r="C65" s="105" t="s">
        <v>118</v>
      </c>
      <c r="D65" s="68">
        <v>0</v>
      </c>
      <c r="E65" s="69">
        <f>References!$B$7</f>
        <v>4.333333333333333</v>
      </c>
      <c r="F65" s="68">
        <f t="shared" si="40"/>
        <v>52</v>
      </c>
      <c r="G65" s="68">
        <f>References!B19</f>
        <v>157</v>
      </c>
      <c r="H65" s="68">
        <f t="shared" si="41"/>
        <v>8164</v>
      </c>
      <c r="I65" s="45">
        <f t="shared" si="39"/>
        <v>7710.9505619432457</v>
      </c>
      <c r="J65" s="67">
        <f>(References!$C$49*I65)</f>
        <v>8.0964980900404786</v>
      </c>
      <c r="K65" s="67">
        <f>J65/References!$G$52</f>
        <v>8.2533109990218954</v>
      </c>
      <c r="L65" s="67">
        <f t="shared" si="42"/>
        <v>0.68777591658515791</v>
      </c>
      <c r="M65" s="162">
        <v>38.128291294271662</v>
      </c>
      <c r="N65" s="156">
        <f>L65+M65</f>
        <v>38.816067210856822</v>
      </c>
      <c r="O65" s="67"/>
      <c r="P65" s="67"/>
      <c r="Q65" s="67"/>
      <c r="S65" s="174"/>
    </row>
    <row r="66" spans="1:19" s="59" customFormat="1">
      <c r="A66" s="193"/>
      <c r="B66" s="46">
        <v>20</v>
      </c>
      <c r="C66" s="105" t="s">
        <v>111</v>
      </c>
      <c r="D66" s="68">
        <v>0</v>
      </c>
      <c r="E66" s="69">
        <f>References!B9</f>
        <v>1</v>
      </c>
      <c r="F66" s="68">
        <f t="shared" si="40"/>
        <v>12</v>
      </c>
      <c r="G66" s="68">
        <f>References!B14</f>
        <v>34</v>
      </c>
      <c r="H66" s="68">
        <f t="shared" si="41"/>
        <v>408</v>
      </c>
      <c r="I66" s="45">
        <f t="shared" si="39"/>
        <v>385.35862680951055</v>
      </c>
      <c r="J66" s="67">
        <f>(References!$C$49*I66)</f>
        <v>0.40462655814998966</v>
      </c>
      <c r="K66" s="67">
        <f>J66/References!$G$52</f>
        <v>0.41246336202853179</v>
      </c>
      <c r="L66" s="67">
        <f t="shared" si="42"/>
        <v>3.437194683571098E-2</v>
      </c>
      <c r="M66" s="162">
        <v>4.9878763900125964</v>
      </c>
      <c r="N66" s="156">
        <f t="shared" si="43"/>
        <v>5.0222483368483077</v>
      </c>
      <c r="O66" s="67"/>
      <c r="P66" s="67"/>
      <c r="Q66" s="67"/>
      <c r="S66" s="174"/>
    </row>
    <row r="67" spans="1:19" s="59" customFormat="1">
      <c r="A67" s="193"/>
      <c r="B67" s="46">
        <v>20</v>
      </c>
      <c r="C67" s="105" t="s">
        <v>112</v>
      </c>
      <c r="D67" s="68">
        <v>0</v>
      </c>
      <c r="E67" s="69">
        <f>References!C9</f>
        <v>2</v>
      </c>
      <c r="F67" s="68">
        <f t="shared" si="40"/>
        <v>24</v>
      </c>
      <c r="G67" s="68">
        <f>References!B14</f>
        <v>34</v>
      </c>
      <c r="H67" s="68">
        <f t="shared" si="41"/>
        <v>816</v>
      </c>
      <c r="I67" s="45">
        <f t="shared" si="39"/>
        <v>770.71725361902111</v>
      </c>
      <c r="J67" s="67">
        <f>(References!$C$49*I67)</f>
        <v>0.80925311629997931</v>
      </c>
      <c r="K67" s="67">
        <f>J67/References!$G$52</f>
        <v>0.82492672405706358</v>
      </c>
      <c r="L67" s="67">
        <f t="shared" si="42"/>
        <v>6.874389367142196E-2</v>
      </c>
      <c r="M67" s="162">
        <v>10.015752780025192</v>
      </c>
      <c r="N67" s="156">
        <f t="shared" si="43"/>
        <v>10.084496673696615</v>
      </c>
      <c r="O67" s="67"/>
      <c r="P67" s="67"/>
      <c r="Q67" s="67"/>
      <c r="S67" s="174"/>
    </row>
    <row r="68" spans="1:19" s="59" customFormat="1">
      <c r="A68" s="193"/>
      <c r="B68" s="114">
        <v>20</v>
      </c>
      <c r="C68" s="43" t="s">
        <v>99</v>
      </c>
      <c r="D68" s="68">
        <v>0</v>
      </c>
      <c r="E68" s="69">
        <f>References!$B$7</f>
        <v>4.333333333333333</v>
      </c>
      <c r="F68" s="68">
        <v>52</v>
      </c>
      <c r="G68" s="145">
        <f>References!B21</f>
        <v>47</v>
      </c>
      <c r="H68" s="68">
        <f>F68*G68</f>
        <v>2444</v>
      </c>
      <c r="I68" s="45">
        <f t="shared" si="39"/>
        <v>2308.373735104029</v>
      </c>
      <c r="J68" s="67">
        <f>(References!$C$49*I68)</f>
        <v>2.4237924218592517</v>
      </c>
      <c r="K68" s="67">
        <f>J68/References!$G$52</f>
        <v>2.4707364137199304</v>
      </c>
      <c r="L68" s="67">
        <f>IFERROR(K68/F68*E68,0)</f>
        <v>0.2058947011433275</v>
      </c>
      <c r="M68" s="162">
        <v>17.63</v>
      </c>
      <c r="N68" s="156">
        <f>L68+M68</f>
        <v>17.835894701143328</v>
      </c>
      <c r="O68" s="67"/>
      <c r="P68" s="67"/>
      <c r="Q68" s="67"/>
      <c r="S68" s="174"/>
    </row>
    <row r="69" spans="1:19" s="59" customFormat="1">
      <c r="A69" s="193"/>
      <c r="B69" s="114">
        <v>20</v>
      </c>
      <c r="C69" s="43" t="s">
        <v>101</v>
      </c>
      <c r="D69" s="68">
        <v>0</v>
      </c>
      <c r="E69" s="69">
        <f>References!$B$9</f>
        <v>1</v>
      </c>
      <c r="F69" s="68">
        <v>12</v>
      </c>
      <c r="G69" s="145">
        <f>References!B21</f>
        <v>47</v>
      </c>
      <c r="H69" s="68">
        <f>F69*G69</f>
        <v>564</v>
      </c>
      <c r="I69" s="45">
        <f t="shared" si="39"/>
        <v>532.70163117785285</v>
      </c>
      <c r="J69" s="67">
        <f>(References!$C$49*I69)</f>
        <v>0.55933671273675045</v>
      </c>
      <c r="K69" s="67">
        <f>J69/References!$G$52</f>
        <v>0.57016994162767631</v>
      </c>
      <c r="L69" s="67">
        <f>IFERROR(K69/F69*E69,0)</f>
        <v>4.7514161802306359E-2</v>
      </c>
      <c r="M69" s="162">
        <v>6.03</v>
      </c>
      <c r="N69" s="156">
        <f>L69+M69</f>
        <v>6.0775141618023065</v>
      </c>
      <c r="O69" s="67"/>
      <c r="P69" s="67"/>
      <c r="Q69" s="67"/>
      <c r="S69" s="174"/>
    </row>
    <row r="70" spans="1:19" s="59" customFormat="1">
      <c r="A70" s="193"/>
      <c r="B70" s="46">
        <v>20</v>
      </c>
      <c r="C70" s="105" t="s">
        <v>175</v>
      </c>
      <c r="D70" s="68">
        <v>0</v>
      </c>
      <c r="E70" s="69">
        <f>References!$B$7</f>
        <v>4.333333333333333</v>
      </c>
      <c r="F70" s="68">
        <f t="shared" si="40"/>
        <v>52</v>
      </c>
      <c r="G70" s="68">
        <f>References!B14</f>
        <v>34</v>
      </c>
      <c r="H70" s="68">
        <f t="shared" si="41"/>
        <v>1768</v>
      </c>
      <c r="I70" s="45">
        <f t="shared" si="39"/>
        <v>1669.8873828412125</v>
      </c>
      <c r="J70" s="67">
        <f>(References!$C$49*I70)</f>
        <v>1.7533817519832886</v>
      </c>
      <c r="K70" s="67">
        <f>J70/References!$G$52</f>
        <v>1.7873412354569711</v>
      </c>
      <c r="L70" s="67">
        <f t="shared" si="42"/>
        <v>0.14894510295474758</v>
      </c>
      <c r="M70" s="162">
        <v>13.307464356721251</v>
      </c>
      <c r="N70" s="156">
        <f t="shared" si="43"/>
        <v>13.456409459675999</v>
      </c>
      <c r="O70" s="67"/>
      <c r="P70" s="67"/>
      <c r="Q70" s="67"/>
      <c r="S70" s="174"/>
    </row>
    <row r="71" spans="1:19" s="59" customFormat="1">
      <c r="A71" s="193"/>
      <c r="B71" s="46">
        <v>20</v>
      </c>
      <c r="C71" s="105" t="s">
        <v>207</v>
      </c>
      <c r="D71" s="68">
        <v>0</v>
      </c>
      <c r="E71" s="69">
        <v>1</v>
      </c>
      <c r="F71" s="68">
        <f t="shared" ref="F71" si="44">E71*12</f>
        <v>12</v>
      </c>
      <c r="G71" s="68">
        <f>References!B21</f>
        <v>47</v>
      </c>
      <c r="H71" s="68">
        <f t="shared" ref="H71" si="45">F71*G71</f>
        <v>564</v>
      </c>
      <c r="I71" s="45">
        <f t="shared" ref="I71" si="46">$D$126*H71</f>
        <v>532.70163117785285</v>
      </c>
      <c r="J71" s="67">
        <f>(References!$C$49*I71)</f>
        <v>0.55933671273675045</v>
      </c>
      <c r="K71" s="67">
        <f>J71/References!$G$52</f>
        <v>0.57016994162767631</v>
      </c>
      <c r="L71" s="67">
        <f t="shared" ref="L71" si="47">K71/F71*E71</f>
        <v>4.7514161802306359E-2</v>
      </c>
      <c r="M71" s="162">
        <v>4</v>
      </c>
      <c r="N71" s="156">
        <f t="shared" ref="N71" si="48">L71+M71</f>
        <v>4.0475141618023063</v>
      </c>
      <c r="O71" s="67"/>
      <c r="P71" s="67"/>
      <c r="Q71" s="67"/>
      <c r="S71" s="174"/>
    </row>
    <row r="72" spans="1:19" s="59" customFormat="1">
      <c r="A72" s="193"/>
      <c r="B72" s="46">
        <v>20</v>
      </c>
      <c r="C72" s="105" t="s">
        <v>176</v>
      </c>
      <c r="D72" s="68">
        <v>0</v>
      </c>
      <c r="E72" s="69">
        <f>References!$B$7</f>
        <v>4.333333333333333</v>
      </c>
      <c r="F72" s="68">
        <f t="shared" si="40"/>
        <v>52</v>
      </c>
      <c r="G72" s="68">
        <f>References!B22</f>
        <v>68</v>
      </c>
      <c r="H72" s="68">
        <f t="shared" si="41"/>
        <v>3536</v>
      </c>
      <c r="I72" s="45">
        <f t="shared" si="39"/>
        <v>3339.7747656824249</v>
      </c>
      <c r="J72" s="67">
        <f>(References!$C$49*I72)</f>
        <v>3.5067635039665772</v>
      </c>
      <c r="K72" s="67">
        <f>J72/References!$G$52</f>
        <v>3.5746824709139422</v>
      </c>
      <c r="L72" s="67">
        <f t="shared" si="42"/>
        <v>0.29789020590949516</v>
      </c>
      <c r="M72" s="162">
        <v>22.3249287134425</v>
      </c>
      <c r="N72" s="156">
        <f t="shared" si="43"/>
        <v>22.622818919351996</v>
      </c>
      <c r="O72" s="67"/>
      <c r="P72" s="67"/>
      <c r="Q72" s="67"/>
      <c r="S72" s="174"/>
    </row>
    <row r="73" spans="1:19" s="59" customFormat="1">
      <c r="A73" s="193"/>
      <c r="B73" s="46">
        <v>20</v>
      </c>
      <c r="C73" s="105" t="s">
        <v>177</v>
      </c>
      <c r="D73" s="68">
        <v>0</v>
      </c>
      <c r="E73" s="69">
        <f>References!$B$7</f>
        <v>4.333333333333333</v>
      </c>
      <c r="F73" s="68">
        <f t="shared" si="40"/>
        <v>52</v>
      </c>
      <c r="G73" s="68">
        <f>References!B13</f>
        <v>20</v>
      </c>
      <c r="H73" s="68">
        <f t="shared" si="41"/>
        <v>1040</v>
      </c>
      <c r="I73" s="45">
        <f t="shared" si="39"/>
        <v>982.28669578894858</v>
      </c>
      <c r="J73" s="67">
        <f>(References!$C$49*I73)</f>
        <v>1.0314010305784052</v>
      </c>
      <c r="K73" s="67">
        <f>J73/References!$G$52</f>
        <v>1.0513771973276302</v>
      </c>
      <c r="L73" s="67">
        <f t="shared" si="42"/>
        <v>8.7614766443969178E-2</v>
      </c>
      <c r="M73" s="162">
        <v>11.388508445130146</v>
      </c>
      <c r="N73" s="156">
        <f t="shared" si="43"/>
        <v>11.476123211574116</v>
      </c>
      <c r="O73" s="67"/>
      <c r="P73" s="67"/>
      <c r="Q73" s="67"/>
      <c r="S73" s="174"/>
    </row>
    <row r="74" spans="1:19" s="59" customFormat="1" ht="15" customHeight="1">
      <c r="A74" s="134"/>
      <c r="B74" s="46">
        <v>20</v>
      </c>
      <c r="C74" s="43" t="s">
        <v>178</v>
      </c>
      <c r="D74" s="68">
        <v>0</v>
      </c>
      <c r="E74" s="69">
        <f>References!$B$7</f>
        <v>4.333333333333333</v>
      </c>
      <c r="F74" s="68">
        <f>E74*12</f>
        <v>52</v>
      </c>
      <c r="G74" s="68">
        <f>References!B14</f>
        <v>34</v>
      </c>
      <c r="H74" s="68">
        <f>F74*G74</f>
        <v>1768</v>
      </c>
      <c r="I74" s="45">
        <f t="shared" si="39"/>
        <v>1669.8873828412125</v>
      </c>
      <c r="J74" s="67">
        <f>(References!$C$49*I74)</f>
        <v>1.7533817519832886</v>
      </c>
      <c r="K74" s="67">
        <f>J74/References!$G$52</f>
        <v>1.7873412354569711</v>
      </c>
      <c r="L74" s="67">
        <f>K74/F74*E74</f>
        <v>0.14894510295474758</v>
      </c>
      <c r="M74" s="162">
        <v>8.1674643567212506</v>
      </c>
      <c r="N74" s="156">
        <f>L74+M74</f>
        <v>8.3164094596759988</v>
      </c>
      <c r="O74" s="67"/>
      <c r="P74" s="67"/>
      <c r="Q74" s="67"/>
      <c r="S74" s="174"/>
    </row>
    <row r="75" spans="1:19" s="59" customFormat="1">
      <c r="A75" s="134"/>
      <c r="B75" s="46"/>
      <c r="O75" s="67"/>
      <c r="P75" s="67"/>
      <c r="Q75" s="67"/>
      <c r="S75" s="174"/>
    </row>
    <row r="76" spans="1:19" s="59" customFormat="1">
      <c r="A76" s="134"/>
      <c r="B76" s="46"/>
      <c r="C76" s="107"/>
      <c r="D76" s="68"/>
      <c r="E76" s="69"/>
      <c r="F76" s="68"/>
      <c r="G76" s="68"/>
      <c r="H76" s="68"/>
      <c r="I76" s="45"/>
      <c r="J76" s="67"/>
      <c r="K76" s="67"/>
      <c r="L76" s="67"/>
      <c r="M76" s="92"/>
      <c r="N76" s="67"/>
      <c r="O76" s="67"/>
      <c r="P76" s="67"/>
      <c r="Q76" s="67"/>
      <c r="S76" s="174"/>
    </row>
    <row r="77" spans="1:19" s="59" customFormat="1">
      <c r="A77" s="126"/>
      <c r="B77" s="127"/>
      <c r="C77" s="107"/>
      <c r="D77" s="128"/>
      <c r="E77" s="129"/>
      <c r="F77" s="130"/>
      <c r="G77" s="130"/>
      <c r="H77" s="130"/>
      <c r="I77" s="131"/>
      <c r="J77" s="132"/>
      <c r="K77" s="132"/>
      <c r="L77" s="132"/>
      <c r="M77" s="133"/>
      <c r="N77" s="132"/>
      <c r="O77" s="67"/>
      <c r="P77" s="67"/>
      <c r="Q77" s="67"/>
      <c r="S77" s="174"/>
    </row>
    <row r="78" spans="1:19" s="59" customFormat="1" ht="15" customHeight="1">
      <c r="A78" s="194" t="s">
        <v>14</v>
      </c>
      <c r="B78" s="46">
        <v>21</v>
      </c>
      <c r="C78" s="105" t="s">
        <v>120</v>
      </c>
      <c r="D78" s="56">
        <v>0</v>
      </c>
      <c r="E78" s="69">
        <f>References!$B$9</f>
        <v>1</v>
      </c>
      <c r="F78" s="68">
        <f>E78*12</f>
        <v>12</v>
      </c>
      <c r="G78" s="68">
        <f>References!B42</f>
        <v>125</v>
      </c>
      <c r="H78" s="68">
        <f>F78*G78</f>
        <v>1500</v>
      </c>
      <c r="I78" s="45">
        <f t="shared" ref="I78:I93" si="49">$D$126*H78</f>
        <v>1416.7596573879066</v>
      </c>
      <c r="J78" s="67">
        <f>(References!$C$49*I78)</f>
        <v>1.487597640257315</v>
      </c>
      <c r="K78" s="67">
        <f>J78/References!$G$52</f>
        <v>1.5164094192225432</v>
      </c>
      <c r="L78" s="67">
        <f>K78/F78</f>
        <v>0.12636745160187859</v>
      </c>
      <c r="M78" s="162">
        <v>9.176310257399253</v>
      </c>
      <c r="N78" s="156">
        <f>L78+M78</f>
        <v>9.3026777090011308</v>
      </c>
      <c r="O78" s="67"/>
      <c r="P78" s="67"/>
      <c r="Q78" s="67"/>
      <c r="S78" s="174"/>
    </row>
    <row r="79" spans="1:19" s="59" customFormat="1">
      <c r="A79" s="193"/>
      <c r="B79" s="46">
        <v>21</v>
      </c>
      <c r="C79" s="105" t="s">
        <v>121</v>
      </c>
      <c r="D79" s="56">
        <v>0</v>
      </c>
      <c r="E79" s="69">
        <f>References!$B$9</f>
        <v>1</v>
      </c>
      <c r="F79" s="68">
        <f>E79*12</f>
        <v>12</v>
      </c>
      <c r="G79" s="68">
        <f>References!B42</f>
        <v>125</v>
      </c>
      <c r="H79" s="68">
        <f>F79*G79</f>
        <v>1500</v>
      </c>
      <c r="I79" s="45">
        <f t="shared" si="49"/>
        <v>1416.7596573879066</v>
      </c>
      <c r="J79" s="67">
        <f>(References!$C$49*I79)</f>
        <v>1.487597640257315</v>
      </c>
      <c r="K79" s="67">
        <f>J79/References!$G$52</f>
        <v>1.5164094192225432</v>
      </c>
      <c r="L79" s="67">
        <f>K79/F79</f>
        <v>0.12636745160187859</v>
      </c>
      <c r="M79" s="162">
        <v>10.556310257399252</v>
      </c>
      <c r="N79" s="156">
        <f>L79+M79</f>
        <v>10.68267770900113</v>
      </c>
      <c r="O79" s="67"/>
      <c r="P79" s="67"/>
      <c r="Q79" s="67"/>
      <c r="S79" s="174"/>
    </row>
    <row r="80" spans="1:19" s="59" customFormat="1">
      <c r="A80" s="193"/>
      <c r="B80" s="46">
        <v>21</v>
      </c>
      <c r="C80" s="105" t="s">
        <v>122</v>
      </c>
      <c r="D80" s="56">
        <v>0</v>
      </c>
      <c r="E80" s="69">
        <f>References!$B$9</f>
        <v>1</v>
      </c>
      <c r="F80" s="68">
        <f>E80*12</f>
        <v>12</v>
      </c>
      <c r="G80" s="68">
        <f>References!B42</f>
        <v>125</v>
      </c>
      <c r="H80" s="68">
        <f>F80*G80</f>
        <v>1500</v>
      </c>
      <c r="I80" s="45">
        <f t="shared" si="49"/>
        <v>1416.7596573879066</v>
      </c>
      <c r="J80" s="67">
        <f>(References!$C$49*I80)</f>
        <v>1.487597640257315</v>
      </c>
      <c r="K80" s="67">
        <f>J80/References!$G$52</f>
        <v>1.5164094192225432</v>
      </c>
      <c r="L80" s="67">
        <f>K80/F80</f>
        <v>0.12636745160187859</v>
      </c>
      <c r="M80" s="162">
        <v>9.5863102573992531</v>
      </c>
      <c r="N80" s="156">
        <f>L80+M80</f>
        <v>9.7126777090011309</v>
      </c>
      <c r="O80" s="67"/>
      <c r="P80" s="67"/>
      <c r="Q80" s="67"/>
      <c r="S80" s="174"/>
    </row>
    <row r="81" spans="1:19" s="59" customFormat="1">
      <c r="A81" s="193"/>
      <c r="B81" s="46">
        <v>28</v>
      </c>
      <c r="C81" s="154" t="s">
        <v>132</v>
      </c>
      <c r="D81" s="56">
        <v>0</v>
      </c>
      <c r="E81" s="69">
        <f>References!$B$9</f>
        <v>1</v>
      </c>
      <c r="F81" s="68">
        <f t="shared" ref="F81:F86" si="50">E81*12</f>
        <v>12</v>
      </c>
      <c r="G81" s="68">
        <f>References!B28</f>
        <v>250</v>
      </c>
      <c r="H81" s="106">
        <f t="shared" ref="H81:H86" si="51">F81*G81</f>
        <v>3000</v>
      </c>
      <c r="I81" s="45">
        <f t="shared" si="49"/>
        <v>2833.5193147758132</v>
      </c>
      <c r="J81" s="67">
        <f>(References!$C$49*I81)</f>
        <v>2.97519528051463</v>
      </c>
      <c r="K81" s="67">
        <f>J81/References!$G$52</f>
        <v>3.0328188384450865</v>
      </c>
      <c r="L81" s="67">
        <f t="shared" ref="L81:L86" si="52">K81/F81</f>
        <v>0.25273490320375719</v>
      </c>
      <c r="M81" s="162">
        <v>21.222620514798503</v>
      </c>
      <c r="N81" s="156">
        <f t="shared" ref="N81:N86" si="53">L81+M81</f>
        <v>21.475355418002259</v>
      </c>
      <c r="O81" s="67"/>
      <c r="P81" s="67"/>
      <c r="Q81" s="67"/>
      <c r="S81" s="174"/>
    </row>
    <row r="82" spans="1:19" s="59" customFormat="1">
      <c r="A82" s="193"/>
      <c r="B82" s="46">
        <v>28</v>
      </c>
      <c r="C82" s="43" t="s">
        <v>135</v>
      </c>
      <c r="D82" s="56">
        <v>0</v>
      </c>
      <c r="E82" s="69">
        <f>References!$B$9</f>
        <v>1</v>
      </c>
      <c r="F82" s="68">
        <f t="shared" si="50"/>
        <v>12</v>
      </c>
      <c r="G82" s="68">
        <f>References!B29</f>
        <v>324</v>
      </c>
      <c r="H82" s="106">
        <f t="shared" si="51"/>
        <v>3888</v>
      </c>
      <c r="I82" s="45">
        <f t="shared" si="49"/>
        <v>3672.2410319494538</v>
      </c>
      <c r="J82" s="67">
        <f>(References!$C$49*I82)</f>
        <v>3.8558530835469607</v>
      </c>
      <c r="K82" s="67">
        <f>J82/References!$G$52</f>
        <v>3.9305332146248326</v>
      </c>
      <c r="L82" s="67">
        <f t="shared" si="52"/>
        <v>0.32754443455206939</v>
      </c>
      <c r="M82" s="162">
        <v>28.032116187178861</v>
      </c>
      <c r="N82" s="156">
        <f t="shared" si="53"/>
        <v>28.359660621730931</v>
      </c>
      <c r="O82" s="67"/>
      <c r="P82" s="67"/>
      <c r="Q82" s="67"/>
      <c r="S82" s="174"/>
    </row>
    <row r="83" spans="1:19" s="59" customFormat="1">
      <c r="A83" s="193"/>
      <c r="B83" s="46">
        <v>28</v>
      </c>
      <c r="C83" s="154" t="s">
        <v>137</v>
      </c>
      <c r="D83" s="56">
        <v>0</v>
      </c>
      <c r="E83" s="69">
        <v>1</v>
      </c>
      <c r="F83" s="68">
        <f t="shared" si="50"/>
        <v>12</v>
      </c>
      <c r="G83" s="68">
        <f>References!B30</f>
        <v>473</v>
      </c>
      <c r="H83" s="106">
        <f t="shared" si="51"/>
        <v>5676</v>
      </c>
      <c r="I83" s="45">
        <f t="shared" si="49"/>
        <v>5361.0185435558387</v>
      </c>
      <c r="J83" s="67">
        <f>(References!$C$49*I83)</f>
        <v>5.6290694707336799</v>
      </c>
      <c r="K83" s="67">
        <f>J83/References!$G$52</f>
        <v>5.7380932423381044</v>
      </c>
      <c r="L83" s="67">
        <f t="shared" si="52"/>
        <v>0.47817443686150868</v>
      </c>
      <c r="M83" s="162">
        <v>40.993398013998764</v>
      </c>
      <c r="N83" s="156">
        <f t="shared" si="53"/>
        <v>41.471572450860272</v>
      </c>
      <c r="O83" s="67"/>
      <c r="P83" s="67"/>
      <c r="Q83" s="67"/>
      <c r="S83" s="174"/>
    </row>
    <row r="84" spans="1:19" s="59" customFormat="1">
      <c r="A84" s="193"/>
      <c r="B84" s="46" t="s">
        <v>187</v>
      </c>
      <c r="C84" s="121" t="s">
        <v>105</v>
      </c>
      <c r="D84" s="56"/>
      <c r="E84" s="69">
        <v>1</v>
      </c>
      <c r="F84" s="123">
        <v>52</v>
      </c>
      <c r="G84" s="145">
        <f>References!B26</f>
        <v>29</v>
      </c>
      <c r="H84" s="68">
        <f>F84*G84</f>
        <v>1508</v>
      </c>
      <c r="I84" s="45">
        <f t="shared" si="49"/>
        <v>1424.3157088939754</v>
      </c>
      <c r="J84" s="67">
        <f>(References!$C$49*I84)</f>
        <v>1.4955314943386873</v>
      </c>
      <c r="K84" s="67">
        <f>J84/References!$G$52</f>
        <v>1.5244969361250635</v>
      </c>
      <c r="L84" s="67">
        <f>IFERROR(K84/F84,0)</f>
        <v>2.9317248771635836E-2</v>
      </c>
      <c r="M84" s="162">
        <v>3.29</v>
      </c>
      <c r="N84" s="156">
        <f>L84+M84</f>
        <v>3.319317248771636</v>
      </c>
      <c r="O84" s="67"/>
      <c r="P84" s="67"/>
      <c r="Q84" s="67"/>
      <c r="S84" s="174"/>
    </row>
    <row r="85" spans="1:19" s="59" customFormat="1">
      <c r="A85" s="193"/>
      <c r="B85" s="46" t="s">
        <v>179</v>
      </c>
      <c r="C85" s="105" t="s">
        <v>123</v>
      </c>
      <c r="D85" s="56">
        <v>0</v>
      </c>
      <c r="E85" s="69">
        <f>References!$B$9</f>
        <v>1</v>
      </c>
      <c r="F85" s="68">
        <f t="shared" si="50"/>
        <v>12</v>
      </c>
      <c r="G85" s="68">
        <f>References!B22</f>
        <v>68</v>
      </c>
      <c r="H85" s="68">
        <f t="shared" si="51"/>
        <v>816</v>
      </c>
      <c r="I85" s="45">
        <f t="shared" si="49"/>
        <v>770.71725361902111</v>
      </c>
      <c r="J85" s="67">
        <f>(References!$C$49*I85)</f>
        <v>0.80925311629997931</v>
      </c>
      <c r="K85" s="67">
        <f>J85/References!$G$52</f>
        <v>0.82492672405706358</v>
      </c>
      <c r="L85" s="67">
        <f t="shared" si="52"/>
        <v>6.874389367142196E-2</v>
      </c>
      <c r="M85" s="162">
        <v>5.6857527800251928</v>
      </c>
      <c r="N85" s="156">
        <f t="shared" si="53"/>
        <v>5.7544966736966146</v>
      </c>
      <c r="O85" s="67"/>
      <c r="P85" s="67"/>
      <c r="Q85" s="67"/>
      <c r="S85" s="174"/>
    </row>
    <row r="86" spans="1:19" s="59" customFormat="1">
      <c r="A86" s="193"/>
      <c r="B86" s="46" t="s">
        <v>179</v>
      </c>
      <c r="C86" s="105" t="s">
        <v>119</v>
      </c>
      <c r="D86" s="56">
        <v>0</v>
      </c>
      <c r="E86" s="69">
        <f>References!$B$9</f>
        <v>1</v>
      </c>
      <c r="F86" s="68">
        <f t="shared" si="50"/>
        <v>12</v>
      </c>
      <c r="G86" s="68">
        <f>References!B21</f>
        <v>47</v>
      </c>
      <c r="H86" s="106">
        <f t="shared" si="51"/>
        <v>564</v>
      </c>
      <c r="I86" s="45">
        <f t="shared" si="49"/>
        <v>532.70163117785285</v>
      </c>
      <c r="J86" s="67">
        <f>(References!$C$49*I86)</f>
        <v>0.55933671273675045</v>
      </c>
      <c r="K86" s="67">
        <f>J86/References!$G$52</f>
        <v>0.57016994162767631</v>
      </c>
      <c r="L86" s="67">
        <f t="shared" si="52"/>
        <v>4.7514161802306359E-2</v>
      </c>
      <c r="M86" s="162">
        <v>5.497652656782118</v>
      </c>
      <c r="N86" s="156">
        <f t="shared" si="53"/>
        <v>5.5451668185844243</v>
      </c>
      <c r="O86" s="67"/>
      <c r="P86" s="67"/>
      <c r="Q86" s="67"/>
      <c r="S86" s="174"/>
    </row>
    <row r="87" spans="1:19" s="59" customFormat="1">
      <c r="A87" s="193"/>
      <c r="B87" s="46">
        <v>28</v>
      </c>
      <c r="C87" s="121" t="s">
        <v>129</v>
      </c>
      <c r="D87" s="56">
        <v>0</v>
      </c>
      <c r="E87" s="69">
        <f>References!$B$9</f>
        <v>1</v>
      </c>
      <c r="F87" s="68">
        <f t="shared" ref="F87:F93" si="54">E87*12</f>
        <v>12</v>
      </c>
      <c r="G87" s="145">
        <f>References!B27</f>
        <v>175</v>
      </c>
      <c r="H87" s="68">
        <f t="shared" ref="H87:H93" si="55">F87*G87</f>
        <v>2100</v>
      </c>
      <c r="I87" s="45">
        <f t="shared" si="49"/>
        <v>1983.4635203430691</v>
      </c>
      <c r="J87" s="67">
        <f>(References!$C$49*I87)</f>
        <v>2.082636696360241</v>
      </c>
      <c r="K87" s="67">
        <f>J87/References!$G$52</f>
        <v>2.1229731869115605</v>
      </c>
      <c r="L87" s="67">
        <f t="shared" ref="L87:L93" si="56">IFERROR(K87/F87,0)</f>
        <v>0.17691443224263004</v>
      </c>
      <c r="M87" s="162">
        <v>15.99</v>
      </c>
      <c r="N87" s="156">
        <f t="shared" ref="N87:N98" si="57">L87+M87</f>
        <v>16.166914432242631</v>
      </c>
      <c r="O87" s="67"/>
      <c r="P87" s="67"/>
      <c r="Q87" s="67"/>
      <c r="S87" s="174"/>
    </row>
    <row r="88" spans="1:19" s="59" customFormat="1">
      <c r="A88" s="193"/>
      <c r="B88" s="46">
        <v>28</v>
      </c>
      <c r="C88" s="121" t="s">
        <v>138</v>
      </c>
      <c r="D88" s="56">
        <v>0</v>
      </c>
      <c r="E88" s="69">
        <f>References!$B$9</f>
        <v>1</v>
      </c>
      <c r="F88" s="68">
        <f t="shared" si="54"/>
        <v>12</v>
      </c>
      <c r="G88" s="145">
        <f>References!$B$30</f>
        <v>473</v>
      </c>
      <c r="H88" s="68">
        <f t="shared" si="55"/>
        <v>5676</v>
      </c>
      <c r="I88" s="45">
        <f t="shared" si="49"/>
        <v>5361.0185435558387</v>
      </c>
      <c r="J88" s="67">
        <f>(References!$C$49*I88)</f>
        <v>5.6290694707336799</v>
      </c>
      <c r="K88" s="67">
        <f>J88/References!$G$52</f>
        <v>5.7380932423381044</v>
      </c>
      <c r="L88" s="67">
        <f t="shared" si="56"/>
        <v>0.47817443686150868</v>
      </c>
      <c r="M88" s="162">
        <v>41.9</v>
      </c>
      <c r="N88" s="156">
        <f t="shared" si="57"/>
        <v>42.378174436861507</v>
      </c>
      <c r="O88" s="67"/>
      <c r="P88" s="67"/>
      <c r="Q88" s="67"/>
      <c r="S88" s="174"/>
    </row>
    <row r="89" spans="1:19" s="59" customFormat="1">
      <c r="A89" s="193"/>
      <c r="B89" s="46">
        <v>28</v>
      </c>
      <c r="C89" s="121" t="s">
        <v>141</v>
      </c>
      <c r="D89" s="56">
        <v>0</v>
      </c>
      <c r="E89" s="69">
        <f>References!$B$9</f>
        <v>1</v>
      </c>
      <c r="F89" s="68">
        <f t="shared" si="54"/>
        <v>12</v>
      </c>
      <c r="G89" s="149">
        <f>References!$B$31</f>
        <v>613</v>
      </c>
      <c r="H89" s="68">
        <f t="shared" si="55"/>
        <v>7356</v>
      </c>
      <c r="I89" s="45">
        <f t="shared" si="49"/>
        <v>6947.7893598302935</v>
      </c>
      <c r="J89" s="67">
        <f>(References!$C$49*I89)</f>
        <v>7.2951788278218723</v>
      </c>
      <c r="K89" s="67">
        <f>J89/References!$G$52</f>
        <v>7.4364717918673522</v>
      </c>
      <c r="L89" s="67">
        <f t="shared" si="56"/>
        <v>0.61970598265561272</v>
      </c>
      <c r="M89" s="162">
        <v>55.6</v>
      </c>
      <c r="N89" s="156">
        <f t="shared" si="57"/>
        <v>56.219705982655611</v>
      </c>
      <c r="O89" s="67"/>
      <c r="P89" s="67"/>
      <c r="Q89" s="67"/>
      <c r="S89" s="174"/>
    </row>
    <row r="90" spans="1:19" s="59" customFormat="1">
      <c r="A90" s="193"/>
      <c r="B90" s="46">
        <v>28</v>
      </c>
      <c r="C90" s="121" t="s">
        <v>143</v>
      </c>
      <c r="D90" s="56">
        <v>0</v>
      </c>
      <c r="E90" s="69">
        <f>References!$B$9</f>
        <v>1</v>
      </c>
      <c r="F90" s="68">
        <f t="shared" si="54"/>
        <v>12</v>
      </c>
      <c r="G90" s="147">
        <v>766.25</v>
      </c>
      <c r="H90" s="106">
        <f t="shared" si="55"/>
        <v>9195</v>
      </c>
      <c r="I90" s="45">
        <f t="shared" si="49"/>
        <v>8684.7366997878671</v>
      </c>
      <c r="J90" s="67">
        <f>(References!$C$49*I90)</f>
        <v>9.1189735347773411</v>
      </c>
      <c r="K90" s="67">
        <f>J90/References!$G$52</f>
        <v>9.29558973983419</v>
      </c>
      <c r="L90" s="67">
        <f t="shared" si="56"/>
        <v>0.77463247831951587</v>
      </c>
      <c r="M90" s="162">
        <v>69.25</v>
      </c>
      <c r="N90" s="156">
        <f t="shared" si="57"/>
        <v>70.024632478319518</v>
      </c>
      <c r="O90" s="67"/>
      <c r="P90" s="67"/>
      <c r="Q90" s="67"/>
    </row>
    <row r="91" spans="1:19" s="59" customFormat="1">
      <c r="A91" s="193"/>
      <c r="B91" s="46">
        <v>28</v>
      </c>
      <c r="C91" s="121" t="s">
        <v>144</v>
      </c>
      <c r="D91" s="56">
        <v>0</v>
      </c>
      <c r="E91" s="69">
        <f>References!$B$9</f>
        <v>1</v>
      </c>
      <c r="F91" s="68">
        <f t="shared" si="54"/>
        <v>12</v>
      </c>
      <c r="G91" s="147">
        <v>766.25</v>
      </c>
      <c r="H91" s="106">
        <f t="shared" si="55"/>
        <v>9195</v>
      </c>
      <c r="I91" s="45">
        <f t="shared" si="49"/>
        <v>8684.7366997878671</v>
      </c>
      <c r="J91" s="67">
        <f>(References!$C$49*I91)</f>
        <v>9.1189735347773411</v>
      </c>
      <c r="K91" s="67">
        <f>J91/References!$G$52</f>
        <v>9.29558973983419</v>
      </c>
      <c r="L91" s="67">
        <f t="shared" si="56"/>
        <v>0.77463247831951587</v>
      </c>
      <c r="M91" s="162">
        <v>64.59</v>
      </c>
      <c r="N91" s="156">
        <f t="shared" si="57"/>
        <v>65.364632478319521</v>
      </c>
      <c r="O91" s="67"/>
      <c r="P91" s="67"/>
      <c r="Q91" s="67"/>
    </row>
    <row r="92" spans="1:19" s="59" customFormat="1">
      <c r="A92" s="193"/>
      <c r="B92" s="46" t="s">
        <v>187</v>
      </c>
      <c r="C92" s="121" t="s">
        <v>146</v>
      </c>
      <c r="D92" s="56">
        <v>0</v>
      </c>
      <c r="E92" s="69">
        <f>References!$B$9</f>
        <v>1</v>
      </c>
      <c r="F92" s="68">
        <f t="shared" si="54"/>
        <v>12</v>
      </c>
      <c r="G92" s="145">
        <f>References!$B$32</f>
        <v>840</v>
      </c>
      <c r="H92" s="106">
        <f t="shared" si="55"/>
        <v>10080</v>
      </c>
      <c r="I92" s="45">
        <f t="shared" si="49"/>
        <v>9520.6248976467323</v>
      </c>
      <c r="J92" s="67">
        <f>(References!$C$49*I92)</f>
        <v>9.9966561425291562</v>
      </c>
      <c r="K92" s="67">
        <f>J92/References!$G$52</f>
        <v>10.190271297175491</v>
      </c>
      <c r="L92" s="67">
        <f t="shared" si="56"/>
        <v>0.84918927476462425</v>
      </c>
      <c r="M92" s="162">
        <v>77.66</v>
      </c>
      <c r="N92" s="156">
        <f t="shared" si="57"/>
        <v>78.509189274764623</v>
      </c>
      <c r="O92" s="67"/>
      <c r="P92" s="67"/>
      <c r="Q92" s="67"/>
    </row>
    <row r="93" spans="1:19" s="59" customFormat="1">
      <c r="A93" s="193"/>
      <c r="B93" s="46" t="s">
        <v>187</v>
      </c>
      <c r="C93" s="121" t="s">
        <v>149</v>
      </c>
      <c r="D93" s="56">
        <v>0</v>
      </c>
      <c r="E93" s="69">
        <f>References!$B$9</f>
        <v>1</v>
      </c>
      <c r="F93" s="68">
        <f t="shared" si="54"/>
        <v>12</v>
      </c>
      <c r="G93" s="146">
        <f>References!$B$33</f>
        <v>980</v>
      </c>
      <c r="H93" s="106">
        <f t="shared" si="55"/>
        <v>11760</v>
      </c>
      <c r="I93" s="45">
        <f t="shared" si="49"/>
        <v>11107.395713921187</v>
      </c>
      <c r="J93" s="67">
        <f>(References!$C$49*I93)</f>
        <v>11.662765499617349</v>
      </c>
      <c r="K93" s="67">
        <f>J93/References!$G$52</f>
        <v>11.888649846704739</v>
      </c>
      <c r="L93" s="67">
        <f t="shared" si="56"/>
        <v>0.99072082055872823</v>
      </c>
      <c r="M93" s="162">
        <v>72.790000000000006</v>
      </c>
      <c r="N93" s="156">
        <f t="shared" si="57"/>
        <v>73.780720820558741</v>
      </c>
      <c r="O93" s="67"/>
      <c r="P93" s="67"/>
      <c r="Q93" s="67"/>
    </row>
    <row r="94" spans="1:19" s="59" customFormat="1">
      <c r="A94" s="193"/>
      <c r="B94" s="46" t="s">
        <v>187</v>
      </c>
      <c r="C94" s="138" t="s">
        <v>173</v>
      </c>
      <c r="D94" s="141"/>
      <c r="E94" s="140"/>
      <c r="F94" s="140"/>
      <c r="G94" s="148"/>
      <c r="H94" s="144"/>
      <c r="I94" s="142"/>
      <c r="J94" s="143"/>
      <c r="K94" s="143"/>
      <c r="L94" s="143"/>
      <c r="M94" s="165">
        <v>25.73</v>
      </c>
      <c r="N94" s="157">
        <f t="shared" si="57"/>
        <v>25.73</v>
      </c>
      <c r="O94" s="67"/>
      <c r="P94" s="67"/>
      <c r="Q94" s="67"/>
    </row>
    <row r="95" spans="1:19" s="59" customFormat="1">
      <c r="A95" s="193"/>
      <c r="B95" s="46" t="s">
        <v>187</v>
      </c>
      <c r="C95" s="153" t="s">
        <v>150</v>
      </c>
      <c r="D95" s="68"/>
      <c r="E95" s="69">
        <f>References!$B$9</f>
        <v>1</v>
      </c>
      <c r="F95" s="123">
        <v>1</v>
      </c>
      <c r="G95" s="147">
        <v>1312.5</v>
      </c>
      <c r="H95" s="106">
        <f t="shared" ref="H95:H98" si="58">F95*G95</f>
        <v>1312.5</v>
      </c>
      <c r="I95" s="45">
        <f>$D$126*H95</f>
        <v>1239.6647002144182</v>
      </c>
      <c r="J95" s="67">
        <f>(References!$C$49*I95)</f>
        <v>1.3016479352251507</v>
      </c>
      <c r="K95" s="67">
        <f>J95/References!$G$52</f>
        <v>1.3268582418197254</v>
      </c>
      <c r="L95" s="67">
        <f>K95/F95</f>
        <v>1.3268582418197254</v>
      </c>
      <c r="M95" s="162">
        <v>96.906994150322006</v>
      </c>
      <c r="N95" s="156">
        <f t="shared" si="57"/>
        <v>98.233852392141728</v>
      </c>
      <c r="O95" s="67"/>
      <c r="P95" s="67"/>
      <c r="Q95" s="67"/>
    </row>
    <row r="96" spans="1:19" s="59" customFormat="1">
      <c r="A96" s="193"/>
      <c r="B96" s="46" t="s">
        <v>187</v>
      </c>
      <c r="C96" s="153" t="s">
        <v>206</v>
      </c>
      <c r="D96" s="68"/>
      <c r="E96" s="69">
        <f>References!$B$9</f>
        <v>1</v>
      </c>
      <c r="F96" s="123">
        <v>1</v>
      </c>
      <c r="G96" s="147">
        <v>1312.5</v>
      </c>
      <c r="H96" s="106">
        <f t="shared" si="58"/>
        <v>1312.5</v>
      </c>
      <c r="I96" s="45">
        <f>$D$126*H96</f>
        <v>1239.6647002144182</v>
      </c>
      <c r="J96" s="67">
        <f>(References!$C$49*I96)</f>
        <v>1.3016479352251507</v>
      </c>
      <c r="K96" s="67">
        <f>J96/References!$G$52</f>
        <v>1.3268582418197254</v>
      </c>
      <c r="L96" s="67">
        <f>K96/F96</f>
        <v>1.3268582418197254</v>
      </c>
      <c r="M96" s="162">
        <v>96.91</v>
      </c>
      <c r="N96" s="156">
        <f t="shared" si="57"/>
        <v>98.236858241819718</v>
      </c>
      <c r="O96" s="67"/>
      <c r="P96" s="67"/>
      <c r="Q96" s="67"/>
    </row>
    <row r="97" spans="1:17" s="59" customFormat="1">
      <c r="A97" s="193"/>
      <c r="B97" s="46" t="s">
        <v>187</v>
      </c>
      <c r="C97" s="121" t="s">
        <v>151</v>
      </c>
      <c r="D97" s="56"/>
      <c r="E97" s="69"/>
      <c r="F97" s="123">
        <v>12</v>
      </c>
      <c r="G97" s="147">
        <v>1312.5</v>
      </c>
      <c r="H97" s="106">
        <f t="shared" si="58"/>
        <v>15750</v>
      </c>
      <c r="I97" s="45">
        <f>$D$126*H97</f>
        <v>14875.976402573018</v>
      </c>
      <c r="J97" s="67">
        <f>(References!$C$49*I97)</f>
        <v>15.619775222701806</v>
      </c>
      <c r="K97" s="67">
        <f>J97/References!$G$52</f>
        <v>15.922298901836704</v>
      </c>
      <c r="L97" s="67">
        <f>IFERROR(K97/F97,0)</f>
        <v>1.3268582418197254</v>
      </c>
      <c r="M97" s="162">
        <v>103.31</v>
      </c>
      <c r="N97" s="156">
        <f t="shared" si="57"/>
        <v>104.63685824181972</v>
      </c>
      <c r="O97" s="67"/>
      <c r="P97" s="67"/>
      <c r="Q97" s="67"/>
    </row>
    <row r="98" spans="1:17" s="59" customFormat="1">
      <c r="A98" s="193"/>
      <c r="B98" s="46" t="s">
        <v>187</v>
      </c>
      <c r="C98" s="121" t="s">
        <v>152</v>
      </c>
      <c r="D98" s="56"/>
      <c r="E98" s="69"/>
      <c r="F98" s="123">
        <v>12</v>
      </c>
      <c r="G98" s="147">
        <v>1312.5</v>
      </c>
      <c r="H98" s="106">
        <f t="shared" si="58"/>
        <v>15750</v>
      </c>
      <c r="I98" s="45">
        <f>$D$126*H98</f>
        <v>14875.976402573018</v>
      </c>
      <c r="J98" s="67">
        <f>(References!$C$49*I98)</f>
        <v>15.619775222701806</v>
      </c>
      <c r="K98" s="67">
        <f>J98/References!$G$52</f>
        <v>15.922298901836704</v>
      </c>
      <c r="L98" s="67">
        <f>IFERROR(K98/F98,0)</f>
        <v>1.3268582418197254</v>
      </c>
      <c r="M98" s="162">
        <v>100.7</v>
      </c>
      <c r="N98" s="156">
        <f t="shared" si="57"/>
        <v>102.02685824181972</v>
      </c>
      <c r="O98" s="67"/>
      <c r="P98" s="67"/>
      <c r="Q98" s="67"/>
    </row>
    <row r="99" spans="1:17" s="59" customFormat="1">
      <c r="A99" s="193"/>
      <c r="B99" s="46"/>
      <c r="C99" s="136" t="s">
        <v>153</v>
      </c>
      <c r="D99" s="56"/>
      <c r="E99" s="69"/>
      <c r="F99" s="122"/>
      <c r="G99" s="145"/>
      <c r="H99" s="106"/>
      <c r="I99" s="45"/>
      <c r="J99" s="67"/>
      <c r="K99" s="67"/>
      <c r="L99" s="67"/>
      <c r="M99" s="67"/>
      <c r="N99" s="67"/>
      <c r="O99" s="67"/>
      <c r="P99" s="67"/>
      <c r="Q99" s="67"/>
    </row>
    <row r="100" spans="1:17" s="59" customFormat="1">
      <c r="A100" s="193"/>
      <c r="B100" s="46">
        <v>29</v>
      </c>
      <c r="C100" s="121" t="s">
        <v>154</v>
      </c>
      <c r="D100" s="56">
        <v>0</v>
      </c>
      <c r="E100" s="69">
        <f>References!$B$9</f>
        <v>1</v>
      </c>
      <c r="F100" s="68">
        <f t="shared" ref="F100:F117" si="59">E100*12</f>
        <v>12</v>
      </c>
      <c r="G100" s="145">
        <f>References!B26</f>
        <v>29</v>
      </c>
      <c r="H100" s="106">
        <f t="shared" ref="H100:H113" si="60">F100*G100</f>
        <v>348</v>
      </c>
      <c r="I100" s="45">
        <f t="shared" ref="I100:I117" si="61">$D$126*H100</f>
        <v>328.68824051399434</v>
      </c>
      <c r="J100" s="67">
        <f>(References!$C$49*I100)</f>
        <v>0.34512265253969709</v>
      </c>
      <c r="K100" s="67">
        <f>J100/References!$G$52</f>
        <v>0.35180698525963006</v>
      </c>
      <c r="L100" s="67">
        <f t="shared" ref="L100:L113" si="62">IFERROR(K100/F100,0)</f>
        <v>2.9317248771635839E-2</v>
      </c>
      <c r="M100" s="163">
        <v>2.9864239797166259</v>
      </c>
      <c r="N100" s="156">
        <f t="shared" ref="N100:N113" si="63">L100+M100</f>
        <v>3.0157412284882619</v>
      </c>
      <c r="O100" s="67"/>
      <c r="P100" s="67"/>
      <c r="Q100" s="67"/>
    </row>
    <row r="101" spans="1:17" s="59" customFormat="1">
      <c r="A101" s="193"/>
      <c r="B101" s="46">
        <v>29</v>
      </c>
      <c r="C101" s="121" t="s">
        <v>155</v>
      </c>
      <c r="D101" s="56">
        <v>0</v>
      </c>
      <c r="E101" s="69">
        <f>References!$B$9</f>
        <v>1</v>
      </c>
      <c r="F101" s="68">
        <f t="shared" si="59"/>
        <v>12</v>
      </c>
      <c r="G101" s="145">
        <f>References!B26</f>
        <v>29</v>
      </c>
      <c r="H101" s="106">
        <f t="shared" si="60"/>
        <v>348</v>
      </c>
      <c r="I101" s="45">
        <f t="shared" si="61"/>
        <v>328.68824051399434</v>
      </c>
      <c r="J101" s="67">
        <f>(References!$C$49*I101)</f>
        <v>0.34512265253969709</v>
      </c>
      <c r="K101" s="67">
        <f>J101/References!$G$52</f>
        <v>0.35180698525963006</v>
      </c>
      <c r="L101" s="67">
        <f t="shared" si="62"/>
        <v>2.9317248771635839E-2</v>
      </c>
      <c r="M101" s="163">
        <v>2.9864239797166259</v>
      </c>
      <c r="N101" s="156">
        <f t="shared" si="63"/>
        <v>3.0157412284882619</v>
      </c>
      <c r="O101" s="67"/>
      <c r="P101" s="67"/>
      <c r="Q101" s="67"/>
    </row>
    <row r="102" spans="1:17" s="59" customFormat="1">
      <c r="A102" s="193"/>
      <c r="B102" s="46">
        <v>29</v>
      </c>
      <c r="C102" s="121" t="s">
        <v>156</v>
      </c>
      <c r="D102" s="56">
        <v>0</v>
      </c>
      <c r="E102" s="69">
        <f>References!$B$9</f>
        <v>1</v>
      </c>
      <c r="F102" s="68">
        <f t="shared" si="59"/>
        <v>12</v>
      </c>
      <c r="G102" s="145">
        <f>References!B21</f>
        <v>47</v>
      </c>
      <c r="H102" s="106">
        <f t="shared" si="60"/>
        <v>564</v>
      </c>
      <c r="I102" s="45">
        <f t="shared" si="61"/>
        <v>532.70163117785285</v>
      </c>
      <c r="J102" s="67">
        <f>(References!$C$49*I102)</f>
        <v>0.55933671273675045</v>
      </c>
      <c r="K102" s="67">
        <f>J102/References!$G$52</f>
        <v>0.57016994162767631</v>
      </c>
      <c r="L102" s="67">
        <f t="shared" si="62"/>
        <v>4.7514161802306359E-2</v>
      </c>
      <c r="M102" s="163">
        <v>4.0076526567821187</v>
      </c>
      <c r="N102" s="156">
        <f t="shared" si="63"/>
        <v>4.055166818584425</v>
      </c>
      <c r="O102" s="67"/>
      <c r="P102" s="67"/>
      <c r="Q102" s="67"/>
    </row>
    <row r="103" spans="1:17" s="59" customFormat="1">
      <c r="A103" s="193"/>
      <c r="B103" s="46">
        <v>29</v>
      </c>
      <c r="C103" s="121" t="s">
        <v>157</v>
      </c>
      <c r="D103" s="56">
        <v>0</v>
      </c>
      <c r="E103" s="69">
        <f>References!$B$9</f>
        <v>1</v>
      </c>
      <c r="F103" s="68">
        <f t="shared" si="59"/>
        <v>12</v>
      </c>
      <c r="G103" s="145">
        <f>References!B21</f>
        <v>47</v>
      </c>
      <c r="H103" s="106">
        <f t="shared" si="60"/>
        <v>564</v>
      </c>
      <c r="I103" s="45">
        <f t="shared" si="61"/>
        <v>532.70163117785285</v>
      </c>
      <c r="J103" s="67">
        <f>(References!$C$49*I103)</f>
        <v>0.55933671273675045</v>
      </c>
      <c r="K103" s="67">
        <f>J103/References!$G$52</f>
        <v>0.57016994162767631</v>
      </c>
      <c r="L103" s="67">
        <f t="shared" si="62"/>
        <v>4.7514161802306359E-2</v>
      </c>
      <c r="M103" s="163">
        <v>4.0076526567821187</v>
      </c>
      <c r="N103" s="156">
        <f t="shared" si="63"/>
        <v>4.055166818584425</v>
      </c>
      <c r="O103" s="67"/>
      <c r="P103" s="67"/>
      <c r="Q103" s="67"/>
    </row>
    <row r="104" spans="1:17" s="59" customFormat="1">
      <c r="A104" s="193"/>
      <c r="B104" s="46">
        <v>29</v>
      </c>
      <c r="C104" s="121" t="s">
        <v>158</v>
      </c>
      <c r="D104" s="56">
        <v>0</v>
      </c>
      <c r="E104" s="69">
        <f>References!$B$9</f>
        <v>1</v>
      </c>
      <c r="F104" s="68">
        <f t="shared" si="59"/>
        <v>12</v>
      </c>
      <c r="G104" s="145">
        <f>References!B22</f>
        <v>68</v>
      </c>
      <c r="H104" s="106">
        <f t="shared" si="60"/>
        <v>816</v>
      </c>
      <c r="I104" s="45">
        <f t="shared" si="61"/>
        <v>770.71725361902111</v>
      </c>
      <c r="J104" s="67">
        <f>(References!$C$49*I104)</f>
        <v>0.80925311629997931</v>
      </c>
      <c r="K104" s="67">
        <f>J104/References!$G$52</f>
        <v>0.82492672405706358</v>
      </c>
      <c r="L104" s="67">
        <f t="shared" si="62"/>
        <v>6.874389367142196E-2</v>
      </c>
      <c r="M104" s="163">
        <v>5.0657527800251927</v>
      </c>
      <c r="N104" s="156">
        <f t="shared" si="63"/>
        <v>5.1344966736966144</v>
      </c>
      <c r="O104" s="67"/>
      <c r="P104" s="67"/>
      <c r="Q104" s="67"/>
    </row>
    <row r="105" spans="1:17" s="59" customFormat="1">
      <c r="A105" s="193"/>
      <c r="B105" s="46">
        <v>29</v>
      </c>
      <c r="C105" s="121" t="s">
        <v>159</v>
      </c>
      <c r="D105" s="56">
        <v>0</v>
      </c>
      <c r="E105" s="69">
        <f>References!$B$9</f>
        <v>1</v>
      </c>
      <c r="F105" s="68">
        <f t="shared" si="59"/>
        <v>12</v>
      </c>
      <c r="G105" s="145">
        <f>References!B22</f>
        <v>68</v>
      </c>
      <c r="H105" s="106">
        <f t="shared" si="60"/>
        <v>816</v>
      </c>
      <c r="I105" s="45">
        <f t="shared" si="61"/>
        <v>770.71725361902111</v>
      </c>
      <c r="J105" s="67">
        <f>(References!$C$49*I105)</f>
        <v>0.80925311629997931</v>
      </c>
      <c r="K105" s="67">
        <f>J105/References!$G$52</f>
        <v>0.82492672405706358</v>
      </c>
      <c r="L105" s="67">
        <f t="shared" si="62"/>
        <v>6.874389367142196E-2</v>
      </c>
      <c r="M105" s="163">
        <v>5.0657527800251927</v>
      </c>
      <c r="N105" s="156">
        <f t="shared" si="63"/>
        <v>5.1344966736966144</v>
      </c>
      <c r="O105" s="67"/>
      <c r="P105" s="67"/>
      <c r="Q105" s="67"/>
    </row>
    <row r="106" spans="1:17" s="59" customFormat="1">
      <c r="A106" s="193"/>
      <c r="B106" s="46">
        <v>29</v>
      </c>
      <c r="C106" s="121" t="s">
        <v>186</v>
      </c>
      <c r="D106" s="56">
        <v>0</v>
      </c>
      <c r="E106" s="69">
        <f>References!$B$9</f>
        <v>1</v>
      </c>
      <c r="F106" s="68">
        <f t="shared" si="59"/>
        <v>12</v>
      </c>
      <c r="G106" s="145">
        <f>References!B21</f>
        <v>47</v>
      </c>
      <c r="H106" s="106">
        <f t="shared" si="60"/>
        <v>564</v>
      </c>
      <c r="I106" s="45">
        <f t="shared" si="61"/>
        <v>532.70163117785285</v>
      </c>
      <c r="J106" s="67">
        <f>(References!$C$49*I106)</f>
        <v>0.55933671273675045</v>
      </c>
      <c r="K106" s="67">
        <f>J106/References!$G$52</f>
        <v>0.57016994162767631</v>
      </c>
      <c r="L106" s="67">
        <f t="shared" si="62"/>
        <v>4.7514161802306359E-2</v>
      </c>
      <c r="M106" s="163">
        <v>3.94</v>
      </c>
      <c r="N106" s="156">
        <f t="shared" si="63"/>
        <v>3.9875141618023062</v>
      </c>
      <c r="O106" s="67"/>
      <c r="P106" s="67"/>
      <c r="Q106" s="67"/>
    </row>
    <row r="107" spans="1:17" s="59" customFormat="1">
      <c r="A107" s="193"/>
      <c r="B107" s="46">
        <v>29</v>
      </c>
      <c r="C107" s="121" t="s">
        <v>185</v>
      </c>
      <c r="D107" s="56">
        <v>0</v>
      </c>
      <c r="E107" s="69">
        <f>References!$B$9</f>
        <v>1</v>
      </c>
      <c r="F107" s="68">
        <f t="shared" si="59"/>
        <v>12</v>
      </c>
      <c r="G107" s="145">
        <f>References!B21</f>
        <v>47</v>
      </c>
      <c r="H107" s="106">
        <f t="shared" si="60"/>
        <v>564</v>
      </c>
      <c r="I107" s="45">
        <f t="shared" si="61"/>
        <v>532.70163117785285</v>
      </c>
      <c r="J107" s="67">
        <f>(References!$C$49*I107)</f>
        <v>0.55933671273675045</v>
      </c>
      <c r="K107" s="67">
        <f>J107/References!$G$52</f>
        <v>0.57016994162767631</v>
      </c>
      <c r="L107" s="67">
        <f t="shared" si="62"/>
        <v>4.7514161802306359E-2</v>
      </c>
      <c r="M107" s="163">
        <v>3.94</v>
      </c>
      <c r="N107" s="156">
        <f t="shared" si="63"/>
        <v>3.9875141618023062</v>
      </c>
      <c r="O107" s="67"/>
      <c r="P107" s="67"/>
      <c r="Q107" s="67"/>
    </row>
    <row r="108" spans="1:17" s="59" customFormat="1">
      <c r="A108" s="193"/>
      <c r="B108" s="46">
        <v>29</v>
      </c>
      <c r="C108" s="121" t="s">
        <v>160</v>
      </c>
      <c r="D108" s="56">
        <v>0</v>
      </c>
      <c r="E108" s="69">
        <f>References!$B$9</f>
        <v>1</v>
      </c>
      <c r="F108" s="68">
        <f t="shared" si="59"/>
        <v>12</v>
      </c>
      <c r="G108" s="145">
        <f>References!B27</f>
        <v>175</v>
      </c>
      <c r="H108" s="106">
        <f t="shared" si="60"/>
        <v>2100</v>
      </c>
      <c r="I108" s="45">
        <f t="shared" si="61"/>
        <v>1983.4635203430691</v>
      </c>
      <c r="J108" s="67">
        <f>(References!$C$49*I108)</f>
        <v>2.082636696360241</v>
      </c>
      <c r="K108" s="67">
        <f>J108/References!$G$52</f>
        <v>2.1229731869115605</v>
      </c>
      <c r="L108" s="67">
        <f t="shared" si="62"/>
        <v>0.17691443224263004</v>
      </c>
      <c r="M108" s="163">
        <v>14.22</v>
      </c>
      <c r="N108" s="156">
        <f t="shared" si="63"/>
        <v>14.39691443224263</v>
      </c>
      <c r="O108" s="67"/>
      <c r="P108" s="67"/>
      <c r="Q108" s="67"/>
    </row>
    <row r="109" spans="1:17" s="59" customFormat="1">
      <c r="A109" s="193"/>
      <c r="B109" s="46">
        <v>29</v>
      </c>
      <c r="C109" s="121" t="s">
        <v>161</v>
      </c>
      <c r="D109" s="56">
        <v>0</v>
      </c>
      <c r="E109" s="69">
        <f>References!$B$9</f>
        <v>1</v>
      </c>
      <c r="F109" s="68">
        <f t="shared" si="59"/>
        <v>12</v>
      </c>
      <c r="G109" s="145">
        <f>References!B27</f>
        <v>175</v>
      </c>
      <c r="H109" s="106">
        <f t="shared" si="60"/>
        <v>2100</v>
      </c>
      <c r="I109" s="45">
        <f t="shared" si="61"/>
        <v>1983.4635203430691</v>
      </c>
      <c r="J109" s="67">
        <f>(References!$C$49*I109)</f>
        <v>2.082636696360241</v>
      </c>
      <c r="K109" s="67">
        <f>J109/References!$G$52</f>
        <v>2.1229731869115605</v>
      </c>
      <c r="L109" s="67">
        <f t="shared" si="62"/>
        <v>0.17691443224263004</v>
      </c>
      <c r="M109" s="163">
        <v>19.64</v>
      </c>
      <c r="N109" s="156">
        <f t="shared" si="63"/>
        <v>19.81691443224263</v>
      </c>
      <c r="O109" s="67"/>
      <c r="P109" s="67"/>
      <c r="Q109" s="67"/>
    </row>
    <row r="110" spans="1:17" s="59" customFormat="1">
      <c r="A110" s="193"/>
      <c r="B110" s="46">
        <v>29</v>
      </c>
      <c r="C110" s="121" t="s">
        <v>162</v>
      </c>
      <c r="D110" s="56">
        <v>0</v>
      </c>
      <c r="E110" s="69">
        <f>References!$B$9</f>
        <v>1</v>
      </c>
      <c r="F110" s="68">
        <f t="shared" si="59"/>
        <v>12</v>
      </c>
      <c r="G110" s="145">
        <f>References!B28</f>
        <v>250</v>
      </c>
      <c r="H110" s="106">
        <f t="shared" si="60"/>
        <v>3000</v>
      </c>
      <c r="I110" s="45">
        <f t="shared" si="61"/>
        <v>2833.5193147758132</v>
      </c>
      <c r="J110" s="67">
        <f>(References!$C$49*I110)</f>
        <v>2.97519528051463</v>
      </c>
      <c r="K110" s="67">
        <f>J110/References!$G$52</f>
        <v>3.0328188384450865</v>
      </c>
      <c r="L110" s="67">
        <f t="shared" si="62"/>
        <v>0.25273490320375719</v>
      </c>
      <c r="M110" s="163">
        <v>20.39</v>
      </c>
      <c r="N110" s="156">
        <f t="shared" si="63"/>
        <v>20.642734903203756</v>
      </c>
      <c r="O110" s="67"/>
      <c r="P110" s="67"/>
      <c r="Q110" s="67"/>
    </row>
    <row r="111" spans="1:17" s="59" customFormat="1">
      <c r="A111" s="193"/>
      <c r="B111" s="46">
        <v>29</v>
      </c>
      <c r="C111" s="121" t="s">
        <v>163</v>
      </c>
      <c r="D111" s="56">
        <v>0</v>
      </c>
      <c r="E111" s="69">
        <f>References!$B$9</f>
        <v>1</v>
      </c>
      <c r="F111" s="68">
        <f t="shared" si="59"/>
        <v>12</v>
      </c>
      <c r="G111" s="145">
        <f>References!B28</f>
        <v>250</v>
      </c>
      <c r="H111" s="106">
        <f t="shared" si="60"/>
        <v>3000</v>
      </c>
      <c r="I111" s="45">
        <f t="shared" si="61"/>
        <v>2833.5193147758132</v>
      </c>
      <c r="J111" s="67">
        <f>(References!$C$49*I111)</f>
        <v>2.97519528051463</v>
      </c>
      <c r="K111" s="67">
        <f>J111/References!$G$52</f>
        <v>3.0328188384450865</v>
      </c>
      <c r="L111" s="67">
        <f t="shared" si="62"/>
        <v>0.25273490320375719</v>
      </c>
      <c r="M111" s="163">
        <v>20.39</v>
      </c>
      <c r="N111" s="156">
        <f t="shared" si="63"/>
        <v>20.642734903203756</v>
      </c>
      <c r="O111" s="67"/>
      <c r="P111" s="67"/>
      <c r="Q111" s="67"/>
    </row>
    <row r="112" spans="1:17" s="59" customFormat="1">
      <c r="A112" s="193"/>
      <c r="B112" s="46" t="s">
        <v>196</v>
      </c>
      <c r="C112" s="121" t="s">
        <v>164</v>
      </c>
      <c r="D112" s="56">
        <v>0</v>
      </c>
      <c r="E112" s="69">
        <f>References!$B$9</f>
        <v>1</v>
      </c>
      <c r="F112" s="68">
        <f t="shared" si="59"/>
        <v>12</v>
      </c>
      <c r="G112" s="145">
        <f>References!B29</f>
        <v>324</v>
      </c>
      <c r="H112" s="106">
        <f t="shared" si="60"/>
        <v>3888</v>
      </c>
      <c r="I112" s="45">
        <f t="shared" si="61"/>
        <v>3672.2410319494538</v>
      </c>
      <c r="J112" s="67">
        <f>(References!$C$49*I112)</f>
        <v>3.8558530835469607</v>
      </c>
      <c r="K112" s="67">
        <f>J112/References!$G$52</f>
        <v>3.9305332146248326</v>
      </c>
      <c r="L112" s="67">
        <f t="shared" si="62"/>
        <v>0.32754443455206939</v>
      </c>
      <c r="M112" s="163">
        <v>25.84</v>
      </c>
      <c r="N112" s="156">
        <f t="shared" si="63"/>
        <v>26.16754443455207</v>
      </c>
      <c r="O112" s="67"/>
      <c r="P112" s="67"/>
      <c r="Q112" s="67"/>
    </row>
    <row r="113" spans="1:17" s="59" customFormat="1">
      <c r="A113" s="193"/>
      <c r="B113" s="46" t="s">
        <v>196</v>
      </c>
      <c r="C113" s="121" t="s">
        <v>165</v>
      </c>
      <c r="D113" s="56">
        <v>0</v>
      </c>
      <c r="E113" s="69">
        <f>References!$B$9</f>
        <v>1</v>
      </c>
      <c r="F113" s="68">
        <f t="shared" si="59"/>
        <v>12</v>
      </c>
      <c r="G113" s="145">
        <f>References!B29</f>
        <v>324</v>
      </c>
      <c r="H113" s="106">
        <f t="shared" si="60"/>
        <v>3888</v>
      </c>
      <c r="I113" s="45">
        <f t="shared" si="61"/>
        <v>3672.2410319494538</v>
      </c>
      <c r="J113" s="67">
        <f>(References!$C$49*I113)</f>
        <v>3.8558530835469607</v>
      </c>
      <c r="K113" s="67">
        <f>J113/References!$G$52</f>
        <v>3.9305332146248326</v>
      </c>
      <c r="L113" s="67">
        <f t="shared" si="62"/>
        <v>0.32754443455206939</v>
      </c>
      <c r="M113" s="163">
        <v>25.84</v>
      </c>
      <c r="N113" s="156">
        <f t="shared" si="63"/>
        <v>26.16754443455207</v>
      </c>
      <c r="O113" s="67"/>
      <c r="P113" s="67"/>
      <c r="Q113" s="67"/>
    </row>
    <row r="114" spans="1:17" s="59" customFormat="1">
      <c r="A114" s="158"/>
      <c r="B114" s="46" t="s">
        <v>196</v>
      </c>
      <c r="C114" s="121" t="s">
        <v>197</v>
      </c>
      <c r="D114" s="56">
        <v>0</v>
      </c>
      <c r="E114" s="69">
        <f>References!$B$9</f>
        <v>1</v>
      </c>
      <c r="F114" s="68">
        <f t="shared" si="59"/>
        <v>12</v>
      </c>
      <c r="G114" s="145">
        <f>References!B31</f>
        <v>613</v>
      </c>
      <c r="H114" s="106">
        <f t="shared" ref="H114:H116" si="64">F114*G114</f>
        <v>7356</v>
      </c>
      <c r="I114" s="45">
        <f t="shared" si="61"/>
        <v>6947.7893598302935</v>
      </c>
      <c r="J114" s="67">
        <f>(References!$C$49*I114)</f>
        <v>7.2951788278218723</v>
      </c>
      <c r="K114" s="67">
        <f>J114/References!$G$52</f>
        <v>7.4364717918673522</v>
      </c>
      <c r="L114" s="67">
        <f t="shared" ref="L114:L116" si="65">IFERROR(K114/F114,0)</f>
        <v>0.61970598265561272</v>
      </c>
      <c r="M114" s="163">
        <v>46.43</v>
      </c>
      <c r="N114" s="156">
        <f t="shared" ref="N114:N116" si="66">L114+M114</f>
        <v>47.04970598265561</v>
      </c>
      <c r="O114" s="67"/>
      <c r="P114" s="67"/>
      <c r="Q114" s="67"/>
    </row>
    <row r="115" spans="1:17" s="59" customFormat="1">
      <c r="A115" s="134"/>
      <c r="B115" s="46" t="s">
        <v>196</v>
      </c>
      <c r="C115" s="121" t="s">
        <v>198</v>
      </c>
      <c r="D115" s="56">
        <v>0</v>
      </c>
      <c r="E115" s="69">
        <f>References!$B$9</f>
        <v>1</v>
      </c>
      <c r="F115" s="68">
        <f t="shared" si="59"/>
        <v>12</v>
      </c>
      <c r="G115" s="145">
        <f>References!B32</f>
        <v>840</v>
      </c>
      <c r="H115" s="106">
        <f t="shared" si="64"/>
        <v>10080</v>
      </c>
      <c r="I115" s="45">
        <f t="shared" si="61"/>
        <v>9520.6248976467323</v>
      </c>
      <c r="J115" s="67">
        <f>(References!$C$49*I115)</f>
        <v>9.9966561425291562</v>
      </c>
      <c r="K115" s="67">
        <f>J115/References!$G$52</f>
        <v>10.190271297175491</v>
      </c>
      <c r="L115" s="67">
        <f t="shared" si="65"/>
        <v>0.84918927476462425</v>
      </c>
      <c r="M115" s="163">
        <v>63.94</v>
      </c>
      <c r="N115" s="156">
        <f t="shared" si="66"/>
        <v>64.789189274764624</v>
      </c>
      <c r="O115" s="67"/>
      <c r="P115" s="67"/>
      <c r="Q115" s="67"/>
    </row>
    <row r="116" spans="1:17" s="59" customFormat="1">
      <c r="A116" s="158"/>
      <c r="B116" s="46" t="s">
        <v>196</v>
      </c>
      <c r="C116" s="121" t="s">
        <v>199</v>
      </c>
      <c r="D116" s="56">
        <v>0</v>
      </c>
      <c r="E116" s="69">
        <f>References!$B$9</f>
        <v>1</v>
      </c>
      <c r="F116" s="68">
        <f t="shared" si="59"/>
        <v>12</v>
      </c>
      <c r="G116" s="145">
        <f>References!B33</f>
        <v>980</v>
      </c>
      <c r="H116" s="106">
        <f t="shared" si="64"/>
        <v>11760</v>
      </c>
      <c r="I116" s="45">
        <f t="shared" si="61"/>
        <v>11107.395713921187</v>
      </c>
      <c r="J116" s="67">
        <f>(References!$C$49*I116)</f>
        <v>11.662765499617349</v>
      </c>
      <c r="K116" s="67">
        <f>J116/References!$G$52</f>
        <v>11.888649846704739</v>
      </c>
      <c r="L116" s="67">
        <f t="shared" si="65"/>
        <v>0.99072082055872823</v>
      </c>
      <c r="M116" s="163">
        <v>80.36</v>
      </c>
      <c r="N116" s="156">
        <f t="shared" si="66"/>
        <v>81.350720820558735</v>
      </c>
      <c r="O116" s="67"/>
      <c r="P116" s="67"/>
      <c r="Q116" s="67"/>
    </row>
    <row r="117" spans="1:17" s="59" customFormat="1">
      <c r="A117" s="158"/>
      <c r="B117" s="46" t="s">
        <v>196</v>
      </c>
      <c r="C117" s="121" t="s">
        <v>200</v>
      </c>
      <c r="D117" s="56">
        <v>0</v>
      </c>
      <c r="E117" s="69">
        <f>References!$B$9</f>
        <v>1</v>
      </c>
      <c r="F117" s="68">
        <f t="shared" si="59"/>
        <v>12</v>
      </c>
      <c r="G117" s="125">
        <v>1312.5</v>
      </c>
      <c r="H117" s="106">
        <f t="shared" ref="H117" si="67">F117*G117</f>
        <v>15750</v>
      </c>
      <c r="I117" s="45">
        <f t="shared" si="61"/>
        <v>14875.976402573018</v>
      </c>
      <c r="J117" s="67">
        <f>(References!$C$49*I117)</f>
        <v>15.619775222701806</v>
      </c>
      <c r="K117" s="67">
        <f>J117/References!$G$52</f>
        <v>15.922298901836704</v>
      </c>
      <c r="L117" s="67">
        <f t="shared" ref="L117" si="68">IFERROR(K117/F117,0)</f>
        <v>1.3268582418197254</v>
      </c>
      <c r="M117" s="163">
        <v>95.93</v>
      </c>
      <c r="N117" s="156">
        <f t="shared" ref="N117" si="69">L117+M117</f>
        <v>97.256858241819728</v>
      </c>
      <c r="O117" s="67"/>
      <c r="P117" s="67"/>
      <c r="Q117" s="67"/>
    </row>
    <row r="118" spans="1:17">
      <c r="A118" s="167"/>
      <c r="B118" s="17"/>
      <c r="C118" s="168"/>
      <c r="D118" s="169"/>
      <c r="E118" s="170"/>
      <c r="F118" s="14"/>
      <c r="G118" s="82"/>
      <c r="H118" s="14"/>
      <c r="I118" s="14"/>
      <c r="J118" s="91"/>
      <c r="K118" s="171"/>
      <c r="L118" s="171"/>
      <c r="M118" s="171"/>
      <c r="N118" s="171"/>
      <c r="O118" s="172"/>
      <c r="P118" s="173"/>
      <c r="Q118" s="172"/>
    </row>
    <row r="119" spans="1:17">
      <c r="A119" s="62"/>
      <c r="C119" s="65"/>
      <c r="P119" s="60"/>
    </row>
    <row r="120" spans="1:17">
      <c r="A120" s="62"/>
      <c r="C120" s="65"/>
      <c r="P120" s="60"/>
    </row>
    <row r="121" spans="1:17">
      <c r="A121" s="62"/>
      <c r="C121" s="192" t="s">
        <v>86</v>
      </c>
      <c r="D121" s="192"/>
      <c r="E121" s="87"/>
      <c r="F121" s="87"/>
      <c r="H121" s="90" t="s">
        <v>94</v>
      </c>
    </row>
    <row r="122" spans="1:17">
      <c r="A122" s="62"/>
      <c r="D122" s="54" t="s">
        <v>16</v>
      </c>
      <c r="E122" s="37"/>
      <c r="F122" s="37"/>
      <c r="H122" s="88" t="s">
        <v>110</v>
      </c>
      <c r="J122" s="40"/>
      <c r="O122" s="58"/>
    </row>
    <row r="123" spans="1:17">
      <c r="A123" s="62"/>
      <c r="C123" s="57" t="s">
        <v>32</v>
      </c>
      <c r="D123" s="66">
        <v>7564</v>
      </c>
      <c r="E123" s="56"/>
      <c r="F123" s="56"/>
      <c r="G123" s="44"/>
      <c r="H123" s="89" t="s">
        <v>95</v>
      </c>
      <c r="J123" s="40"/>
      <c r="O123" s="58"/>
    </row>
    <row r="124" spans="1:17">
      <c r="A124" s="62"/>
      <c r="C124" s="57" t="s">
        <v>33</v>
      </c>
      <c r="D124" s="36">
        <f>D123*2000</f>
        <v>15128000</v>
      </c>
      <c r="E124" s="36"/>
      <c r="F124" s="36"/>
      <c r="G124" s="36"/>
      <c r="H124" s="111" t="s">
        <v>97</v>
      </c>
      <c r="J124" s="40"/>
    </row>
    <row r="125" spans="1:17">
      <c r="A125" s="62"/>
      <c r="C125" s="57" t="s">
        <v>4</v>
      </c>
      <c r="D125" s="36">
        <f>F16+F55</f>
        <v>233297</v>
      </c>
      <c r="E125" s="56"/>
      <c r="F125" s="56"/>
      <c r="G125" s="56"/>
      <c r="H125" s="112" t="s">
        <v>98</v>
      </c>
      <c r="J125" s="40"/>
      <c r="O125" s="58"/>
    </row>
    <row r="126" spans="1:17">
      <c r="C126" s="41" t="s">
        <v>11</v>
      </c>
      <c r="D126" s="35">
        <f>D124/$H$56</f>
        <v>0.94450643825860436</v>
      </c>
      <c r="E126" s="35"/>
      <c r="F126" s="35"/>
      <c r="G126" s="35"/>
      <c r="H126" s="166" t="s">
        <v>184</v>
      </c>
      <c r="J126" s="40"/>
      <c r="M126" s="39"/>
      <c r="N126" s="39"/>
      <c r="O126" s="38"/>
    </row>
    <row r="127" spans="1:17">
      <c r="G127" s="43"/>
      <c r="H127" s="32"/>
      <c r="J127" s="40"/>
      <c r="M127" s="42"/>
      <c r="N127" s="31"/>
      <c r="O127" s="60"/>
    </row>
    <row r="128" spans="1:17">
      <c r="D128" s="34"/>
      <c r="E128" s="33"/>
      <c r="G128" s="43"/>
      <c r="H128" s="32"/>
      <c r="J128" s="40"/>
      <c r="M128" s="42"/>
      <c r="N128" s="31"/>
      <c r="O128" s="60"/>
    </row>
    <row r="129" spans="4:15">
      <c r="D129" s="34"/>
      <c r="E129" s="33"/>
      <c r="G129" s="43"/>
      <c r="H129" s="32"/>
      <c r="J129" s="40"/>
      <c r="M129" s="42"/>
      <c r="N129" s="31"/>
      <c r="O129" s="60"/>
    </row>
    <row r="130" spans="4:15">
      <c r="D130" s="57"/>
      <c r="I130" s="57"/>
    </row>
    <row r="131" spans="4:15">
      <c r="D131" s="57"/>
      <c r="E131" s="40"/>
      <c r="I131" s="57"/>
    </row>
    <row r="132" spans="4:15">
      <c r="D132" s="57"/>
      <c r="I132" s="57"/>
    </row>
    <row r="133" spans="4:15">
      <c r="D133" s="57"/>
      <c r="I133" s="57"/>
    </row>
    <row r="134" spans="4:15">
      <c r="D134" s="57"/>
    </row>
  </sheetData>
  <autoFilter ref="A5:Q117"/>
  <mergeCells count="5">
    <mergeCell ref="C121:D121"/>
    <mergeCell ref="A60:A73"/>
    <mergeCell ref="A6:A15"/>
    <mergeCell ref="A17:A54"/>
    <mergeCell ref="A78:A113"/>
  </mergeCells>
  <phoneticPr fontId="0" type="noConversion"/>
  <pageMargins left="0.2" right="0.22" top="0.63" bottom="0.34" header="0.19" footer="0.17"/>
  <pageSetup paperSize="3" scale="74" fitToHeight="0" orientation="landscape" horizontalDpi="4294967293" r:id="rId1"/>
  <headerFooter>
    <oddHeader>&amp;C&amp;"-,Bold"&amp;12Basin Disposal of Walla Walla&amp;"-,Regular"
Disposal Fee Staff Calculations</oddHeader>
    <oddFooter>&amp;L&amp;Z&amp;F&amp;C  [Date]&amp;R&amp;P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2018-10-23T07:00:00+00:00</OpenedDate>
    <SignificantOrder xmlns="dc463f71-b30c-4ab2-9473-d307f9d35888">false</SignificantOrder>
    <Date1 xmlns="dc463f71-b30c-4ab2-9473-d307f9d35888">2018-10-23T07:00:00+00:00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Basin Disposal of Washington, LLC</CaseCompanyNames>
    <Nickname xmlns="http://schemas.microsoft.com/sharepoint/v3" xsi:nil="true"/>
    <DocketNumber xmlns="dc463f71-b30c-4ab2-9473-d307f9d35888">180870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8EA99C00F17EF4FB3B138C45E63847B" ma:contentTypeVersion="76" ma:contentTypeDescription="" ma:contentTypeScope="" ma:versionID="ed450539f2aa4aaccb652bc862def5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5C5D41-0D0D-4453-A6FF-8DAC715DB8E7}"/>
</file>

<file path=customXml/itemProps2.xml><?xml version="1.0" encoding="utf-8"?>
<ds:datastoreItem xmlns:ds="http://schemas.openxmlformats.org/officeDocument/2006/customXml" ds:itemID="{13838375-1189-4892-A6D2-BB556694395F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6a7bd91e-004b-490a-8704-e368d63d59a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D2A8CD0-AF00-40F2-B31E-5B94DD90AAA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E4DC65E-CF46-4343-9D7E-648AEDE52D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References</vt:lpstr>
      <vt:lpstr>Calculations</vt:lpstr>
      <vt:lpstr>Sheet1</vt:lpstr>
      <vt:lpstr>Calculations!Print_Area</vt:lpstr>
      <vt:lpstr>Calculations!Print_Titles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Dave Atwell</cp:lastModifiedBy>
  <cp:lastPrinted>2018-01-11T23:44:14Z</cp:lastPrinted>
  <dcterms:created xsi:type="dcterms:W3CDTF">2013-10-29T22:33:54Z</dcterms:created>
  <dcterms:modified xsi:type="dcterms:W3CDTF">2018-10-19T21:07:58Z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0x0101006E56B4D1795A2E4DB2F0B01679ED314A00A8EA99C00F17EF4FB3B138C45E63847B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