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1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_TO_E\BAD0735 - Bainbridge Disposal\Commodity Credit\2018\0918 Second Filing of 2018\Submission\"/>
    </mc:Choice>
  </mc:AlternateContent>
  <xr:revisionPtr revIDLastSave="0" documentId="13_ncr:1_{616F0FCF-26AB-47CA-8324-C0A73D2A7ABA}" xr6:coauthVersionLast="36" xr6:coauthVersionMax="36" xr10:uidLastSave="{00000000-0000-0000-0000-000000000000}"/>
  <bookViews>
    <workbookView xWindow="0" yWindow="0" windowWidth="23040" windowHeight="8475" tabRatio="770" xr2:uid="{00000000-000D-0000-FFFF-FFFF00000000}"/>
  </bookViews>
  <sheets>
    <sheet name="Analysis" sheetId="13" r:id="rId1"/>
    <sheet name="Calcs revised method" sheetId="24" r:id="rId2"/>
    <sheet name="Multi-Family 2018 " sheetId="22" r:id="rId3"/>
    <sheet name="Multi-Family 2017" sheetId="19" r:id="rId4"/>
    <sheet name="Single Family 2018 " sheetId="23" r:id="rId5"/>
    <sheet name="Single Family 2017" sheetId="20" r:id="rId6"/>
    <sheet name="Multi-Family 2016" sheetId="18" r:id="rId7"/>
    <sheet name="Single Family 2016" sheetId="17" r:id="rId8"/>
    <sheet name="Multi-Family 2015" sheetId="15" r:id="rId9"/>
    <sheet name="Single Family 2015" sheetId="14" r:id="rId10"/>
    <sheet name="Multi-Family 2014" sheetId="12" r:id="rId11"/>
    <sheet name="Single Family 2014" sheetId="11" r:id="rId12"/>
    <sheet name="Multi-Family Year 2013" sheetId="1" r:id="rId13"/>
    <sheet name="Curbside Year 2013" sheetId="2" r:id="rId14"/>
    <sheet name="Tarriff Revenue Billed" sheetId="5" r:id="rId15"/>
    <sheet name="Credit Calc-Single Family 2014" sheetId="4" r:id="rId16"/>
    <sheet name="Credit Calc-Multi Family 2014" sheetId="3" r:id="rId17"/>
    <sheet name="Credit Calc-Single Family 2013" sheetId="9" r:id="rId18"/>
    <sheet name="Credit Calc Multi-Family 2013" sheetId="8" r:id="rId19"/>
  </sheets>
  <externalReferences>
    <externalReference r:id="rId20"/>
    <externalReference r:id="rId21"/>
    <externalReference r:id="rId22"/>
  </externalReferences>
  <definedNames>
    <definedName name="BREMAIR_COST_of_SERVICE_STUDY" localSheetId="0">#REF!</definedName>
    <definedName name="BREMAIR_COST_of_SERVICE_STUDY" localSheetId="3">#REF!</definedName>
    <definedName name="BREMAIR_COST_of_SERVICE_STUDY" localSheetId="2">#REF!</definedName>
    <definedName name="BREMAIR_COST_of_SERVICE_STUDY" localSheetId="5">#REF!</definedName>
    <definedName name="BREMAIR_COST_of_SERVICE_STUDY" localSheetId="4">#REF!</definedName>
    <definedName name="BREMAIR_COST_of_SERVICE_STUDY">#REF!</definedName>
    <definedName name="_xlnm.Print_Area" localSheetId="0">Analysis!$S$1:$X$57</definedName>
    <definedName name="_xlnm.Print_Area" localSheetId="18">'Credit Calc Multi-Family 2013'!$A$1:$L$49</definedName>
    <definedName name="_xlnm.Print_Area" localSheetId="16">'Credit Calc-Multi Family 2014'!$A$1:$K$49</definedName>
    <definedName name="_xlnm.Print_Area" localSheetId="15">'Credit Calc-Single Family 2014'!$A$1:$K$50</definedName>
    <definedName name="Print1" localSheetId="0">#REF!</definedName>
    <definedName name="Print1" localSheetId="6">#REF!</definedName>
    <definedName name="Print1" localSheetId="3">#REF!</definedName>
    <definedName name="Print1" localSheetId="2">#REF!</definedName>
    <definedName name="Print1" localSheetId="7">#REF!</definedName>
    <definedName name="Print1" localSheetId="5">#REF!</definedName>
    <definedName name="Print1" localSheetId="4">#REF!</definedName>
    <definedName name="Print1">#REF!</definedName>
    <definedName name="Print2" localSheetId="0">#REF!</definedName>
    <definedName name="Print2" localSheetId="3">#REF!</definedName>
    <definedName name="Print2" localSheetId="2">#REF!</definedName>
    <definedName name="Print2" localSheetId="5">#REF!</definedName>
    <definedName name="Print2" localSheetId="4">#REF!</definedName>
    <definedName name="Print2">#REF!</definedName>
  </definedNames>
  <calcPr calcId="162913"/>
</workbook>
</file>

<file path=xl/calcChain.xml><?xml version="1.0" encoding="utf-8"?>
<calcChain xmlns="http://schemas.openxmlformats.org/spreadsheetml/2006/main">
  <c r="I28" i="22" l="1"/>
  <c r="P38" i="24" l="1"/>
  <c r="P40" i="24"/>
  <c r="E50" i="13"/>
  <c r="E42" i="13"/>
  <c r="D39" i="13"/>
  <c r="D38" i="13"/>
  <c r="C39" i="13"/>
  <c r="C38" i="13"/>
  <c r="S52" i="24"/>
  <c r="S51" i="24"/>
  <c r="S50" i="24"/>
  <c r="E50" i="24"/>
  <c r="E51" i="24" s="1"/>
  <c r="F50" i="24"/>
  <c r="F51" i="24" s="1"/>
  <c r="G50" i="24"/>
  <c r="H50" i="24"/>
  <c r="I50" i="24"/>
  <c r="I51" i="24" s="1"/>
  <c r="J50" i="24"/>
  <c r="J51" i="24" s="1"/>
  <c r="K50" i="24"/>
  <c r="L50" i="24"/>
  <c r="M50" i="24"/>
  <c r="N50" i="24"/>
  <c r="O50" i="24"/>
  <c r="O51" i="24"/>
  <c r="D50" i="24"/>
  <c r="D49" i="24"/>
  <c r="D42" i="24"/>
  <c r="E42" i="24"/>
  <c r="F42" i="24"/>
  <c r="G42" i="24"/>
  <c r="G46" i="24" s="1"/>
  <c r="H42" i="24"/>
  <c r="I42" i="24"/>
  <c r="J42" i="24"/>
  <c r="J46" i="24" s="1"/>
  <c r="K42" i="24"/>
  <c r="K46" i="24" s="1"/>
  <c r="L42" i="24"/>
  <c r="L46" i="24" s="1"/>
  <c r="M42" i="24"/>
  <c r="M46" i="24" s="1"/>
  <c r="N42" i="24"/>
  <c r="O42" i="24"/>
  <c r="O46" i="24" s="1"/>
  <c r="D46" i="24"/>
  <c r="E46" i="24"/>
  <c r="F46" i="24"/>
  <c r="H46" i="24"/>
  <c r="I46" i="24"/>
  <c r="N46" i="24"/>
  <c r="E49" i="24"/>
  <c r="F49" i="24"/>
  <c r="G49" i="24"/>
  <c r="G51" i="24" s="1"/>
  <c r="H49" i="24"/>
  <c r="I49" i="24"/>
  <c r="J49" i="24"/>
  <c r="K49" i="24"/>
  <c r="K51" i="24" s="1"/>
  <c r="L49" i="24"/>
  <c r="M49" i="24"/>
  <c r="N49" i="24"/>
  <c r="O49" i="24"/>
  <c r="P30" i="24"/>
  <c r="S22" i="24"/>
  <c r="S21" i="24"/>
  <c r="S20" i="24"/>
  <c r="P23" i="24"/>
  <c r="E20" i="24"/>
  <c r="F20" i="24"/>
  <c r="G20" i="24"/>
  <c r="H20" i="24"/>
  <c r="I20" i="24"/>
  <c r="J20" i="24"/>
  <c r="K20" i="24"/>
  <c r="L20" i="24"/>
  <c r="Q20" i="24" s="1"/>
  <c r="M20" i="24"/>
  <c r="N20" i="24"/>
  <c r="O20" i="24"/>
  <c r="D20" i="24"/>
  <c r="D21" i="24" s="1"/>
  <c r="Q10" i="24"/>
  <c r="D12" i="13"/>
  <c r="P12" i="24"/>
  <c r="P8" i="24"/>
  <c r="P10" i="24"/>
  <c r="C12" i="13"/>
  <c r="C11" i="13"/>
  <c r="D11" i="13"/>
  <c r="H21" i="24"/>
  <c r="E21" i="24"/>
  <c r="H19" i="24"/>
  <c r="G19" i="24"/>
  <c r="G21" i="24" s="1"/>
  <c r="F19" i="24"/>
  <c r="F21" i="24" s="1"/>
  <c r="E19" i="24"/>
  <c r="D19" i="24"/>
  <c r="F16" i="24"/>
  <c r="H14" i="24"/>
  <c r="G14" i="24"/>
  <c r="F14" i="24"/>
  <c r="E14" i="24"/>
  <c r="D14" i="24"/>
  <c r="D12" i="24"/>
  <c r="D16" i="24" s="1"/>
  <c r="E12" i="24"/>
  <c r="E16" i="24" s="1"/>
  <c r="F12" i="24"/>
  <c r="G12" i="24"/>
  <c r="G16" i="24" s="1"/>
  <c r="H12" i="24"/>
  <c r="H16" i="24" s="1"/>
  <c r="H10" i="24"/>
  <c r="G10" i="24"/>
  <c r="F10" i="24"/>
  <c r="E10" i="24"/>
  <c r="D10" i="24"/>
  <c r="H8" i="24"/>
  <c r="G8" i="24"/>
  <c r="F8" i="24"/>
  <c r="E8" i="24"/>
  <c r="D8" i="24"/>
  <c r="K14" i="24"/>
  <c r="J14" i="24"/>
  <c r="I14" i="24"/>
  <c r="K10" i="24"/>
  <c r="K19" i="24" s="1"/>
  <c r="J10" i="24"/>
  <c r="J19" i="24" s="1"/>
  <c r="I10" i="24"/>
  <c r="I19" i="24" s="1"/>
  <c r="K8" i="24"/>
  <c r="J8" i="24"/>
  <c r="I8" i="24"/>
  <c r="O14" i="24"/>
  <c r="N14" i="24"/>
  <c r="M14" i="24"/>
  <c r="L14" i="24"/>
  <c r="O10" i="24"/>
  <c r="O19" i="24" s="1"/>
  <c r="N10" i="24"/>
  <c r="N19" i="24" s="1"/>
  <c r="M10" i="24"/>
  <c r="M19" i="24" s="1"/>
  <c r="L10" i="24"/>
  <c r="L19" i="24" s="1"/>
  <c r="O8" i="24"/>
  <c r="N8" i="24"/>
  <c r="M8" i="24"/>
  <c r="M12" i="24" s="1"/>
  <c r="M16" i="24" s="1"/>
  <c r="L8" i="24"/>
  <c r="L12" i="24" s="1"/>
  <c r="L16" i="24" s="1"/>
  <c r="N51" i="24" l="1"/>
  <c r="M51" i="24"/>
  <c r="L51" i="24"/>
  <c r="H51" i="24"/>
  <c r="P42" i="24"/>
  <c r="P50" i="24"/>
  <c r="Q50" i="24"/>
  <c r="Q40" i="24"/>
  <c r="P20" i="24"/>
  <c r="E15" i="13" s="1"/>
  <c r="P19" i="24"/>
  <c r="K12" i="24"/>
  <c r="J12" i="24"/>
  <c r="I21" i="24"/>
  <c r="P21" i="24" s="1"/>
  <c r="P24" i="24" s="1"/>
  <c r="I12" i="24"/>
  <c r="I16" i="24" s="1"/>
  <c r="K21" i="24"/>
  <c r="K16" i="24"/>
  <c r="J21" i="24"/>
  <c r="J16" i="24"/>
  <c r="N12" i="24"/>
  <c r="N16" i="24" s="1"/>
  <c r="M21" i="24"/>
  <c r="N21" i="24"/>
  <c r="L21" i="24"/>
  <c r="O12" i="24"/>
  <c r="O16" i="24" s="1"/>
  <c r="O21" i="24"/>
  <c r="D51" i="24" l="1"/>
  <c r="P51" i="24" s="1"/>
  <c r="P54" i="24" s="1"/>
  <c r="P49" i="24"/>
  <c r="P53" i="24"/>
  <c r="P56" i="24" l="1"/>
  <c r="P60" i="24" s="1"/>
  <c r="P26" i="24"/>
  <c r="K20" i="22" l="1"/>
  <c r="K18" i="22"/>
  <c r="K19" i="22"/>
  <c r="K21" i="22"/>
  <c r="K22" i="22"/>
  <c r="E51" i="13" l="1"/>
  <c r="E24" i="13"/>
  <c r="E28" i="23" l="1"/>
  <c r="C28" i="23"/>
  <c r="G27" i="23"/>
  <c r="D27" i="23"/>
  <c r="G26" i="23"/>
  <c r="D26" i="23"/>
  <c r="G25" i="23"/>
  <c r="D25" i="23"/>
  <c r="G24" i="23"/>
  <c r="D24" i="23"/>
  <c r="G23" i="23"/>
  <c r="D23" i="23"/>
  <c r="G22" i="23"/>
  <c r="E23" i="13" s="1"/>
  <c r="D22" i="23"/>
  <c r="G21" i="23"/>
  <c r="D21" i="23"/>
  <c r="G20" i="23"/>
  <c r="D20" i="23"/>
  <c r="G19" i="23"/>
  <c r="D19" i="23"/>
  <c r="G18" i="23"/>
  <c r="D18" i="23"/>
  <c r="G17" i="23"/>
  <c r="D17" i="23"/>
  <c r="G16" i="23"/>
  <c r="D16" i="23"/>
  <c r="G15" i="23"/>
  <c r="D15" i="23"/>
  <c r="G14" i="23"/>
  <c r="D14" i="23"/>
  <c r="G13" i="23"/>
  <c r="D13" i="23"/>
  <c r="G12" i="23"/>
  <c r="D12" i="23"/>
  <c r="G11" i="23"/>
  <c r="D11" i="23"/>
  <c r="D28" i="23" s="1"/>
  <c r="D32" i="22"/>
  <c r="D34" i="22" s="1"/>
  <c r="E28" i="22"/>
  <c r="C28" i="22"/>
  <c r="G27" i="22"/>
  <c r="D27" i="22"/>
  <c r="G26" i="22"/>
  <c r="D26" i="22"/>
  <c r="G25" i="22"/>
  <c r="D25" i="22"/>
  <c r="G24" i="22"/>
  <c r="D24" i="22"/>
  <c r="G23" i="22"/>
  <c r="D23" i="22"/>
  <c r="G22" i="22"/>
  <c r="D22" i="22"/>
  <c r="G21" i="22"/>
  <c r="D21" i="22"/>
  <c r="G20" i="22"/>
  <c r="D20" i="22"/>
  <c r="G19" i="22"/>
  <c r="D19" i="22"/>
  <c r="G18" i="22"/>
  <c r="D18" i="22"/>
  <c r="G17" i="22"/>
  <c r="D17" i="22"/>
  <c r="G16" i="22"/>
  <c r="D16" i="22"/>
  <c r="G15" i="22"/>
  <c r="D15" i="22"/>
  <c r="G14" i="22"/>
  <c r="D14" i="22"/>
  <c r="G13" i="22"/>
  <c r="D13" i="22"/>
  <c r="G12" i="22"/>
  <c r="D12" i="22"/>
  <c r="D28" i="22" s="1"/>
  <c r="D33" i="22" s="1"/>
  <c r="G11" i="22"/>
  <c r="D11" i="22"/>
  <c r="A50" i="13"/>
  <c r="A39" i="13"/>
  <c r="C40" i="13"/>
  <c r="E46" i="13" s="1"/>
  <c r="A38" i="13"/>
  <c r="A37" i="13"/>
  <c r="E12" i="13"/>
  <c r="C13" i="13"/>
  <c r="E19" i="13" s="1"/>
  <c r="G28" i="23" l="1"/>
  <c r="G28" i="22"/>
  <c r="E33" i="22"/>
  <c r="F33" i="22" s="1"/>
  <c r="E32" i="22"/>
  <c r="F32" i="22" s="1"/>
  <c r="E39" i="13"/>
  <c r="E38" i="13"/>
  <c r="E40" i="13" s="1"/>
  <c r="E44" i="13" s="1"/>
  <c r="F48" i="13" s="1"/>
  <c r="F25" i="13"/>
  <c r="F52" i="13"/>
  <c r="E11" i="13"/>
  <c r="E13" i="13" s="1"/>
  <c r="E17" i="13" s="1"/>
  <c r="F21" i="13" s="1"/>
  <c r="K42" i="13"/>
  <c r="G28" i="19"/>
  <c r="D31" i="19"/>
  <c r="D30" i="19"/>
  <c r="G28" i="20"/>
  <c r="F27" i="13" l="1"/>
  <c r="F28" i="13" s="1"/>
  <c r="F34" i="22"/>
  <c r="F54" i="13"/>
  <c r="F55" i="13" s="1"/>
  <c r="G26" i="20"/>
  <c r="E26" i="20"/>
  <c r="D26" i="20"/>
  <c r="C26" i="20" l="1"/>
  <c r="E26" i="19"/>
  <c r="C26" i="19"/>
  <c r="D26" i="19"/>
  <c r="G25" i="19"/>
  <c r="G24" i="19"/>
  <c r="G26" i="19" s="1"/>
  <c r="G25" i="20"/>
  <c r="G24" i="20"/>
  <c r="I39" i="13" l="1"/>
  <c r="I38" i="13"/>
  <c r="I40" i="13" s="1"/>
  <c r="K46" i="13" s="1"/>
  <c r="K51" i="13" s="1"/>
  <c r="I12" i="13"/>
  <c r="I11" i="13"/>
  <c r="G50" i="13"/>
  <c r="G39" i="13"/>
  <c r="G38" i="13"/>
  <c r="G37" i="13"/>
  <c r="I13" i="13" l="1"/>
  <c r="K19" i="13" s="1"/>
  <c r="K24" i="13" s="1"/>
  <c r="D23" i="20" l="1"/>
  <c r="G23" i="20"/>
  <c r="D23" i="19"/>
  <c r="G23" i="19"/>
  <c r="D22" i="20"/>
  <c r="G22" i="20"/>
  <c r="D22" i="19"/>
  <c r="G22" i="19"/>
  <c r="D21" i="20" l="1"/>
  <c r="G21" i="20"/>
  <c r="D20" i="20"/>
  <c r="G20" i="20"/>
  <c r="D19" i="20"/>
  <c r="G19" i="20"/>
  <c r="D18" i="20"/>
  <c r="G18" i="20"/>
  <c r="D17" i="20"/>
  <c r="G17" i="20"/>
  <c r="D16" i="20"/>
  <c r="G16" i="20"/>
  <c r="G15" i="20"/>
  <c r="D15" i="20"/>
  <c r="G14" i="20"/>
  <c r="D14" i="20"/>
  <c r="G12" i="20"/>
  <c r="D12" i="20"/>
  <c r="G11" i="20"/>
  <c r="D11" i="20"/>
  <c r="D21" i="19"/>
  <c r="G21" i="19"/>
  <c r="D20" i="19"/>
  <c r="G20" i="19"/>
  <c r="D19" i="19"/>
  <c r="G19" i="19"/>
  <c r="D18" i="19"/>
  <c r="G18" i="19"/>
  <c r="D17" i="19"/>
  <c r="G17" i="19"/>
  <c r="D16" i="19"/>
  <c r="G16" i="19"/>
  <c r="G15" i="19"/>
  <c r="D15" i="19"/>
  <c r="G14" i="19"/>
  <c r="D14" i="19"/>
  <c r="G12" i="19"/>
  <c r="D12" i="19"/>
  <c r="G11" i="19"/>
  <c r="D11" i="19"/>
  <c r="D32" i="19" l="1"/>
  <c r="E31" i="19" s="1"/>
  <c r="F31" i="19" s="1"/>
  <c r="K50" i="13" l="1"/>
  <c r="L52" i="13" s="1"/>
  <c r="E30" i="19"/>
  <c r="F30" i="19" s="1"/>
  <c r="K23" i="13" l="1"/>
  <c r="L25" i="13" s="1"/>
  <c r="K15" i="13"/>
  <c r="F32" i="19"/>
  <c r="O39" i="13" l="1"/>
  <c r="O38" i="13"/>
  <c r="O12" i="13"/>
  <c r="O11" i="13"/>
  <c r="M50" i="13"/>
  <c r="M39" i="13"/>
  <c r="M38" i="13"/>
  <c r="M37" i="13"/>
  <c r="G23" i="18"/>
  <c r="E23" i="18"/>
  <c r="D23" i="18"/>
  <c r="D28" i="18" s="1"/>
  <c r="C23" i="18"/>
  <c r="O40" i="13" l="1"/>
  <c r="Q46" i="13" s="1"/>
  <c r="Q51" i="13" s="1"/>
  <c r="O13" i="13"/>
  <c r="Q19" i="13" s="1"/>
  <c r="Q24" i="13" s="1"/>
  <c r="C23" i="17" l="1"/>
  <c r="D23" i="17"/>
  <c r="D27" i="18" s="1"/>
  <c r="D29" i="18" s="1"/>
  <c r="E23" i="17"/>
  <c r="G23" i="17"/>
  <c r="E27" i="18" l="1"/>
  <c r="F27" i="18" s="1"/>
  <c r="E28" i="18"/>
  <c r="F28" i="18" s="1"/>
  <c r="Q42" i="13" s="1"/>
  <c r="Q50" i="13" s="1"/>
  <c r="R52" i="13" s="1"/>
  <c r="J39" i="13" s="1"/>
  <c r="K39" i="13" s="1"/>
  <c r="AA11" i="13"/>
  <c r="AA12" i="13"/>
  <c r="F11" i="2"/>
  <c r="G11" i="2"/>
  <c r="D8" i="4" s="1"/>
  <c r="F12" i="2"/>
  <c r="G12" i="2" s="1"/>
  <c r="D9" i="4" s="1"/>
  <c r="F9" i="4" s="1"/>
  <c r="F13" i="2"/>
  <c r="G13" i="2" s="1"/>
  <c r="D10" i="4" s="1"/>
  <c r="F10" i="4" s="1"/>
  <c r="F14" i="2"/>
  <c r="G14" i="2" s="1"/>
  <c r="D11" i="4" s="1"/>
  <c r="F15" i="2"/>
  <c r="G15" i="2"/>
  <c r="D12" i="4" s="1"/>
  <c r="F16" i="2"/>
  <c r="G16" i="2" s="1"/>
  <c r="D13" i="4" s="1"/>
  <c r="F13" i="4" s="1"/>
  <c r="F17" i="2"/>
  <c r="G17" i="2" s="1"/>
  <c r="D14" i="4" s="1"/>
  <c r="F18" i="2"/>
  <c r="G18" i="2" s="1"/>
  <c r="D15" i="4" s="1"/>
  <c r="F19" i="2"/>
  <c r="G19" i="2"/>
  <c r="D16" i="4" s="1"/>
  <c r="F16" i="4" s="1"/>
  <c r="F20" i="2"/>
  <c r="G20" i="2" s="1"/>
  <c r="F21" i="2"/>
  <c r="G21" i="2" s="1"/>
  <c r="D18" i="4" s="1"/>
  <c r="F18" i="4" s="1"/>
  <c r="F22" i="2"/>
  <c r="G22" i="2" s="1"/>
  <c r="D19" i="4" s="1"/>
  <c r="F19" i="4" s="1"/>
  <c r="AG11" i="13"/>
  <c r="AI11" i="13" s="1"/>
  <c r="AG12" i="13"/>
  <c r="U11" i="13"/>
  <c r="U12" i="13"/>
  <c r="AG38" i="13"/>
  <c r="AG39" i="13"/>
  <c r="U39" i="13"/>
  <c r="U38" i="13"/>
  <c r="AA39" i="13"/>
  <c r="S50" i="13"/>
  <c r="S39" i="13"/>
  <c r="S38" i="13"/>
  <c r="S37" i="13"/>
  <c r="D2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E23" i="14"/>
  <c r="D11" i="14"/>
  <c r="D23" i="14" s="1"/>
  <c r="D12" i="14"/>
  <c r="D13" i="14"/>
  <c r="D14" i="14"/>
  <c r="D15" i="14"/>
  <c r="D16" i="14"/>
  <c r="D17" i="14"/>
  <c r="D18" i="14"/>
  <c r="D19" i="14"/>
  <c r="D21" i="14"/>
  <c r="D22" i="14"/>
  <c r="C23" i="14"/>
  <c r="G11" i="15"/>
  <c r="G12" i="15"/>
  <c r="G13" i="15"/>
  <c r="G14" i="15"/>
  <c r="G15" i="15"/>
  <c r="G16" i="15"/>
  <c r="G17" i="15"/>
  <c r="G18" i="15"/>
  <c r="G19" i="15"/>
  <c r="G20" i="15"/>
  <c r="G21" i="15"/>
  <c r="G22" i="15"/>
  <c r="E23" i="15"/>
  <c r="D11" i="15"/>
  <c r="D12" i="15"/>
  <c r="D23" i="15" s="1"/>
  <c r="D13" i="15"/>
  <c r="D14" i="15"/>
  <c r="D15" i="15"/>
  <c r="D16" i="15"/>
  <c r="D17" i="15"/>
  <c r="D18" i="15"/>
  <c r="D19" i="15"/>
  <c r="D20" i="15"/>
  <c r="D21" i="15"/>
  <c r="D22" i="15"/>
  <c r="C23" i="15"/>
  <c r="AK50" i="13"/>
  <c r="AE50" i="13"/>
  <c r="Y50" i="13"/>
  <c r="AO42" i="13"/>
  <c r="AO50" i="13" s="1"/>
  <c r="AC50" i="13"/>
  <c r="AA38" i="13"/>
  <c r="AM39" i="13"/>
  <c r="AO39" i="13" s="1"/>
  <c r="AK39" i="13"/>
  <c r="AE39" i="13"/>
  <c r="Y39" i="13"/>
  <c r="AN38" i="13"/>
  <c r="AM38" i="13"/>
  <c r="AK38" i="13"/>
  <c r="AH38" i="13"/>
  <c r="AE38" i="13"/>
  <c r="Y38" i="13"/>
  <c r="AK37" i="13"/>
  <c r="AE37" i="13"/>
  <c r="Y37" i="13"/>
  <c r="AO15" i="13"/>
  <c r="AO23" i="13" s="1"/>
  <c r="AM12" i="13"/>
  <c r="AO12" i="13" s="1"/>
  <c r="AM11" i="13"/>
  <c r="AH11" i="13"/>
  <c r="AC23" i="13"/>
  <c r="E25" i="12"/>
  <c r="E28" i="12"/>
  <c r="E22" i="11"/>
  <c r="D22" i="11" s="1"/>
  <c r="E21" i="11"/>
  <c r="E20" i="11"/>
  <c r="E19" i="11"/>
  <c r="D19" i="11" s="1"/>
  <c r="E18" i="11"/>
  <c r="D18" i="11" s="1"/>
  <c r="E17" i="11"/>
  <c r="E16" i="11"/>
  <c r="G16" i="11" s="1"/>
  <c r="E15" i="11"/>
  <c r="D15" i="11" s="1"/>
  <c r="E14" i="11"/>
  <c r="E13" i="11"/>
  <c r="D13" i="11" s="1"/>
  <c r="E12" i="11"/>
  <c r="E11" i="11"/>
  <c r="D11" i="11" s="1"/>
  <c r="G11" i="12"/>
  <c r="G12" i="12"/>
  <c r="G13" i="12"/>
  <c r="G14" i="12"/>
  <c r="G15" i="12"/>
  <c r="G16" i="12"/>
  <c r="G17" i="12"/>
  <c r="G18" i="12"/>
  <c r="G19" i="12"/>
  <c r="G20" i="12"/>
  <c r="G21" i="12"/>
  <c r="G22" i="12"/>
  <c r="E23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C23" i="12"/>
  <c r="G12" i="11"/>
  <c r="G14" i="11"/>
  <c r="G17" i="11"/>
  <c r="F18" i="11"/>
  <c r="G18" i="11" s="1"/>
  <c r="F19" i="11"/>
  <c r="G19" i="11" s="1"/>
  <c r="F20" i="11"/>
  <c r="F21" i="11"/>
  <c r="G21" i="11"/>
  <c r="F22" i="11"/>
  <c r="G22" i="11" s="1"/>
  <c r="D12" i="11"/>
  <c r="D14" i="11"/>
  <c r="D17" i="11"/>
  <c r="D20" i="11"/>
  <c r="D21" i="11"/>
  <c r="C23" i="11"/>
  <c r="D8" i="8"/>
  <c r="B8" i="8"/>
  <c r="I8" i="8" s="1"/>
  <c r="D9" i="8"/>
  <c r="D10" i="8"/>
  <c r="B10" i="8"/>
  <c r="I10" i="8" s="1"/>
  <c r="D11" i="8"/>
  <c r="D12" i="8"/>
  <c r="B12" i="8"/>
  <c r="I12" i="8" s="1"/>
  <c r="D13" i="8"/>
  <c r="D14" i="8"/>
  <c r="B14" i="8"/>
  <c r="D15" i="8"/>
  <c r="D16" i="8"/>
  <c r="B16" i="8"/>
  <c r="I16" i="8" s="1"/>
  <c r="D17" i="8"/>
  <c r="D18" i="8"/>
  <c r="B18" i="8"/>
  <c r="I18" i="8" s="1"/>
  <c r="D19" i="8"/>
  <c r="F32" i="8"/>
  <c r="F34" i="8" s="1"/>
  <c r="I34" i="8" s="1"/>
  <c r="B9" i="8"/>
  <c r="I9" i="8" s="1"/>
  <c r="B11" i="8"/>
  <c r="I11" i="8" s="1"/>
  <c r="B13" i="8"/>
  <c r="I14" i="8"/>
  <c r="B15" i="8"/>
  <c r="I15" i="8" s="1"/>
  <c r="B17" i="8"/>
  <c r="I17" i="8" s="1"/>
  <c r="B19" i="8"/>
  <c r="I19" i="8" s="1"/>
  <c r="F30" i="8"/>
  <c r="D8" i="9"/>
  <c r="B8" i="9"/>
  <c r="I8" i="9" s="1"/>
  <c r="D9" i="9"/>
  <c r="D10" i="9"/>
  <c r="B10" i="9"/>
  <c r="I10" i="9" s="1"/>
  <c r="D11" i="9"/>
  <c r="D12" i="9"/>
  <c r="B12" i="9"/>
  <c r="D13" i="9"/>
  <c r="D14" i="9"/>
  <c r="B14" i="9"/>
  <c r="I14" i="9" s="1"/>
  <c r="D15" i="9"/>
  <c r="D16" i="9"/>
  <c r="B16" i="9"/>
  <c r="I16" i="9" s="1"/>
  <c r="D17" i="9"/>
  <c r="D18" i="9"/>
  <c r="B18" i="9"/>
  <c r="I18" i="9" s="1"/>
  <c r="D19" i="9"/>
  <c r="F32" i="9"/>
  <c r="F34" i="9" s="1"/>
  <c r="I34" i="9" s="1"/>
  <c r="B9" i="9"/>
  <c r="I9" i="9" s="1"/>
  <c r="B11" i="9"/>
  <c r="I11" i="9" s="1"/>
  <c r="B13" i="9"/>
  <c r="I13" i="9" s="1"/>
  <c r="B15" i="9"/>
  <c r="I15" i="9" s="1"/>
  <c r="B17" i="9"/>
  <c r="I17" i="9" s="1"/>
  <c r="B19" i="9"/>
  <c r="F30" i="9"/>
  <c r="B12" i="4"/>
  <c r="F12" i="4" s="1"/>
  <c r="E23" i="2"/>
  <c r="E23" i="1"/>
  <c r="J13" i="5"/>
  <c r="J14" i="5" s="1"/>
  <c r="J15" i="5" s="1"/>
  <c r="J10" i="5"/>
  <c r="J11" i="5"/>
  <c r="H11" i="5"/>
  <c r="D13" i="5"/>
  <c r="D14" i="5"/>
  <c r="D15" i="5" s="1"/>
  <c r="H9" i="5"/>
  <c r="K9" i="5" s="1"/>
  <c r="H10" i="5"/>
  <c r="K10" i="5" s="1"/>
  <c r="H12" i="5"/>
  <c r="K12" i="5" s="1"/>
  <c r="H13" i="5"/>
  <c r="K13" i="5" s="1"/>
  <c r="H14" i="5"/>
  <c r="H15" i="5"/>
  <c r="H16" i="5"/>
  <c r="H17" i="5"/>
  <c r="H18" i="5"/>
  <c r="H19" i="5"/>
  <c r="H20" i="5"/>
  <c r="G11" i="1"/>
  <c r="D8" i="3" s="1"/>
  <c r="F8" i="3" s="1"/>
  <c r="B12" i="3"/>
  <c r="D16" i="3"/>
  <c r="F16" i="3" s="1"/>
  <c r="G12" i="1"/>
  <c r="G13" i="1"/>
  <c r="D10" i="3" s="1"/>
  <c r="G14" i="1"/>
  <c r="D11" i="3"/>
  <c r="B11" i="3"/>
  <c r="G15" i="1"/>
  <c r="D12" i="3" s="1"/>
  <c r="F12" i="3" s="1"/>
  <c r="G16" i="1"/>
  <c r="D13" i="3" s="1"/>
  <c r="B13" i="3"/>
  <c r="I13" i="3" s="1"/>
  <c r="G17" i="1"/>
  <c r="D14" i="3"/>
  <c r="B14" i="3"/>
  <c r="I14" i="3" s="1"/>
  <c r="G18" i="1"/>
  <c r="D15" i="3" s="1"/>
  <c r="F15" i="3" s="1"/>
  <c r="G19" i="1"/>
  <c r="G20" i="1"/>
  <c r="D17" i="3"/>
  <c r="F17" i="3" s="1"/>
  <c r="G21" i="1"/>
  <c r="D18" i="3"/>
  <c r="F18" i="3"/>
  <c r="G22" i="1"/>
  <c r="D19" i="3" s="1"/>
  <c r="F19" i="3" s="1"/>
  <c r="B8" i="3"/>
  <c r="I8" i="3"/>
  <c r="B9" i="3"/>
  <c r="I9" i="3" s="1"/>
  <c r="B10" i="3"/>
  <c r="I10" i="3" s="1"/>
  <c r="I11" i="3"/>
  <c r="I12" i="3"/>
  <c r="B15" i="3"/>
  <c r="I15" i="3" s="1"/>
  <c r="B16" i="3"/>
  <c r="I16" i="3"/>
  <c r="B17" i="3"/>
  <c r="I17" i="3" s="1"/>
  <c r="B18" i="3"/>
  <c r="I18" i="3" s="1"/>
  <c r="B19" i="3"/>
  <c r="I19" i="3" s="1"/>
  <c r="B9" i="5"/>
  <c r="E9" i="5"/>
  <c r="D10" i="5"/>
  <c r="B10" i="5"/>
  <c r="D11" i="5"/>
  <c r="B11" i="5"/>
  <c r="B21" i="5" s="1"/>
  <c r="B12" i="5"/>
  <c r="E12" i="5" s="1"/>
  <c r="B13" i="5"/>
  <c r="B14" i="5"/>
  <c r="E14" i="5" s="1"/>
  <c r="B15" i="5"/>
  <c r="B16" i="5"/>
  <c r="B17" i="5"/>
  <c r="B18" i="5"/>
  <c r="B19" i="5"/>
  <c r="B20" i="5"/>
  <c r="B9" i="4"/>
  <c r="I9" i="4" s="1"/>
  <c r="B10" i="4"/>
  <c r="I10" i="4" s="1"/>
  <c r="B11" i="4"/>
  <c r="B13" i="4"/>
  <c r="B14" i="4"/>
  <c r="I14" i="4" s="1"/>
  <c r="F15" i="4"/>
  <c r="D17" i="4"/>
  <c r="F17" i="4" s="1"/>
  <c r="B8" i="4"/>
  <c r="I8" i="4"/>
  <c r="B15" i="4"/>
  <c r="B16" i="4"/>
  <c r="I16" i="4" s="1"/>
  <c r="B17" i="4"/>
  <c r="I17" i="4" s="1"/>
  <c r="B18" i="4"/>
  <c r="I18" i="4" s="1"/>
  <c r="B19" i="4"/>
  <c r="I13" i="4"/>
  <c r="I15" i="4"/>
  <c r="I19" i="4"/>
  <c r="C23" i="1"/>
  <c r="D22" i="1"/>
  <c r="D21" i="1"/>
  <c r="D20" i="1"/>
  <c r="D19" i="1"/>
  <c r="D18" i="1"/>
  <c r="D17" i="1"/>
  <c r="D16" i="1"/>
  <c r="D15" i="1"/>
  <c r="D14" i="1"/>
  <c r="D13" i="1"/>
  <c r="D12" i="1"/>
  <c r="D11" i="1"/>
  <c r="D23" i="1" s="1"/>
  <c r="D21" i="2"/>
  <c r="D20" i="2"/>
  <c r="D19" i="2"/>
  <c r="D18" i="2"/>
  <c r="D17" i="2"/>
  <c r="D16" i="2"/>
  <c r="D15" i="2"/>
  <c r="D14" i="2"/>
  <c r="D13" i="2"/>
  <c r="D12" i="2"/>
  <c r="D11" i="2"/>
  <c r="D22" i="2"/>
  <c r="C23" i="2"/>
  <c r="E13" i="5"/>
  <c r="E11" i="5"/>
  <c r="I11" i="4"/>
  <c r="I12" i="9"/>
  <c r="F10" i="9" l="1"/>
  <c r="F19" i="9"/>
  <c r="F17" i="8"/>
  <c r="F13" i="3"/>
  <c r="G11" i="11"/>
  <c r="F10" i="3"/>
  <c r="G20" i="11"/>
  <c r="U40" i="13"/>
  <c r="W46" i="13" s="1"/>
  <c r="W51" i="13" s="1"/>
  <c r="F8" i="4"/>
  <c r="G23" i="14"/>
  <c r="W15" i="13" s="1"/>
  <c r="W23" i="13" s="1"/>
  <c r="G15" i="11"/>
  <c r="G23" i="1"/>
  <c r="AI42" i="13" s="1"/>
  <c r="AI50" i="13" s="1"/>
  <c r="K11" i="5"/>
  <c r="D16" i="11"/>
  <c r="D23" i="11" s="1"/>
  <c r="F14" i="4"/>
  <c r="F11" i="4"/>
  <c r="F29" i="18"/>
  <c r="Q15" i="13"/>
  <c r="Q23" i="13" s="1"/>
  <c r="R25" i="13" s="1"/>
  <c r="J12" i="13" s="1"/>
  <c r="K12" i="13" s="1"/>
  <c r="AI38" i="13"/>
  <c r="AG13" i="13"/>
  <c r="AI19" i="13" s="1"/>
  <c r="AI24" i="13" s="1"/>
  <c r="W39" i="13"/>
  <c r="F14" i="8"/>
  <c r="F8" i="9"/>
  <c r="F18" i="8"/>
  <c r="F10" i="8"/>
  <c r="F19" i="8"/>
  <c r="F13" i="9"/>
  <c r="I19" i="9"/>
  <c r="I22" i="9" s="1"/>
  <c r="G42" i="9" s="1"/>
  <c r="B20" i="9"/>
  <c r="B22" i="9" s="1"/>
  <c r="D20" i="9"/>
  <c r="D22" i="9" s="1"/>
  <c r="F11" i="8"/>
  <c r="F14" i="9"/>
  <c r="F18" i="9"/>
  <c r="F12" i="9"/>
  <c r="F16" i="8"/>
  <c r="F13" i="8"/>
  <c r="F8" i="8"/>
  <c r="F11" i="9"/>
  <c r="F9" i="9"/>
  <c r="F16" i="9"/>
  <c r="D20" i="8"/>
  <c r="D22" i="8" s="1"/>
  <c r="I27" i="8" s="1"/>
  <c r="I37" i="8" s="1"/>
  <c r="G43" i="8" s="1"/>
  <c r="F12" i="8"/>
  <c r="F9" i="8"/>
  <c r="F15" i="9"/>
  <c r="AM40" i="13"/>
  <c r="AO46" i="13" s="1"/>
  <c r="AO51" i="13" s="1"/>
  <c r="AP52" i="13" s="1"/>
  <c r="AO38" i="13"/>
  <c r="AO40" i="13" s="1"/>
  <c r="AO44" i="13" s="1"/>
  <c r="AA40" i="13"/>
  <c r="AC46" i="13" s="1"/>
  <c r="AC51" i="13" s="1"/>
  <c r="AD52" i="13" s="1"/>
  <c r="V39" i="13" s="1"/>
  <c r="P38" i="13" s="1"/>
  <c r="Q38" i="13" s="1"/>
  <c r="U13" i="13"/>
  <c r="W19" i="13" s="1"/>
  <c r="W24" i="13" s="1"/>
  <c r="AG40" i="13"/>
  <c r="AI46" i="13" s="1"/>
  <c r="AI51" i="13" s="1"/>
  <c r="AJ52" i="13" s="1"/>
  <c r="I22" i="3"/>
  <c r="G42" i="3" s="1"/>
  <c r="E15" i="5"/>
  <c r="D16" i="5"/>
  <c r="K15" i="5"/>
  <c r="J16" i="5"/>
  <c r="J17" i="5" s="1"/>
  <c r="B20" i="3"/>
  <c r="I12" i="4"/>
  <c r="I22" i="4" s="1"/>
  <c r="G42" i="4" s="1"/>
  <c r="K14" i="5"/>
  <c r="G13" i="11"/>
  <c r="D23" i="12"/>
  <c r="E25" i="11"/>
  <c r="E28" i="11" s="1"/>
  <c r="AO11" i="13"/>
  <c r="AO13" i="13" s="1"/>
  <c r="AO17" i="13" s="1"/>
  <c r="AM13" i="13"/>
  <c r="AO19" i="13" s="1"/>
  <c r="AO24" i="13" s="1"/>
  <c r="AP25" i="13" s="1"/>
  <c r="AH12" i="13" s="1"/>
  <c r="AB11" i="13" s="1"/>
  <c r="AC11" i="13" s="1"/>
  <c r="K16" i="5"/>
  <c r="D20" i="4"/>
  <c r="D22" i="4" s="1"/>
  <c r="H21" i="5"/>
  <c r="B20" i="4"/>
  <c r="F14" i="3"/>
  <c r="F15" i="8"/>
  <c r="E23" i="11"/>
  <c r="G23" i="2"/>
  <c r="AI15" i="13" s="1"/>
  <c r="D23" i="2"/>
  <c r="E10" i="5"/>
  <c r="F11" i="3"/>
  <c r="D9" i="3"/>
  <c r="F17" i="9"/>
  <c r="I13" i="8"/>
  <c r="I22" i="8" s="1"/>
  <c r="G42" i="8" s="1"/>
  <c r="B20" i="8"/>
  <c r="G23" i="12"/>
  <c r="G23" i="15"/>
  <c r="W42" i="13" s="1"/>
  <c r="AA13" i="13"/>
  <c r="AC19" i="13" s="1"/>
  <c r="AC24" i="13" s="1"/>
  <c r="AD25" i="13" s="1"/>
  <c r="V12" i="13" s="1"/>
  <c r="P11" i="13" s="1"/>
  <c r="G23" i="11" l="1"/>
  <c r="X25" i="13"/>
  <c r="P12" i="13" s="1"/>
  <c r="W43" i="13"/>
  <c r="W50" i="13" s="1"/>
  <c r="X52" i="13" s="1"/>
  <c r="P39" i="13" s="1"/>
  <c r="F31" i="9"/>
  <c r="F22" i="9"/>
  <c r="G47" i="9" s="1"/>
  <c r="I47" i="9" s="1"/>
  <c r="F30" i="4" s="1"/>
  <c r="I27" i="9"/>
  <c r="I37" i="9" s="1"/>
  <c r="G43" i="9" s="1"/>
  <c r="G44" i="9" s="1"/>
  <c r="I44" i="9" s="1"/>
  <c r="I49" i="9" s="1"/>
  <c r="AI12" i="13"/>
  <c r="AI13" i="13" s="1"/>
  <c r="AI17" i="13" s="1"/>
  <c r="AJ21" i="13" s="1"/>
  <c r="W12" i="13"/>
  <c r="Q11" i="13"/>
  <c r="AP48" i="13"/>
  <c r="AI23" i="13"/>
  <c r="AJ25" i="13" s="1"/>
  <c r="AB12" i="13" s="1"/>
  <c r="V11" i="13" s="1"/>
  <c r="D20" i="3"/>
  <c r="D22" i="3" s="1"/>
  <c r="F9" i="3"/>
  <c r="F31" i="4"/>
  <c r="B22" i="4"/>
  <c r="AH39" i="13"/>
  <c r="B22" i="8"/>
  <c r="F22" i="8" s="1"/>
  <c r="G47" i="8" s="1"/>
  <c r="I47" i="8" s="1"/>
  <c r="F31" i="8"/>
  <c r="G44" i="8"/>
  <c r="I44" i="8" s="1"/>
  <c r="B22" i="3"/>
  <c r="F31" i="3"/>
  <c r="AB39" i="13"/>
  <c r="J18" i="5"/>
  <c r="K17" i="5"/>
  <c r="F22" i="4"/>
  <c r="G47" i="4" s="1"/>
  <c r="I47" i="4" s="1"/>
  <c r="I27" i="4"/>
  <c r="AP21" i="13"/>
  <c r="AP27" i="13" s="1"/>
  <c r="D17" i="5"/>
  <c r="E16" i="5"/>
  <c r="J38" i="13" l="1"/>
  <c r="K38" i="13" s="1"/>
  <c r="K40" i="13" s="1"/>
  <c r="K44" i="13" s="1"/>
  <c r="L48" i="13" s="1"/>
  <c r="L54" i="13" s="1"/>
  <c r="Q39" i="13"/>
  <c r="Q40" i="13" s="1"/>
  <c r="Q44" i="13" s="1"/>
  <c r="R48" i="13" s="1"/>
  <c r="R54" i="13" s="1"/>
  <c r="Q12" i="13"/>
  <c r="Q13" i="13" s="1"/>
  <c r="J11" i="13"/>
  <c r="K11" i="13" s="1"/>
  <c r="K13" i="13" s="1"/>
  <c r="K17" i="13" s="1"/>
  <c r="L21" i="13" s="1"/>
  <c r="L27" i="13" s="1"/>
  <c r="K18" i="5"/>
  <c r="J19" i="5"/>
  <c r="AC12" i="13"/>
  <c r="AC13" i="13" s="1"/>
  <c r="AC17" i="13" s="1"/>
  <c r="AD21" i="13" s="1"/>
  <c r="AD27" i="13" s="1"/>
  <c r="W11" i="13"/>
  <c r="W13" i="13" s="1"/>
  <c r="AC39" i="13"/>
  <c r="V38" i="13"/>
  <c r="W38" i="13" s="1"/>
  <c r="W40" i="13" s="1"/>
  <c r="AP53" i="13"/>
  <c r="AP54" i="13" s="1"/>
  <c r="I49" i="8"/>
  <c r="AI39" i="13"/>
  <c r="AI40" i="13" s="1"/>
  <c r="AI44" i="13" s="1"/>
  <c r="AJ48" i="13" s="1"/>
  <c r="AJ54" i="13" s="1"/>
  <c r="AB38" i="13"/>
  <c r="AC38" i="13" s="1"/>
  <c r="F22" i="3"/>
  <c r="G47" i="3" s="1"/>
  <c r="I47" i="3" s="1"/>
  <c r="I27" i="3"/>
  <c r="D18" i="5"/>
  <c r="E17" i="5"/>
  <c r="AJ27" i="13"/>
  <c r="W44" i="13" l="1"/>
  <c r="X48" i="13" s="1"/>
  <c r="X54" i="13" s="1"/>
  <c r="W17" i="13"/>
  <c r="X21" i="13" s="1"/>
  <c r="X27" i="13" s="1"/>
  <c r="Q17" i="13"/>
  <c r="R21" i="13" s="1"/>
  <c r="R27" i="13" s="1"/>
  <c r="K19" i="5"/>
  <c r="J20" i="5"/>
  <c r="K20" i="5" s="1"/>
  <c r="AC40" i="13"/>
  <c r="AC44" i="13" s="1"/>
  <c r="AD48" i="13" s="1"/>
  <c r="AD54" i="13" s="1"/>
  <c r="D19" i="5"/>
  <c r="E18" i="5"/>
  <c r="K21" i="5" l="1"/>
  <c r="F32" i="3" s="1"/>
  <c r="F34" i="3" s="1"/>
  <c r="I34" i="3" s="1"/>
  <c r="I37" i="3" s="1"/>
  <c r="G43" i="3" s="1"/>
  <c r="G44" i="3" s="1"/>
  <c r="I44" i="3" s="1"/>
  <c r="I49" i="3" s="1"/>
  <c r="E19" i="5"/>
  <c r="D20" i="5"/>
  <c r="E20" i="5" s="1"/>
  <c r="E21" i="5" s="1"/>
  <c r="F32" i="4" s="1"/>
  <c r="F34" i="4" s="1"/>
  <c r="I34" i="4" s="1"/>
  <c r="I37" i="4" s="1"/>
  <c r="G43" i="4" s="1"/>
  <c r="G44" i="4" s="1"/>
  <c r="I44" i="4" s="1"/>
  <c r="I4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Z3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this is the correct number</t>
        </r>
      </text>
    </comment>
  </commentList>
</comments>
</file>

<file path=xl/sharedStrings.xml><?xml version="1.0" encoding="utf-8"?>
<sst xmlns="http://schemas.openxmlformats.org/spreadsheetml/2006/main" count="877" uniqueCount="224">
  <si>
    <t xml:space="preserve"> </t>
  </si>
  <si>
    <t>BAINBRIDGE DISPOSAL INC.</t>
  </si>
  <si>
    <t>MO/YR</t>
  </si>
  <si>
    <t>Bainbridge Island Multi-Family</t>
  </si>
  <si>
    <t>CUSTOMERS</t>
  </si>
  <si>
    <t>POUNDS</t>
  </si>
  <si>
    <t>TONS</t>
  </si>
  <si>
    <t>DOLLARS</t>
  </si>
  <si>
    <t>PER TON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</si>
  <si>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</si>
  <si>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</si>
  <si>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</si>
  <si>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</si>
  <si>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</si>
  <si>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</si>
  <si>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</si>
  <si>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</si>
  <si>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</si>
  <si>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</si>
  <si>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Customers</t>
  </si>
  <si>
    <t>Aug</t>
  </si>
  <si>
    <t>Month</t>
  </si>
  <si>
    <t>(c)</t>
  </si>
  <si>
    <t>(d)</t>
  </si>
  <si>
    <t>Commodity Gain/Loss Calculation</t>
  </si>
  <si>
    <t>Actual Commodity Revenues</t>
  </si>
  <si>
    <t xml:space="preserve">   Base Credits Billed</t>
  </si>
  <si>
    <t xml:space="preserve">      Total Base Credits Billed</t>
  </si>
  <si>
    <t>Excess Commodity Credits</t>
  </si>
  <si>
    <t>(e)</t>
  </si>
  <si>
    <t>(a3)</t>
  </si>
  <si>
    <t>(b)</t>
  </si>
  <si>
    <t>True-up Computation</t>
  </si>
  <si>
    <t>Monthly True-up Charge</t>
  </si>
  <si>
    <t>Sep</t>
  </si>
  <si>
    <t>Commodity Revenue per Customer</t>
  </si>
  <si>
    <t>Year</t>
  </si>
  <si>
    <t>Commodity Revenue</t>
  </si>
  <si>
    <t>Monthly Base Credit per customer (tariff rate)</t>
  </si>
  <si>
    <t>Total Customers (most recent 12-months)</t>
  </si>
  <si>
    <t>Recent 12 Month Customers</t>
  </si>
  <si>
    <t>Totals</t>
  </si>
  <si>
    <t>Multi Family</t>
  </si>
  <si>
    <t>Single Family</t>
  </si>
  <si>
    <t>Bainbridge Disposal, Inc.</t>
  </si>
  <si>
    <t>12-month running average "BASE CREDIT" Adjusted</t>
  </si>
  <si>
    <t>Deferred Accounting Methodology</t>
  </si>
  <si>
    <t>For the 12-month Period Ended December 31, 2012</t>
  </si>
  <si>
    <t>2013 / 2014 Projected Credit (12-months)</t>
  </si>
  <si>
    <t>April 1, 2013 Recycle Adjustment Calculation</t>
  </si>
  <si>
    <t>Customers from Sub-Total for '12</t>
  </si>
  <si>
    <t>Sub-Total for '12</t>
  </si>
  <si>
    <t>Tariff Rate</t>
  </si>
  <si>
    <t>Billed Revenue Credit</t>
  </si>
  <si>
    <t>Ref.</t>
  </si>
  <si>
    <t>Single Family Estimate for Rates Effective April 1, 2013</t>
  </si>
  <si>
    <t>Actual Tarriff Billed by Month</t>
  </si>
  <si>
    <t>Multi-Family</t>
  </si>
  <si>
    <t>Jan 13</t>
  </si>
  <si>
    <t>Feb 13</t>
  </si>
  <si>
    <t>Mar 13</t>
  </si>
  <si>
    <t>Apr 13</t>
  </si>
  <si>
    <t>May 13</t>
  </si>
  <si>
    <t>Jun 13</t>
  </si>
  <si>
    <t>Jul 13</t>
  </si>
  <si>
    <t>Aug 13</t>
  </si>
  <si>
    <t>Sep 13</t>
  </si>
  <si>
    <t>Oct 13</t>
  </si>
  <si>
    <t>Nov 13</t>
  </si>
  <si>
    <t>Dec 13</t>
  </si>
  <si>
    <t>For the twelve months of 2013</t>
  </si>
  <si>
    <t>Bainbridge Island Residential Curbside</t>
  </si>
  <si>
    <t>Sub-Total for '13</t>
  </si>
  <si>
    <t>Customers from Sub-Total for '13</t>
  </si>
  <si>
    <t>For the 12-month Period Ended December 31, 2013</t>
  </si>
  <si>
    <t>Single Family Estimate for Rates Effective April 1, 2014</t>
  </si>
  <si>
    <t>Multi Family Estimate for Rates Effective April 1, 2014</t>
  </si>
  <si>
    <t>2014 Adjusted (Credit) / Debit ( )</t>
  </si>
  <si>
    <t xml:space="preserve">2014 Adjusted (Credit) / Debit </t>
  </si>
  <si>
    <t>2013 Adjusted (Credit) / Debit ( )</t>
  </si>
  <si>
    <t xml:space="preserve">2013 Adjusted (Credit) / Debit </t>
  </si>
  <si>
    <t>Based on previous UTC Staff analyses</t>
  </si>
  <si>
    <t>Do not use cumulative method</t>
  </si>
  <si>
    <t>2014-2015</t>
  </si>
  <si>
    <t>2013-2014</t>
  </si>
  <si>
    <t>Residential</t>
  </si>
  <si>
    <t>Commodity</t>
  </si>
  <si>
    <t>Total</t>
  </si>
  <si>
    <t>Credit</t>
  </si>
  <si>
    <t>Credits</t>
  </si>
  <si>
    <t>Actual Commodity Revenue</t>
  </si>
  <si>
    <t>Owe Customer (company)</t>
  </si>
  <si>
    <t>Total Customers</t>
  </si>
  <si>
    <t>Commodity Adjustment</t>
  </si>
  <si>
    <t>Projected Value</t>
  </si>
  <si>
    <t>Residential Commodity Adjustment</t>
  </si>
  <si>
    <t>Multi-family</t>
  </si>
  <si>
    <t>Projected Total Customers</t>
  </si>
  <si>
    <t>Multi-family Commodity Adjustment</t>
  </si>
  <si>
    <t>Bainbridge Disposal, Inc. commodity adjustment</t>
  </si>
  <si>
    <t>per docket TG-140239</t>
  </si>
  <si>
    <t>Projected Revenue Jan-Dec 2013</t>
  </si>
  <si>
    <t>Jan-Mar projected value without adjustment factor</t>
  </si>
  <si>
    <t>Apr-Dec projected value without adjustment factor</t>
  </si>
  <si>
    <t>per docket TG-132044</t>
  </si>
  <si>
    <t>Projected Revenue Jan-Dec 2012</t>
  </si>
  <si>
    <t>Projected Revenue Jan-Dec 2014</t>
  </si>
  <si>
    <t>Adjustment to actual</t>
  </si>
  <si>
    <t>2015-2016</t>
  </si>
  <si>
    <t>For the twelve months of 2014</t>
  </si>
  <si>
    <t>Jan 14</t>
  </si>
  <si>
    <t>Feb 14</t>
  </si>
  <si>
    <t>Mar 14</t>
  </si>
  <si>
    <t>Apr 14</t>
  </si>
  <si>
    <t>May 14</t>
  </si>
  <si>
    <t>Jun 14</t>
  </si>
  <si>
    <t>Jul 14</t>
  </si>
  <si>
    <t>Aug 14</t>
  </si>
  <si>
    <t>Sep 14</t>
  </si>
  <si>
    <t>Oct 14</t>
  </si>
  <si>
    <t>Nov 14</t>
  </si>
  <si>
    <t>Dec 14</t>
  </si>
  <si>
    <t>Tonnage 2-14 to 12-14</t>
  </si>
  <si>
    <t>Proposed commodity price</t>
  </si>
  <si>
    <t>Processing costs</t>
  </si>
  <si>
    <t>The company was informed by JMK Fibers that beginning in February 2015</t>
  </si>
  <si>
    <t>processing cost for single stream recycle product would cost $9.50 per ton.</t>
  </si>
  <si>
    <t>See February 10, 2015 email from Diane Lord.</t>
  </si>
  <si>
    <t>per docket TG-150246</t>
  </si>
  <si>
    <t>For the twelve months of 2015</t>
  </si>
  <si>
    <t>Jan 15</t>
  </si>
  <si>
    <t>Feb 15</t>
  </si>
  <si>
    <t>Mar 15</t>
  </si>
  <si>
    <t>Apr 15</t>
  </si>
  <si>
    <t>May 15</t>
  </si>
  <si>
    <t>Jun 15</t>
  </si>
  <si>
    <t>Jul 15</t>
  </si>
  <si>
    <t>Aug 15</t>
  </si>
  <si>
    <t>Sep 15</t>
  </si>
  <si>
    <t>Oct 15</t>
  </si>
  <si>
    <t>Nov 15</t>
  </si>
  <si>
    <t>Dec 15</t>
  </si>
  <si>
    <t>Projected Revenue Jan-Dec 2015</t>
  </si>
  <si>
    <t>2016-2017</t>
  </si>
  <si>
    <t>Dec 16</t>
  </si>
  <si>
    <t>Nov 16</t>
  </si>
  <si>
    <t>Oct 16</t>
  </si>
  <si>
    <t>Sep 16</t>
  </si>
  <si>
    <t>Aug 16</t>
  </si>
  <si>
    <t>Jul 16</t>
  </si>
  <si>
    <t>Jun 16</t>
  </si>
  <si>
    <t>May 16</t>
  </si>
  <si>
    <t>Apr 16</t>
  </si>
  <si>
    <t>Mar 16</t>
  </si>
  <si>
    <t>Feb 16</t>
  </si>
  <si>
    <t>Jan 16</t>
  </si>
  <si>
    <t>For the twelve months of 2016</t>
  </si>
  <si>
    <t>2017-2018</t>
  </si>
  <si>
    <t>Projected Revenue Jan-Dec 2016</t>
  </si>
  <si>
    <t>Single family</t>
  </si>
  <si>
    <t>Multi family</t>
  </si>
  <si>
    <t>check</t>
  </si>
  <si>
    <t>Staff Adjustment</t>
  </si>
  <si>
    <t>For the twelve months of 2017</t>
  </si>
  <si>
    <t>Jan 17</t>
  </si>
  <si>
    <t>Feb 17</t>
  </si>
  <si>
    <t>Mar 17</t>
  </si>
  <si>
    <t>Apr 17</t>
  </si>
  <si>
    <t>May 17</t>
  </si>
  <si>
    <t>Jun 17</t>
  </si>
  <si>
    <t>Jul 17</t>
  </si>
  <si>
    <t>Aug 17</t>
  </si>
  <si>
    <t>Sep 17</t>
  </si>
  <si>
    <t>Oct 17</t>
  </si>
  <si>
    <t>Nov 17</t>
  </si>
  <si>
    <t>Dec 17</t>
  </si>
  <si>
    <t>Amount in Rate case:</t>
  </si>
  <si>
    <t>Projected Revenue April - September 2018</t>
  </si>
  <si>
    <t>2017 totals</t>
  </si>
  <si>
    <t xml:space="preserve"> Oct 2018-Mar 2019</t>
  </si>
  <si>
    <t>For the twelve months ending  July 2018</t>
  </si>
  <si>
    <t>Jan 18</t>
  </si>
  <si>
    <t>Feb 18</t>
  </si>
  <si>
    <t>Mar 18</t>
  </si>
  <si>
    <t>Apr 18</t>
  </si>
  <si>
    <t>May 18</t>
  </si>
  <si>
    <t>Jun 18</t>
  </si>
  <si>
    <t>Jul 18</t>
  </si>
  <si>
    <t>Aug 18</t>
  </si>
  <si>
    <t>Sep 18</t>
  </si>
  <si>
    <t>Oct 18</t>
  </si>
  <si>
    <t>Nov 18</t>
  </si>
  <si>
    <t>Dec 18</t>
  </si>
  <si>
    <t>For the twelve months of 2018</t>
  </si>
  <si>
    <t>Apr 2018- Sep 2018</t>
  </si>
  <si>
    <t>Projected Revenue October 2018 - March 2019</t>
  </si>
  <si>
    <t>check to invoices</t>
  </si>
  <si>
    <t xml:space="preserve">April 2018-September 2018 used </t>
  </si>
  <si>
    <t>09/17-2/18</t>
  </si>
  <si>
    <t>Jan - Mar 2018 used</t>
  </si>
  <si>
    <t>Tonnage</t>
  </si>
  <si>
    <t>Tons/Customer</t>
  </si>
  <si>
    <t>$/Ton</t>
  </si>
  <si>
    <t>$/Customer</t>
  </si>
  <si>
    <t>Baseline $/Cus</t>
  </si>
  <si>
    <t>Projected Rev</t>
  </si>
  <si>
    <t>Actual Rev</t>
  </si>
  <si>
    <t>Diff</t>
  </si>
  <si>
    <t>New Baseline</t>
  </si>
  <si>
    <t>Prior Yr Adj</t>
  </si>
  <si>
    <t>New Credit</t>
  </si>
  <si>
    <t>Current Credit</t>
  </si>
  <si>
    <t>Annual Revenue Change</t>
  </si>
  <si>
    <t>no recovery cal'd Jan - Mar</t>
  </si>
  <si>
    <t>these are not recovered yet only 4 months were</t>
  </si>
  <si>
    <t>Projected Revenue Aug 17-Jul 18</t>
  </si>
  <si>
    <t>Aug 17- Mar 18 projected value without adjustment factor</t>
  </si>
  <si>
    <t>Apr 18- July 18 projected value without adjustment factor</t>
  </si>
  <si>
    <t>6 months</t>
  </si>
  <si>
    <t>proof</t>
  </si>
  <si>
    <t>differs from analysis due to rounding</t>
  </si>
  <si>
    <t>Annual</t>
  </si>
  <si>
    <t>Multi-Fam</t>
  </si>
  <si>
    <t>Bill for six months recovery over 5 months Nov -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</si>
</sst>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_(* #,##0.00_);_(* \(#,##0.00\);_(* &quot;-&quot;_);_(@_)"/>
    <numFmt numFmtId="167" formatCode="mmmm"/>
    <numFmt numFmtId="168" formatCode="_(* #,##0.000_);_(* \(#,##0.000\);_(* &quot;-&quot;_);_(@_)"/>
    <numFmt numFmtId="169" formatCode="0.000"/>
    <numFmt numFmtId="170" formatCode="_(&quot;$&quot;* #,##0_);_(&quot;$&quot;* \(#,##0\);_(&quot;$&quot;* &quot;-&quot;??_);_(@_)"/>
    <numFmt numFmtId="171" formatCode="mm/dd/yy;@"/>
    <numFmt numFmtId="172" formatCode="[$-409]mmm\-yy;@"/>
    <numFmt numFmtId="173" formatCode="_(* #,##0.000_);_(* \(#,##0.000\);_(* &quot;-&quot;??_);_(@_)"/>
  </numFmts>
  <fonts count="4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Calibri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12"/>
      <name val="Comic Sans MS"/>
      <family val="4"/>
    </font>
    <font>
      <b/>
      <sz val="11"/>
      <color indexed="10"/>
      <name val="Comic Sans MS"/>
      <family val="4"/>
    </font>
    <font>
      <b/>
      <sz val="16"/>
      <name val="Arial"/>
      <family val="2"/>
    </font>
    <font>
      <i/>
      <u/>
      <sz val="12"/>
      <name val="Comic Sans MS"/>
      <family val="4"/>
    </font>
    <font>
      <b/>
      <u/>
      <sz val="10"/>
      <name val="Arial"/>
      <family val="2"/>
    </font>
    <font>
      <b/>
      <sz val="10"/>
      <name val="Comic Sans MS"/>
      <family val="4"/>
    </font>
    <font>
      <b/>
      <sz val="10"/>
      <color indexed="12"/>
      <name val="Arial"/>
      <family val="2"/>
    </font>
    <font>
      <u val="singleAccounting"/>
      <sz val="10"/>
      <name val="Arial"/>
      <family val="2"/>
    </font>
    <font>
      <b/>
      <sz val="11"/>
      <name val="Comic Sans MS"/>
      <family val="4"/>
    </font>
    <font>
      <b/>
      <u val="doubleAccounting"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ourier"/>
      <family val="3"/>
    </font>
    <font>
      <sz val="12"/>
      <name val="Helv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2">
    <xf numFmtId="0" fontId="0" fillId="0" borderId="0"/>
    <xf numFmtId="41" fontId="2" fillId="0" borderId="0"/>
    <xf numFmtId="3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>
      <protection locked="0"/>
    </xf>
    <xf numFmtId="0" fontId="32" fillId="0" borderId="0"/>
    <xf numFmtId="0" fontId="32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34" fillId="0" borderId="0">
      <alignment vertical="top"/>
    </xf>
    <xf numFmtId="0" fontId="34" fillId="0" borderId="0" applyNumberFormat="0" applyBorder="0" applyAlignment="0"/>
    <xf numFmtId="0" fontId="37" fillId="0" borderId="0"/>
    <xf numFmtId="0" fontId="37" fillId="0" borderId="0"/>
    <xf numFmtId="43" fontId="37" fillId="0" borderId="0" applyFont="0" applyFill="0" applyBorder="0" applyAlignment="0" applyProtection="0"/>
  </cellStyleXfs>
  <cellXfs count="27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164" fontId="2" fillId="0" borderId="0" xfId="3" applyNumberFormat="1" applyFont="1" applyAlignment="1">
      <alignment horizontal="center"/>
    </xf>
    <xf numFmtId="164" fontId="7" fillId="0" borderId="0" xfId="3" applyNumberFormat="1" applyFont="1" applyFill="1" applyBorder="1" applyAlignment="1"/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164" fontId="7" fillId="0" borderId="0" xfId="0" applyNumberFormat="1" applyFont="1" applyBorder="1" applyAlignment="1"/>
    <xf numFmtId="0" fontId="7" fillId="0" borderId="0" xfId="0" applyFont="1" applyFill="1" applyBorder="1" applyAlignment="1">
      <alignment horizontal="center"/>
    </xf>
    <xf numFmtId="10" fontId="6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/>
    </xf>
    <xf numFmtId="0" fontId="10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/>
    <xf numFmtId="14" fontId="6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left"/>
    </xf>
    <xf numFmtId="0" fontId="13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center"/>
    </xf>
    <xf numFmtId="166" fontId="6" fillId="0" borderId="0" xfId="0" applyNumberFormat="1" applyFont="1" applyFill="1" applyBorder="1" applyAlignment="1" applyProtection="1"/>
    <xf numFmtId="166" fontId="12" fillId="0" borderId="1" xfId="0" applyNumberFormat="1" applyFont="1" applyFill="1" applyBorder="1" applyAlignment="1" applyProtection="1">
      <alignment horizontal="center"/>
    </xf>
    <xf numFmtId="166" fontId="12" fillId="0" borderId="1" xfId="0" applyNumberFormat="1" applyFont="1" applyFill="1" applyBorder="1" applyAlignment="1" applyProtection="1">
      <alignment horizontal="center" wrapText="1"/>
    </xf>
    <xf numFmtId="166" fontId="12" fillId="0" borderId="1" xfId="0" applyNumberFormat="1" applyFont="1" applyFill="1" applyBorder="1" applyAlignment="1" applyProtection="1">
      <alignment horizontal="left" wrapText="1"/>
    </xf>
    <xf numFmtId="166" fontId="12" fillId="0" borderId="0" xfId="0" applyNumberFormat="1" applyFont="1" applyFill="1" applyBorder="1" applyAlignment="1" applyProtection="1">
      <alignment horizontal="center"/>
    </xf>
    <xf numFmtId="167" fontId="6" fillId="0" borderId="0" xfId="0" applyNumberFormat="1" applyFont="1" applyFill="1" applyBorder="1" applyAlignment="1" applyProtection="1">
      <alignment horizontal="right"/>
    </xf>
    <xf numFmtId="41" fontId="14" fillId="0" borderId="0" xfId="0" applyNumberFormat="1" applyFont="1" applyFill="1" applyBorder="1" applyAlignment="1" applyProtection="1"/>
    <xf numFmtId="41" fontId="6" fillId="0" borderId="0" xfId="0" applyNumberFormat="1" applyFont="1" applyFill="1" applyBorder="1" applyAlignment="1" applyProtection="1"/>
    <xf numFmtId="41" fontId="15" fillId="0" borderId="0" xfId="0" applyNumberFormat="1" applyFont="1" applyFill="1" applyBorder="1" applyAlignment="1" applyProtection="1"/>
    <xf numFmtId="168" fontId="6" fillId="0" borderId="0" xfId="0" applyNumberFormat="1" applyFont="1" applyFill="1" applyBorder="1" applyAlignment="1" applyProtection="1"/>
    <xf numFmtId="41" fontId="6" fillId="0" borderId="0" xfId="0" applyNumberFormat="1" applyFont="1" applyFill="1" applyBorder="1" applyAlignment="1" applyProtection="1">
      <alignment horizontal="left"/>
    </xf>
    <xf numFmtId="1" fontId="6" fillId="0" borderId="0" xfId="0" applyNumberFormat="1" applyFont="1" applyFill="1" applyBorder="1" applyAlignment="1" applyProtection="1">
      <alignment horizontal="center"/>
    </xf>
    <xf numFmtId="1" fontId="6" fillId="0" borderId="0" xfId="0" applyNumberFormat="1" applyFont="1" applyFill="1" applyBorder="1" applyAlignment="1" applyProtection="1"/>
    <xf numFmtId="41" fontId="6" fillId="0" borderId="2" xfId="0" applyNumberFormat="1" applyFont="1" applyFill="1" applyBorder="1" applyAlignment="1" applyProtection="1"/>
    <xf numFmtId="41" fontId="16" fillId="0" borderId="0" xfId="0" applyNumberFormat="1" applyFont="1" applyFill="1" applyBorder="1" applyAlignment="1" applyProtection="1">
      <alignment horizontal="left"/>
    </xf>
    <xf numFmtId="41" fontId="10" fillId="0" borderId="0" xfId="0" applyNumberFormat="1" applyFont="1" applyFill="1" applyBorder="1" applyAlignment="1" applyProtection="1"/>
    <xf numFmtId="41" fontId="6" fillId="0" borderId="3" xfId="0" applyNumberFormat="1" applyFont="1" applyFill="1" applyBorder="1" applyAlignment="1" applyProtection="1"/>
    <xf numFmtId="168" fontId="6" fillId="0" borderId="3" xfId="0" applyNumberFormat="1" applyFont="1" applyFill="1" applyBorder="1" applyAlignment="1" applyProtection="1"/>
    <xf numFmtId="166" fontId="6" fillId="0" borderId="0" xfId="0" applyNumberFormat="1" applyFont="1" applyFill="1" applyBorder="1" applyAlignment="1" applyProtection="1">
      <alignment horizontal="center"/>
    </xf>
    <xf numFmtId="41" fontId="6" fillId="0" borderId="0" xfId="0" applyNumberFormat="1" applyFont="1" applyFill="1" applyBorder="1" applyAlignment="1" applyProtection="1">
      <alignment horizontal="center"/>
    </xf>
    <xf numFmtId="41" fontId="12" fillId="0" borderId="0" xfId="0" applyNumberFormat="1" applyFont="1" applyFill="1" applyBorder="1" applyAlignment="1" applyProtection="1">
      <alignment horizontal="left"/>
    </xf>
    <xf numFmtId="0" fontId="12" fillId="0" borderId="0" xfId="0" applyNumberFormat="1" applyFont="1" applyFill="1" applyBorder="1" applyAlignment="1" applyProtection="1"/>
    <xf numFmtId="41" fontId="13" fillId="0" borderId="0" xfId="0" applyNumberFormat="1" applyFont="1" applyFill="1" applyBorder="1" applyAlignment="1" applyProtection="1"/>
    <xf numFmtId="41" fontId="6" fillId="0" borderId="0" xfId="0" applyNumberFormat="1" applyFont="1" applyFill="1" applyBorder="1" applyAlignment="1" applyProtection="1">
      <alignment horizontal="right"/>
    </xf>
    <xf numFmtId="1" fontId="13" fillId="0" borderId="0" xfId="0" applyNumberFormat="1" applyFont="1" applyFill="1" applyBorder="1" applyAlignment="1" applyProtection="1"/>
    <xf numFmtId="41" fontId="6" fillId="0" borderId="4" xfId="0" applyNumberFormat="1" applyFont="1" applyFill="1" applyBorder="1" applyAlignment="1" applyProtection="1"/>
    <xf numFmtId="41" fontId="6" fillId="0" borderId="5" xfId="0" applyNumberFormat="1" applyFont="1" applyFill="1" applyBorder="1" applyAlignment="1" applyProtection="1"/>
    <xf numFmtId="168" fontId="6" fillId="0" borderId="0" xfId="0" applyNumberFormat="1" applyFont="1" applyFill="1" applyBorder="1" applyAlignment="1" applyProtection="1">
      <alignment horizontal="left"/>
    </xf>
    <xf numFmtId="168" fontId="11" fillId="0" borderId="3" xfId="0" applyNumberFormat="1" applyFont="1" applyFill="1" applyBorder="1" applyAlignment="1" applyProtection="1"/>
    <xf numFmtId="168" fontId="12" fillId="0" borderId="0" xfId="0" applyNumberFormat="1" applyFont="1" applyFill="1" applyBorder="1" applyAlignment="1" applyProtection="1">
      <alignment horizontal="left"/>
    </xf>
    <xf numFmtId="166" fontId="6" fillId="0" borderId="0" xfId="0" applyNumberFormat="1" applyFont="1" applyFill="1" applyBorder="1" applyAlignment="1" applyProtection="1">
      <alignment horizontal="left"/>
    </xf>
    <xf numFmtId="168" fontId="6" fillId="2" borderId="5" xfId="0" applyNumberFormat="1" applyFont="1" applyFill="1" applyBorder="1" applyAlignment="1" applyProtection="1"/>
    <xf numFmtId="41" fontId="6" fillId="2" borderId="0" xfId="0" applyNumberFormat="1" applyFont="1" applyFill="1" applyBorder="1" applyAlignment="1" applyProtection="1"/>
    <xf numFmtId="168" fontId="6" fillId="2" borderId="0" xfId="0" applyNumberFormat="1" applyFont="1" applyFill="1" applyBorder="1" applyAlignment="1" applyProtection="1"/>
    <xf numFmtId="168" fontId="14" fillId="2" borderId="0" xfId="0" applyNumberFormat="1" applyFont="1" applyFill="1" applyBorder="1" applyAlignment="1" applyProtection="1"/>
    <xf numFmtId="4" fontId="0" fillId="0" borderId="0" xfId="0" applyNumberFormat="1"/>
    <xf numFmtId="43" fontId="0" fillId="0" borderId="0" xfId="0" applyNumberFormat="1"/>
    <xf numFmtId="0" fontId="17" fillId="0" borderId="0" xfId="0" applyFont="1" applyAlignment="1">
      <alignment horizontal="center"/>
    </xf>
    <xf numFmtId="43" fontId="17" fillId="0" borderId="0" xfId="3" applyFont="1" applyAlignment="1">
      <alignment horizontal="center"/>
    </xf>
    <xf numFmtId="0" fontId="18" fillId="0" borderId="5" xfId="0" applyFont="1" applyBorder="1" applyAlignment="1">
      <alignment horizontal="center"/>
    </xf>
    <xf numFmtId="43" fontId="17" fillId="0" borderId="5" xfId="3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/>
    <xf numFmtId="3" fontId="18" fillId="0" borderId="0" xfId="0" applyNumberFormat="1" applyFont="1" applyAlignment="1">
      <alignment horizontal="right"/>
    </xf>
    <xf numFmtId="3" fontId="17" fillId="0" borderId="0" xfId="3" applyNumberFormat="1" applyFont="1" applyAlignment="1">
      <alignment horizontal="right"/>
    </xf>
    <xf numFmtId="2" fontId="18" fillId="0" borderId="0" xfId="0" applyNumberFormat="1" applyFont="1" applyAlignment="1">
      <alignment horizontal="right"/>
    </xf>
    <xf numFmtId="165" fontId="18" fillId="0" borderId="0" xfId="11" applyNumberFormat="1" applyFont="1" applyAlignment="1">
      <alignment horizontal="right"/>
    </xf>
    <xf numFmtId="4" fontId="18" fillId="0" borderId="0" xfId="11" applyNumberFormat="1" applyFont="1" applyAlignment="1">
      <alignment horizontal="right"/>
    </xf>
    <xf numFmtId="2" fontId="17" fillId="0" borderId="0" xfId="3" applyNumberFormat="1" applyFont="1" applyAlignment="1">
      <alignment horizontal="right"/>
    </xf>
    <xf numFmtId="165" fontId="17" fillId="0" borderId="0" xfId="11" applyNumberFormat="1" applyFont="1" applyAlignment="1">
      <alignment horizontal="right"/>
    </xf>
    <xf numFmtId="3" fontId="18" fillId="0" borderId="6" xfId="0" applyNumberFormat="1" applyFont="1" applyBorder="1" applyAlignment="1">
      <alignment horizontal="right"/>
    </xf>
    <xf numFmtId="3" fontId="17" fillId="0" borderId="6" xfId="3" applyNumberFormat="1" applyFont="1" applyBorder="1" applyAlignment="1">
      <alignment horizontal="right"/>
    </xf>
    <xf numFmtId="4" fontId="18" fillId="0" borderId="6" xfId="11" applyNumberFormat="1" applyFont="1" applyBorder="1" applyAlignment="1">
      <alignment horizontal="right"/>
    </xf>
    <xf numFmtId="164" fontId="17" fillId="0" borderId="0" xfId="3" applyNumberFormat="1" applyFont="1" applyAlignment="1">
      <alignment horizontal="center"/>
    </xf>
    <xf numFmtId="164" fontId="18" fillId="0" borderId="0" xfId="0" applyNumberFormat="1" applyFont="1" applyAlignment="1"/>
    <xf numFmtId="3" fontId="17" fillId="0" borderId="0" xfId="0" applyNumberFormat="1" applyFont="1" applyAlignment="1">
      <alignment horizontal="center"/>
    </xf>
    <xf numFmtId="0" fontId="17" fillId="0" borderId="0" xfId="0" applyFont="1"/>
    <xf numFmtId="165" fontId="17" fillId="0" borderId="0" xfId="0" applyNumberFormat="1" applyFont="1"/>
    <xf numFmtId="3" fontId="17" fillId="0" borderId="0" xfId="0" applyNumberFormat="1" applyFont="1" applyFill="1" applyBorder="1" applyAlignment="1">
      <alignment horizontal="center"/>
    </xf>
    <xf numFmtId="9" fontId="17" fillId="0" borderId="0" xfId="0" applyNumberFormat="1" applyFont="1" applyFill="1" applyBorder="1" applyAlignment="1">
      <alignment horizontal="center"/>
    </xf>
    <xf numFmtId="164" fontId="17" fillId="0" borderId="0" xfId="3" applyNumberFormat="1" applyFont="1" applyFill="1" applyBorder="1" applyAlignment="1"/>
    <xf numFmtId="164" fontId="17" fillId="0" borderId="0" xfId="0" applyNumberFormat="1" applyFont="1" applyAlignment="1">
      <alignment horizontal="center"/>
    </xf>
    <xf numFmtId="16" fontId="17" fillId="0" borderId="0" xfId="0" quotePrefix="1" applyNumberFormat="1" applyFont="1" applyAlignment="1">
      <alignment horizontal="center"/>
    </xf>
    <xf numFmtId="16" fontId="18" fillId="0" borderId="0" xfId="0" quotePrefix="1" applyNumberFormat="1" applyFont="1" applyAlignment="1">
      <alignment horizontal="center"/>
    </xf>
    <xf numFmtId="0" fontId="18" fillId="0" borderId="0" xfId="0" quotePrefix="1" applyFont="1" applyAlignment="1">
      <alignment horizontal="center"/>
    </xf>
    <xf numFmtId="3" fontId="17" fillId="0" borderId="0" xfId="0" applyNumberFormat="1" applyFont="1" applyAlignment="1">
      <alignment horizontal="right"/>
    </xf>
    <xf numFmtId="165" fontId="18" fillId="0" borderId="0" xfId="0" applyNumberFormat="1" applyFont="1"/>
    <xf numFmtId="0" fontId="17" fillId="0" borderId="0" xfId="0" applyFont="1" applyFill="1" applyBorder="1" applyAlignment="1">
      <alignment horizontal="center"/>
    </xf>
    <xf numFmtId="10" fontId="17" fillId="0" borderId="0" xfId="0" applyNumberFormat="1" applyFont="1" applyFill="1" applyBorder="1" applyAlignment="1">
      <alignment horizontal="center"/>
    </xf>
    <xf numFmtId="166" fontId="12" fillId="0" borderId="7" xfId="0" applyNumberFormat="1" applyFont="1" applyFill="1" applyBorder="1" applyAlignment="1" applyProtection="1">
      <alignment horizontal="center"/>
    </xf>
    <xf numFmtId="166" fontId="12" fillId="0" borderId="8" xfId="0" applyNumberFormat="1" applyFont="1" applyFill="1" applyBorder="1" applyAlignment="1" applyProtection="1">
      <alignment horizontal="center" wrapText="1"/>
    </xf>
    <xf numFmtId="167" fontId="6" fillId="0" borderId="9" xfId="0" applyNumberFormat="1" applyFont="1" applyFill="1" applyBorder="1" applyAlignment="1" applyProtection="1">
      <alignment horizontal="right"/>
    </xf>
    <xf numFmtId="41" fontId="15" fillId="0" borderId="10" xfId="0" applyNumberFormat="1" applyFont="1" applyFill="1" applyBorder="1" applyAlignment="1" applyProtection="1"/>
    <xf numFmtId="41" fontId="6" fillId="0" borderId="10" xfId="0" applyNumberFormat="1" applyFont="1" applyFill="1" applyBorder="1" applyAlignment="1" applyProtection="1"/>
    <xf numFmtId="167" fontId="6" fillId="0" borderId="11" xfId="0" applyNumberFormat="1" applyFont="1" applyFill="1" applyBorder="1" applyAlignment="1" applyProtection="1">
      <alignment horizontal="right"/>
    </xf>
    <xf numFmtId="41" fontId="16" fillId="0" borderId="6" xfId="0" applyNumberFormat="1" applyFont="1" applyFill="1" applyBorder="1" applyAlignment="1" applyProtection="1">
      <alignment horizontal="left"/>
    </xf>
    <xf numFmtId="0" fontId="0" fillId="0" borderId="6" xfId="0" applyBorder="1"/>
    <xf numFmtId="41" fontId="6" fillId="0" borderId="12" xfId="0" applyNumberFormat="1" applyFont="1" applyFill="1" applyBorder="1" applyAlignment="1" applyProtection="1"/>
    <xf numFmtId="166" fontId="12" fillId="0" borderId="8" xfId="0" applyNumberFormat="1" applyFont="1" applyFill="1" applyBorder="1" applyAlignment="1" applyProtection="1">
      <alignment horizontal="center"/>
    </xf>
    <xf numFmtId="1" fontId="6" fillId="0" borderId="10" xfId="0" applyNumberFormat="1" applyFont="1" applyFill="1" applyBorder="1" applyAlignment="1" applyProtection="1">
      <alignment horizontal="center"/>
    </xf>
    <xf numFmtId="41" fontId="6" fillId="0" borderId="6" xfId="0" applyNumberFormat="1" applyFont="1" applyFill="1" applyBorder="1" applyAlignment="1" applyProtection="1"/>
    <xf numFmtId="1" fontId="6" fillId="0" borderId="12" xfId="0" applyNumberFormat="1" applyFont="1" applyFill="1" applyBorder="1" applyAlignment="1" applyProtection="1">
      <alignment horizontal="center"/>
    </xf>
    <xf numFmtId="41" fontId="12" fillId="0" borderId="3" xfId="0" applyNumberFormat="1" applyFont="1" applyFill="1" applyBorder="1" applyAlignment="1" applyProtection="1">
      <alignment horizontal="left"/>
    </xf>
    <xf numFmtId="41" fontId="12" fillId="0" borderId="3" xfId="0" applyNumberFormat="1" applyFont="1" applyFill="1" applyBorder="1" applyAlignment="1" applyProtection="1"/>
    <xf numFmtId="4" fontId="17" fillId="0" borderId="0" xfId="0" applyNumberFormat="1" applyFont="1" applyAlignment="1">
      <alignment horizontal="right"/>
    </xf>
    <xf numFmtId="2" fontId="17" fillId="0" borderId="0" xfId="0" applyNumberFormat="1" applyFont="1" applyAlignment="1">
      <alignment horizontal="right"/>
    </xf>
    <xf numFmtId="2" fontId="17" fillId="0" borderId="6" xfId="3" applyNumberFormat="1" applyFont="1" applyBorder="1" applyAlignment="1">
      <alignment horizontal="right"/>
    </xf>
    <xf numFmtId="169" fontId="11" fillId="0" borderId="3" xfId="0" applyNumberFormat="1" applyFont="1" applyFill="1" applyBorder="1" applyAlignment="1" applyProtection="1"/>
    <xf numFmtId="0" fontId="20" fillId="3" borderId="13" xfId="23" applyFont="1" applyFill="1" applyBorder="1"/>
    <xf numFmtId="0" fontId="20" fillId="3" borderId="14" xfId="23" applyFont="1" applyFill="1" applyBorder="1"/>
    <xf numFmtId="0" fontId="2" fillId="3" borderId="14" xfId="23" applyFill="1" applyBorder="1"/>
    <xf numFmtId="0" fontId="2" fillId="3" borderId="15" xfId="23" applyFill="1" applyBorder="1"/>
    <xf numFmtId="0" fontId="2" fillId="0" borderId="0" xfId="23"/>
    <xf numFmtId="0" fontId="11" fillId="3" borderId="16" xfId="23" applyFont="1" applyFill="1" applyBorder="1"/>
    <xf numFmtId="0" fontId="11" fillId="3" borderId="0" xfId="23" applyFont="1" applyFill="1" applyBorder="1"/>
    <xf numFmtId="0" fontId="21" fillId="3" borderId="0" xfId="23" applyFont="1" applyFill="1" applyBorder="1"/>
    <xf numFmtId="0" fontId="2" fillId="3" borderId="0" xfId="23" applyFill="1" applyBorder="1"/>
    <xf numFmtId="0" fontId="2" fillId="3" borderId="17" xfId="23" applyFill="1" applyBorder="1"/>
    <xf numFmtId="15" fontId="11" fillId="3" borderId="16" xfId="23" applyNumberFormat="1" applyFont="1" applyFill="1" applyBorder="1"/>
    <xf numFmtId="15" fontId="11" fillId="3" borderId="0" xfId="23" applyNumberFormat="1" applyFont="1" applyFill="1" applyBorder="1"/>
    <xf numFmtId="0" fontId="2" fillId="3" borderId="16" xfId="23" applyFill="1" applyBorder="1"/>
    <xf numFmtId="0" fontId="11" fillId="3" borderId="0" xfId="23" applyFont="1" applyFill="1" applyBorder="1" applyAlignment="1">
      <alignment horizontal="center"/>
    </xf>
    <xf numFmtId="0" fontId="24" fillId="3" borderId="0" xfId="23" applyFont="1" applyFill="1" applyBorder="1" applyAlignment="1">
      <alignment horizontal="center"/>
    </xf>
    <xf numFmtId="0" fontId="25" fillId="3" borderId="18" xfId="23" applyFont="1" applyFill="1" applyBorder="1"/>
    <xf numFmtId="0" fontId="25" fillId="3" borderId="0" xfId="23" applyFont="1" applyFill="1" applyBorder="1"/>
    <xf numFmtId="0" fontId="2" fillId="3" borderId="0" xfId="23" applyFill="1" applyBorder="1" applyAlignment="1">
      <alignment horizontal="center"/>
    </xf>
    <xf numFmtId="41" fontId="2" fillId="3" borderId="0" xfId="23" applyNumberFormat="1" applyFill="1" applyBorder="1"/>
    <xf numFmtId="44" fontId="26" fillId="3" borderId="0" xfId="14" applyFont="1" applyFill="1" applyBorder="1"/>
    <xf numFmtId="0" fontId="2" fillId="3" borderId="16" xfId="23" applyFont="1" applyFill="1" applyBorder="1"/>
    <xf numFmtId="0" fontId="7" fillId="3" borderId="0" xfId="23" applyFont="1" applyFill="1" applyBorder="1"/>
    <xf numFmtId="41" fontId="27" fillId="3" borderId="0" xfId="23" applyNumberFormat="1" applyFont="1" applyFill="1" applyBorder="1"/>
    <xf numFmtId="44" fontId="2" fillId="3" borderId="17" xfId="14" applyFont="1" applyFill="1" applyBorder="1"/>
    <xf numFmtId="170" fontId="2" fillId="3" borderId="0" xfId="14" applyNumberFormat="1" applyFont="1" applyFill="1" applyBorder="1"/>
    <xf numFmtId="44" fontId="27" fillId="3" borderId="17" xfId="14" applyNumberFormat="1" applyFont="1" applyFill="1" applyBorder="1"/>
    <xf numFmtId="44" fontId="28" fillId="3" borderId="19" xfId="14" applyNumberFormat="1" applyFont="1" applyFill="1" applyBorder="1"/>
    <xf numFmtId="44" fontId="28" fillId="3" borderId="19" xfId="14" applyFont="1" applyFill="1" applyBorder="1"/>
    <xf numFmtId="44" fontId="2" fillId="3" borderId="0" xfId="23" applyNumberFormat="1" applyFill="1" applyBorder="1"/>
    <xf numFmtId="44" fontId="29" fillId="3" borderId="17" xfId="23" applyNumberFormat="1" applyFont="1" applyFill="1" applyBorder="1"/>
    <xf numFmtId="0" fontId="11" fillId="3" borderId="6" xfId="23" applyFont="1" applyFill="1" applyBorder="1" applyAlignment="1">
      <alignment horizontal="center"/>
    </xf>
    <xf numFmtId="44" fontId="2" fillId="3" borderId="17" xfId="14" applyNumberFormat="1" applyFont="1" applyFill="1" applyBorder="1"/>
    <xf numFmtId="43" fontId="27" fillId="3" borderId="17" xfId="23" applyNumberFormat="1" applyFont="1" applyFill="1" applyBorder="1"/>
    <xf numFmtId="44" fontId="28" fillId="3" borderId="17" xfId="14" applyFont="1" applyFill="1" applyBorder="1"/>
    <xf numFmtId="0" fontId="2" fillId="3" borderId="20" xfId="23" applyFill="1" applyBorder="1"/>
    <xf numFmtId="0" fontId="2" fillId="3" borderId="21" xfId="23" applyFill="1" applyBorder="1"/>
    <xf numFmtId="0" fontId="2" fillId="3" borderId="22" xfId="23" applyFill="1" applyBorder="1"/>
    <xf numFmtId="41" fontId="2" fillId="2" borderId="0" xfId="23" applyNumberFormat="1" applyFill="1" applyBorder="1"/>
    <xf numFmtId="41" fontId="27" fillId="2" borderId="0" xfId="23" applyNumberFormat="1" applyFont="1" applyFill="1" applyBorder="1"/>
    <xf numFmtId="44" fontId="2" fillId="3" borderId="0" xfId="14" applyFont="1" applyFill="1" applyBorder="1"/>
    <xf numFmtId="44" fontId="27" fillId="3" borderId="0" xfId="14" applyNumberFormat="1" applyFont="1" applyFill="1" applyBorder="1"/>
    <xf numFmtId="44" fontId="28" fillId="3" borderId="5" xfId="14" applyNumberFormat="1" applyFont="1" applyFill="1" applyBorder="1"/>
    <xf numFmtId="44" fontId="29" fillId="3" borderId="0" xfId="23" applyNumberFormat="1" applyFont="1" applyFill="1" applyBorder="1"/>
    <xf numFmtId="44" fontId="2" fillId="3" borderId="0" xfId="14" applyNumberFormat="1" applyFont="1" applyFill="1" applyBorder="1"/>
    <xf numFmtId="43" fontId="27" fillId="3" borderId="0" xfId="23" applyNumberFormat="1" applyFont="1" applyFill="1" applyBorder="1"/>
    <xf numFmtId="44" fontId="28" fillId="3" borderId="5" xfId="14" applyFont="1" applyFill="1" applyBorder="1"/>
    <xf numFmtId="44" fontId="28" fillId="3" borderId="0" xfId="14" applyFont="1" applyFill="1" applyBorder="1"/>
    <xf numFmtId="0" fontId="20" fillId="0" borderId="0" xfId="23" applyFont="1" applyFill="1" applyBorder="1" applyAlignment="1"/>
    <xf numFmtId="0" fontId="2" fillId="0" borderId="0" xfId="23" applyFill="1" applyBorder="1" applyAlignment="1"/>
    <xf numFmtId="0" fontId="11" fillId="0" borderId="0" xfId="23" applyFont="1" applyFill="1" applyBorder="1" applyAlignment="1"/>
    <xf numFmtId="0" fontId="21" fillId="0" borderId="0" xfId="23" applyFont="1" applyFill="1" applyBorder="1" applyAlignment="1"/>
    <xf numFmtId="15" fontId="11" fillId="0" borderId="0" xfId="23" applyNumberFormat="1" applyFont="1" applyFill="1" applyBorder="1" applyAlignment="1"/>
    <xf numFmtId="0" fontId="22" fillId="0" borderId="0" xfId="23" applyFont="1" applyFill="1" applyBorder="1" applyAlignment="1">
      <alignment horizontal="center"/>
    </xf>
    <xf numFmtId="0" fontId="23" fillId="0" borderId="0" xfId="23" applyFont="1" applyFill="1" applyBorder="1" applyAlignment="1">
      <alignment horizontal="center"/>
    </xf>
    <xf numFmtId="0" fontId="11" fillId="0" borderId="0" xfId="23" applyFont="1" applyFill="1" applyBorder="1" applyAlignment="1">
      <alignment horizontal="center"/>
    </xf>
    <xf numFmtId="0" fontId="24" fillId="0" borderId="0" xfId="23" applyFont="1" applyFill="1" applyBorder="1" applyAlignment="1">
      <alignment horizontal="center"/>
    </xf>
    <xf numFmtId="0" fontId="25" fillId="0" borderId="0" xfId="23" applyFont="1" applyFill="1" applyBorder="1" applyAlignment="1"/>
    <xf numFmtId="0" fontId="2" fillId="0" borderId="0" xfId="23" applyFill="1" applyBorder="1" applyAlignment="1">
      <alignment horizontal="center"/>
    </xf>
    <xf numFmtId="41" fontId="2" fillId="0" borderId="0" xfId="23" applyNumberFormat="1" applyFill="1" applyBorder="1" applyAlignment="1"/>
    <xf numFmtId="44" fontId="26" fillId="0" borderId="0" xfId="14" applyFont="1" applyFill="1" applyBorder="1" applyAlignment="1"/>
    <xf numFmtId="0" fontId="2" fillId="0" borderId="0" xfId="23" applyFont="1" applyFill="1" applyBorder="1" applyAlignment="1"/>
    <xf numFmtId="0" fontId="7" fillId="0" borderId="0" xfId="23" applyFont="1" applyFill="1" applyBorder="1" applyAlignment="1"/>
    <xf numFmtId="41" fontId="27" fillId="0" borderId="0" xfId="23" applyNumberFormat="1" applyFont="1" applyFill="1" applyBorder="1" applyAlignment="1"/>
    <xf numFmtId="44" fontId="2" fillId="0" borderId="0" xfId="14" applyFont="1" applyFill="1" applyBorder="1" applyAlignment="1"/>
    <xf numFmtId="170" fontId="2" fillId="0" borderId="0" xfId="14" applyNumberFormat="1" applyFont="1" applyFill="1" applyBorder="1" applyAlignment="1"/>
    <xf numFmtId="164" fontId="2" fillId="0" borderId="0" xfId="6" applyNumberFormat="1" applyFont="1" applyFill="1" applyBorder="1" applyAlignment="1"/>
    <xf numFmtId="44" fontId="27" fillId="0" borderId="0" xfId="14" applyFont="1" applyFill="1" applyBorder="1" applyAlignment="1"/>
    <xf numFmtId="44" fontId="28" fillId="0" borderId="0" xfId="14" applyFont="1" applyFill="1" applyBorder="1" applyAlignment="1"/>
    <xf numFmtId="0" fontId="2" fillId="0" borderId="0" xfId="23" applyFont="1" applyFill="1" applyBorder="1" applyAlignment="1">
      <alignment horizontal="right"/>
    </xf>
    <xf numFmtId="44" fontId="2" fillId="0" borderId="0" xfId="23" applyNumberFormat="1" applyFill="1" applyBorder="1" applyAlignment="1"/>
    <xf numFmtId="44" fontId="2" fillId="0" borderId="0" xfId="14" applyNumberFormat="1" applyFont="1" applyFill="1" applyBorder="1" applyAlignment="1"/>
    <xf numFmtId="44" fontId="11" fillId="0" borderId="0" xfId="23" applyNumberFormat="1" applyFont="1" applyFill="1" applyBorder="1" applyAlignment="1"/>
    <xf numFmtId="3" fontId="0" fillId="0" borderId="0" xfId="0" applyNumberFormat="1"/>
    <xf numFmtId="0" fontId="18" fillId="0" borderId="0" xfId="0" applyFont="1" applyFill="1" applyBorder="1" applyAlignment="1">
      <alignment horizontal="left"/>
    </xf>
    <xf numFmtId="39" fontId="0" fillId="0" borderId="0" xfId="0" applyNumberFormat="1"/>
    <xf numFmtId="3" fontId="18" fillId="0" borderId="0" xfId="0" applyNumberFormat="1" applyFont="1" applyAlignment="1"/>
    <xf numFmtId="3" fontId="18" fillId="0" borderId="6" xfId="0" applyNumberFormat="1" applyFont="1" applyBorder="1" applyAlignment="1"/>
    <xf numFmtId="165" fontId="18" fillId="0" borderId="6" xfId="11" applyNumberFormat="1" applyFont="1" applyBorder="1" applyAlignment="1">
      <alignment horizontal="right"/>
    </xf>
    <xf numFmtId="44" fontId="0" fillId="0" borderId="0" xfId="0" applyNumberFormat="1"/>
    <xf numFmtId="165" fontId="18" fillId="0" borderId="0" xfId="11" applyNumberFormat="1" applyFont="1" applyFill="1" applyAlignment="1">
      <alignment horizontal="right"/>
    </xf>
    <xf numFmtId="165" fontId="17" fillId="0" borderId="0" xfId="11" applyNumberFormat="1" applyFont="1" applyFill="1" applyAlignment="1">
      <alignment horizontal="right"/>
    </xf>
    <xf numFmtId="0" fontId="17" fillId="0" borderId="0" xfId="0" applyFont="1" applyFill="1"/>
    <xf numFmtId="0" fontId="17" fillId="0" borderId="0" xfId="0" applyFont="1" applyFill="1" applyAlignment="1">
      <alignment horizontal="center"/>
    </xf>
    <xf numFmtId="0" fontId="0" fillId="0" borderId="0" xfId="0" applyFill="1"/>
    <xf numFmtId="0" fontId="36" fillId="0" borderId="25" xfId="0" applyFont="1" applyBorder="1"/>
    <xf numFmtId="0" fontId="36" fillId="0" borderId="4" xfId="0" applyFont="1" applyBorder="1"/>
    <xf numFmtId="39" fontId="36" fillId="0" borderId="4" xfId="0" applyNumberFormat="1" applyFont="1" applyBorder="1"/>
    <xf numFmtId="170" fontId="36" fillId="0" borderId="4" xfId="11" applyNumberFormat="1" applyFont="1" applyBorder="1"/>
    <xf numFmtId="0" fontId="36" fillId="0" borderId="26" xfId="0" applyFont="1" applyBorder="1"/>
    <xf numFmtId="0" fontId="36" fillId="0" borderId="9" xfId="0" applyFont="1" applyBorder="1"/>
    <xf numFmtId="3" fontId="36" fillId="0" borderId="0" xfId="0" applyNumberFormat="1" applyFont="1" applyBorder="1"/>
    <xf numFmtId="39" fontId="36" fillId="0" borderId="0" xfId="0" applyNumberFormat="1" applyFont="1" applyBorder="1"/>
    <xf numFmtId="170" fontId="36" fillId="4" borderId="0" xfId="11" applyNumberFormat="1" applyFont="1" applyFill="1" applyBorder="1"/>
    <xf numFmtId="0" fontId="36" fillId="0" borderId="10" xfId="0" applyFont="1" applyBorder="1"/>
    <xf numFmtId="170" fontId="36" fillId="4" borderId="6" xfId="11" applyNumberFormat="1" applyFont="1" applyFill="1" applyBorder="1"/>
    <xf numFmtId="0" fontId="36" fillId="0" borderId="11" xfId="0" applyFont="1" applyBorder="1"/>
    <xf numFmtId="3" fontId="36" fillId="0" borderId="6" xfId="0" applyNumberFormat="1" applyFont="1" applyBorder="1"/>
    <xf numFmtId="39" fontId="36" fillId="0" borderId="6" xfId="0" applyNumberFormat="1" applyFont="1" applyBorder="1"/>
    <xf numFmtId="170" fontId="36" fillId="0" borderId="6" xfId="0" applyNumberFormat="1" applyFont="1" applyBorder="1"/>
    <xf numFmtId="0" fontId="36" fillId="0" borderId="12" xfId="0" applyFont="1" applyBorder="1"/>
    <xf numFmtId="165" fontId="0" fillId="0" borderId="0" xfId="0" applyNumberFormat="1"/>
    <xf numFmtId="14" fontId="0" fillId="0" borderId="0" xfId="0" applyNumberFormat="1"/>
    <xf numFmtId="165" fontId="17" fillId="0" borderId="0" xfId="0" quotePrefix="1" applyNumberFormat="1" applyFont="1" applyAlignment="1">
      <alignment horizontal="center"/>
    </xf>
    <xf numFmtId="41" fontId="2" fillId="0" borderId="0" xfId="23" applyNumberFormat="1" applyFill="1" applyBorder="1"/>
    <xf numFmtId="41" fontId="27" fillId="0" borderId="0" xfId="23" applyNumberFormat="1" applyFont="1" applyFill="1" applyBorder="1"/>
    <xf numFmtId="170" fontId="2" fillId="5" borderId="0" xfId="14" applyNumberFormat="1" applyFont="1" applyFill="1" applyBorder="1"/>
    <xf numFmtId="0" fontId="25" fillId="5" borderId="18" xfId="23" applyFont="1" applyFill="1" applyBorder="1"/>
    <xf numFmtId="165" fontId="18" fillId="5" borderId="0" xfId="11" applyNumberFormat="1" applyFont="1" applyFill="1" applyAlignment="1">
      <alignment horizontal="right"/>
    </xf>
    <xf numFmtId="165" fontId="18" fillId="5" borderId="6" xfId="11" applyNumberFormat="1" applyFont="1" applyFill="1" applyBorder="1" applyAlignment="1">
      <alignment horizontal="right"/>
    </xf>
    <xf numFmtId="3" fontId="17" fillId="0" borderId="0" xfId="3" applyNumberFormat="1" applyFont="1" applyBorder="1" applyAlignment="1">
      <alignment horizontal="right"/>
    </xf>
    <xf numFmtId="2" fontId="17" fillId="0" borderId="0" xfId="3" applyNumberFormat="1" applyFont="1" applyBorder="1" applyAlignment="1">
      <alignment horizontal="right"/>
    </xf>
    <xf numFmtId="165" fontId="18" fillId="5" borderId="0" xfId="11" applyNumberFormat="1" applyFont="1" applyFill="1" applyBorder="1" applyAlignment="1">
      <alignment horizontal="right"/>
    </xf>
    <xf numFmtId="0" fontId="18" fillId="0" borderId="0" xfId="0" quotePrefix="1" applyFont="1" applyBorder="1" applyAlignment="1">
      <alignment horizontal="center"/>
    </xf>
    <xf numFmtId="165" fontId="17" fillId="0" borderId="0" xfId="11" applyNumberFormat="1" applyFont="1" applyFill="1" applyBorder="1" applyAlignment="1">
      <alignment horizontal="right"/>
    </xf>
    <xf numFmtId="16" fontId="18" fillId="0" borderId="0" xfId="0" quotePrefix="1" applyNumberFormat="1" applyFont="1" applyBorder="1" applyAlignment="1">
      <alignment horizontal="center"/>
    </xf>
    <xf numFmtId="165" fontId="17" fillId="0" borderId="6" xfId="11" applyNumberFormat="1" applyFont="1" applyFill="1" applyBorder="1" applyAlignment="1">
      <alignment horizontal="right"/>
    </xf>
    <xf numFmtId="3" fontId="18" fillId="0" borderId="0" xfId="0" applyNumberFormat="1" applyFont="1" applyBorder="1" applyAlignment="1"/>
    <xf numFmtId="0" fontId="17" fillId="0" borderId="0" xfId="3" applyNumberFormat="1" applyFont="1" applyFill="1" applyBorder="1" applyAlignment="1"/>
    <xf numFmtId="165" fontId="18" fillId="0" borderId="0" xfId="11" applyNumberFormat="1" applyFont="1" applyBorder="1" applyAlignment="1">
      <alignment horizontal="right"/>
    </xf>
    <xf numFmtId="171" fontId="39" fillId="0" borderId="0" xfId="29" applyNumberFormat="1" applyFont="1" applyAlignment="1">
      <alignment horizontal="center"/>
    </xf>
    <xf numFmtId="172" fontId="39" fillId="0" borderId="0" xfId="29" applyNumberFormat="1" applyFont="1" applyAlignment="1">
      <alignment horizontal="center"/>
    </xf>
    <xf numFmtId="0" fontId="37" fillId="0" borderId="0" xfId="29"/>
    <xf numFmtId="0" fontId="37" fillId="0" borderId="0" xfId="30"/>
    <xf numFmtId="0" fontId="38" fillId="0" borderId="0" xfId="29" applyFont="1"/>
    <xf numFmtId="43" fontId="0" fillId="0" borderId="0" xfId="31" applyFont="1"/>
    <xf numFmtId="3" fontId="37" fillId="0" borderId="0" xfId="29" applyNumberFormat="1"/>
    <xf numFmtId="173" fontId="0" fillId="0" borderId="0" xfId="31" applyNumberFormat="1" applyFont="1"/>
    <xf numFmtId="164" fontId="0" fillId="0" borderId="0" xfId="31" applyNumberFormat="1" applyFont="1"/>
    <xf numFmtId="164" fontId="37" fillId="0" borderId="0" xfId="29" applyNumberFormat="1"/>
    <xf numFmtId="164" fontId="37" fillId="0" borderId="0" xfId="30" applyNumberFormat="1"/>
    <xf numFmtId="43" fontId="37" fillId="0" borderId="0" xfId="29" applyNumberFormat="1"/>
    <xf numFmtId="0" fontId="0" fillId="0" borderId="0" xfId="29" applyFont="1"/>
    <xf numFmtId="164" fontId="37" fillId="0" borderId="0" xfId="4" applyNumberFormat="1" applyFont="1"/>
    <xf numFmtId="173" fontId="37" fillId="0" borderId="0" xfId="29" applyNumberFormat="1"/>
    <xf numFmtId="0" fontId="0" fillId="0" borderId="0" xfId="30" applyFont="1"/>
    <xf numFmtId="3" fontId="37" fillId="0" borderId="0" xfId="30" applyNumberFormat="1"/>
    <xf numFmtId="0" fontId="38" fillId="0" borderId="0" xfId="29" applyFont="1" applyAlignment="1">
      <alignment horizontal="center"/>
    </xf>
    <xf numFmtId="0" fontId="38" fillId="0" borderId="0" xfId="30" applyFont="1"/>
    <xf numFmtId="0" fontId="22" fillId="3" borderId="16" xfId="23" applyFont="1" applyFill="1" applyBorder="1" applyAlignment="1">
      <alignment horizontal="center"/>
    </xf>
    <xf numFmtId="0" fontId="22" fillId="3" borderId="0" xfId="23" applyFont="1" applyFill="1" applyBorder="1" applyAlignment="1">
      <alignment horizontal="center"/>
    </xf>
    <xf numFmtId="0" fontId="22" fillId="3" borderId="17" xfId="23" applyFont="1" applyFill="1" applyBorder="1" applyAlignment="1">
      <alignment horizontal="center"/>
    </xf>
    <xf numFmtId="0" fontId="23" fillId="3" borderId="16" xfId="23" applyFont="1" applyFill="1" applyBorder="1" applyAlignment="1">
      <alignment horizontal="center"/>
    </xf>
    <xf numFmtId="0" fontId="23" fillId="3" borderId="0" xfId="23" applyFont="1" applyFill="1" applyBorder="1" applyAlignment="1">
      <alignment horizontal="center"/>
    </xf>
    <xf numFmtId="0" fontId="23" fillId="3" borderId="17" xfId="23" applyFont="1" applyFill="1" applyBorder="1" applyAlignment="1">
      <alignment horizontal="center"/>
    </xf>
    <xf numFmtId="0" fontId="0" fillId="0" borderId="0" xfId="0" applyAlignment="1">
      <alignment horizontal="center"/>
    </xf>
    <xf numFmtId="0" fontId="38" fillId="0" borderId="0" xfId="0" applyFont="1" applyAlignment="1">
      <alignment horizontal="center"/>
    </xf>
    <xf numFmtId="43" fontId="3" fillId="0" borderId="0" xfId="3" applyFont="1" applyAlignment="1">
      <alignment horizontal="center"/>
    </xf>
    <xf numFmtId="43" fontId="4" fillId="0" borderId="0" xfId="3" applyFont="1" applyAlignment="1">
      <alignment horizontal="center"/>
    </xf>
    <xf numFmtId="43" fontId="5" fillId="0" borderId="0" xfId="8" applyFont="1" applyAlignment="1">
      <alignment horizontal="center"/>
      <protection locked="0"/>
    </xf>
    <xf numFmtId="0" fontId="12" fillId="0" borderId="23" xfId="0" applyNumberFormat="1" applyFont="1" applyFill="1" applyBorder="1" applyAlignment="1" applyProtection="1">
      <alignment horizontal="center"/>
    </xf>
    <xf numFmtId="0" fontId="12" fillId="0" borderId="2" xfId="0" applyNumberFormat="1" applyFont="1" applyFill="1" applyBorder="1" applyAlignment="1" applyProtection="1">
      <alignment horizontal="center"/>
    </xf>
    <xf numFmtId="0" fontId="12" fillId="0" borderId="24" xfId="0" applyNumberFormat="1" applyFont="1" applyFill="1" applyBorder="1" applyAlignment="1" applyProtection="1">
      <alignment horizontal="center"/>
    </xf>
    <xf numFmtId="0" fontId="6" fillId="0" borderId="23" xfId="0" applyNumberFormat="1" applyFont="1" applyFill="1" applyBorder="1" applyAlignment="1" applyProtection="1">
      <alignment horizontal="center"/>
    </xf>
    <xf numFmtId="0" fontId="6" fillId="0" borderId="2" xfId="0" applyNumberFormat="1" applyFont="1" applyFill="1" applyBorder="1" applyAlignment="1" applyProtection="1">
      <alignment horizontal="center"/>
    </xf>
    <xf numFmtId="0" fontId="6" fillId="0" borderId="24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left"/>
    </xf>
    <xf numFmtId="0" fontId="11" fillId="0" borderId="0" xfId="0" applyNumberFormat="1" applyFont="1" applyFill="1" applyBorder="1" applyAlignment="1" applyProtection="1">
      <alignment horizontal="right"/>
    </xf>
    <xf numFmtId="0" fontId="12" fillId="0" borderId="0" xfId="0" applyNumberFormat="1" applyFont="1" applyFill="1" applyBorder="1" applyAlignment="1" applyProtection="1">
      <alignment horizontal="left"/>
    </xf>
    <xf numFmtId="0" fontId="12" fillId="0" borderId="6" xfId="0" applyNumberFormat="1" applyFont="1" applyFill="1" applyBorder="1" applyAlignment="1" applyProtection="1">
      <alignment horizontal="left" wrapText="1"/>
    </xf>
    <xf numFmtId="41" fontId="6" fillId="0" borderId="0" xfId="0" applyNumberFormat="1" applyFont="1" applyFill="1" applyBorder="1" applyAlignment="1" applyProtection="1">
      <alignment horizontal="left"/>
    </xf>
    <xf numFmtId="41" fontId="6" fillId="0" borderId="0" xfId="0" applyNumberFormat="1" applyFont="1" applyFill="1" applyBorder="1" applyAlignment="1" applyProtection="1">
      <alignment horizontal="right"/>
    </xf>
    <xf numFmtId="41" fontId="12" fillId="0" borderId="21" xfId="0" applyNumberFormat="1" applyFont="1" applyFill="1" applyBorder="1" applyAlignment="1" applyProtection="1">
      <alignment horizontal="left"/>
    </xf>
    <xf numFmtId="0" fontId="12" fillId="0" borderId="6" xfId="0" applyNumberFormat="1" applyFont="1" applyFill="1" applyBorder="1" applyAlignment="1" applyProtection="1">
      <alignment horizontal="left"/>
    </xf>
    <xf numFmtId="41" fontId="6" fillId="2" borderId="0" xfId="0" applyNumberFormat="1" applyFont="1" applyFill="1" applyBorder="1" applyAlignment="1" applyProtection="1">
      <alignment horizontal="left"/>
    </xf>
  </cellXfs>
  <cellStyles count="32">
    <cellStyle name="Accounting" xfId="1" xr:uid="{00000000-0005-0000-0000-000000000000}"/>
    <cellStyle name="Budget" xfId="2" xr:uid="{00000000-0005-0000-0000-000001000000}"/>
    <cellStyle name="Comma" xfId="3" builtinId="3"/>
    <cellStyle name="Comma 2" xfId="4" xr:uid="{00000000-0005-0000-0000-000003000000}"/>
    <cellStyle name="Comma 3" xfId="5" xr:uid="{00000000-0005-0000-0000-000004000000}"/>
    <cellStyle name="Comma 3 2" xfId="6" xr:uid="{00000000-0005-0000-0000-000005000000}"/>
    <cellStyle name="Comma 4" xfId="7" xr:uid="{00000000-0005-0000-0000-000006000000}"/>
    <cellStyle name="Comma 9 3" xfId="31" xr:uid="{15B1ABCA-4350-4C51-B22C-CAE5ECF69219}"/>
    <cellStyle name="Comma_Sheet1 (2)" xfId="8" xr:uid="{00000000-0005-0000-0000-000007000000}"/>
    <cellStyle name="Comma0 - Style2" xfId="9" xr:uid="{00000000-0005-0000-0000-000008000000}"/>
    <cellStyle name="Comma1 - Style1" xfId="10" xr:uid="{00000000-0005-0000-0000-000009000000}"/>
    <cellStyle name="Currency" xfId="11" builtinId="4"/>
    <cellStyle name="Currency 2" xfId="12" xr:uid="{00000000-0005-0000-0000-00000B000000}"/>
    <cellStyle name="Currency 3" xfId="13" xr:uid="{00000000-0005-0000-0000-00000C000000}"/>
    <cellStyle name="Currency 3 2" xfId="14" xr:uid="{00000000-0005-0000-0000-00000D000000}"/>
    <cellStyle name="Hyperlink 2" xfId="15" xr:uid="{00000000-0005-0000-0000-00000E000000}"/>
    <cellStyle name="Normal" xfId="0" builtinId="0"/>
    <cellStyle name="Normal - Style1" xfId="16" xr:uid="{00000000-0005-0000-0000-000010000000}"/>
    <cellStyle name="Normal - Style2" xfId="17" xr:uid="{00000000-0005-0000-0000-000011000000}"/>
    <cellStyle name="Normal - Style3" xfId="18" xr:uid="{00000000-0005-0000-0000-000012000000}"/>
    <cellStyle name="Normal - Style4" xfId="19" xr:uid="{00000000-0005-0000-0000-000013000000}"/>
    <cellStyle name="Normal - Style5" xfId="20" xr:uid="{00000000-0005-0000-0000-000014000000}"/>
    <cellStyle name="Normal 13 3" xfId="29" xr:uid="{0BD5817F-0323-43B7-A181-61F58C724D08}"/>
    <cellStyle name="Normal 2" xfId="21" xr:uid="{00000000-0005-0000-0000-000015000000}"/>
    <cellStyle name="Normal 2 2" xfId="22" xr:uid="{00000000-0005-0000-0000-000016000000}"/>
    <cellStyle name="Normal 2 3" xfId="23" xr:uid="{00000000-0005-0000-0000-000017000000}"/>
    <cellStyle name="Normal 3" xfId="24" xr:uid="{00000000-0005-0000-0000-000018000000}"/>
    <cellStyle name="Normal 4" xfId="30" xr:uid="{5E243388-9DA3-4C8B-ABB5-541403DED4C7}"/>
    <cellStyle name="Percent 2" xfId="25" xr:uid="{00000000-0005-0000-0000-000019000000}"/>
    <cellStyle name="PRM" xfId="26" xr:uid="{00000000-0005-0000-0000-00001A000000}"/>
    <cellStyle name="Style 1" xfId="27" xr:uid="{00000000-0005-0000-0000-00001B000000}"/>
    <cellStyle name="STYLE1" xfId="28" xr:uid="{00000000-0005-0000-0000-00001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customXml" Target="../customXml/item1.xml"/><Relationship Id="rId30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</xdr:colOff>
      <xdr:row>18</xdr:row>
      <xdr:rowOff>91440</xdr:rowOff>
    </xdr:from>
    <xdr:to>
      <xdr:col>12</xdr:col>
      <xdr:colOff>533400</xdr:colOff>
      <xdr:row>25</xdr:row>
      <xdr:rowOff>99060</xdr:rowOff>
    </xdr:to>
    <xdr:sp macro="" textlink="">
      <xdr:nvSpPr>
        <xdr:cNvPr id="2" name="Rounded Rectangular Callou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096000" y="3528060"/>
          <a:ext cx="3291840" cy="998220"/>
        </a:xfrm>
        <a:prstGeom prst="wedgeRoundRectCallout">
          <a:avLst>
            <a:gd name="adj1" fmla="val -64120"/>
            <a:gd name="adj2" fmla="val 3234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This should be updated to include data through February and the projection</a:t>
          </a:r>
          <a:r>
            <a:rPr lang="en-US" sz="1100" baseline="0"/>
            <a:t> would actually be Sep 17-Feb 18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			MY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TIL\TRANS\Company%20Filings%20-%20Solid%20Waste\Bainbridge%20Disposal,%20Inc.%20%20(G-143)\Commodity%20Credits\130244%20-%20(Residential%20Recycling%20Comm.%20Credit%20Adj.)\Staff\Staff%20TG-130244%20Curbside%20Res%20%20Mulitfamily%20Customer%20Revenue%2012-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_TO_E/BAD0735%20-%20Bainbridge%20Disposal/Commodity%20Credit/2018/0918%20Second%20Filing%20of%202018/TG-170129%20Commodity%20Credit%20Calculation%20with%205%20month%20convers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Client%20Data/Bainbridge%20Disposal,%20Inc/Commodity%20Credit%20Revision%202-13/Staff%20TG-130244%20Curbside%20Res%20&amp;%20Multifamily%20Cred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 Multi-Family 2012"/>
      <sheetName val="BI Curbside 2012"/>
      <sheetName val="Tarriff Revenue Billed"/>
      <sheetName val="Credit Calc-Single Family 2013"/>
      <sheetName val="Credit Calc-Multi Family 2013"/>
      <sheetName val="Credit Calc-Single Family120217"/>
      <sheetName val="Credit Calc-Multi Family 120217"/>
    </sheetNames>
    <sheetDataSet>
      <sheetData sheetId="0">
        <row r="11">
          <cell r="C11">
            <v>1337</v>
          </cell>
        </row>
        <row r="12">
          <cell r="C12">
            <v>1337</v>
          </cell>
        </row>
        <row r="13">
          <cell r="C13">
            <v>1337</v>
          </cell>
        </row>
        <row r="14">
          <cell r="C14">
            <v>1337</v>
          </cell>
        </row>
        <row r="15">
          <cell r="C15">
            <v>1337</v>
          </cell>
        </row>
        <row r="16">
          <cell r="C16">
            <v>1337</v>
          </cell>
        </row>
        <row r="17">
          <cell r="C17">
            <v>1337</v>
          </cell>
        </row>
        <row r="18">
          <cell r="C18">
            <v>1337</v>
          </cell>
        </row>
        <row r="19">
          <cell r="C19">
            <v>1337</v>
          </cell>
        </row>
        <row r="20">
          <cell r="C20">
            <v>1337</v>
          </cell>
        </row>
        <row r="21">
          <cell r="C21">
            <v>1337</v>
          </cell>
        </row>
        <row r="22">
          <cell r="C22">
            <v>1349</v>
          </cell>
        </row>
        <row r="23">
          <cell r="G23">
            <v>28903.390000000003</v>
          </cell>
        </row>
      </sheetData>
      <sheetData sheetId="1">
        <row r="11">
          <cell r="C11">
            <v>5940</v>
          </cell>
        </row>
        <row r="12">
          <cell r="C12">
            <v>5955</v>
          </cell>
        </row>
        <row r="13">
          <cell r="C13">
            <v>5949</v>
          </cell>
        </row>
        <row r="14">
          <cell r="C14">
            <v>5964</v>
          </cell>
        </row>
        <row r="15">
          <cell r="C15">
            <v>5970</v>
          </cell>
        </row>
        <row r="16">
          <cell r="C16">
            <v>5962</v>
          </cell>
        </row>
        <row r="17">
          <cell r="C17">
            <v>5958</v>
          </cell>
        </row>
        <row r="18">
          <cell r="C18">
            <v>5980</v>
          </cell>
        </row>
        <row r="19">
          <cell r="C19">
            <v>5982</v>
          </cell>
        </row>
        <row r="20">
          <cell r="C20">
            <v>5977</v>
          </cell>
        </row>
        <row r="21">
          <cell r="C21">
            <v>5977</v>
          </cell>
        </row>
        <row r="22">
          <cell r="C22">
            <v>5985</v>
          </cell>
        </row>
        <row r="23">
          <cell r="G23">
            <v>43775</v>
          </cell>
        </row>
      </sheetData>
      <sheetData sheetId="2"/>
      <sheetData sheetId="3"/>
      <sheetData sheetId="4">
        <row r="47">
          <cell r="I47">
            <v>1.8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"/>
      <sheetName val="Multi-Family 2018"/>
      <sheetName val="Single Family 2018"/>
      <sheetName val="Multi-Family 2017"/>
      <sheetName val="Single Family 2017"/>
      <sheetName val="Multi-Family 2016"/>
      <sheetName val="Single Family 2016"/>
      <sheetName val="Multi-Family 2015"/>
      <sheetName val="Single Family 2015"/>
      <sheetName val="Multi-Family 2014"/>
      <sheetName val="Single Family 2014"/>
      <sheetName val="Multi-Family Year 2013"/>
      <sheetName val="Curbside Year 2013"/>
      <sheetName val="Tarriff Revenue Billed"/>
      <sheetName val="Credit Calc-Single Family 2014"/>
      <sheetName val="Credit Calc-Multi Family 2014"/>
      <sheetName val="Credit Calc-Single Family 2013"/>
      <sheetName val="Credit Calc Multi-Family 2013"/>
    </sheetNames>
    <sheetDataSet>
      <sheetData sheetId="0"/>
      <sheetData sheetId="1"/>
      <sheetData sheetId="2"/>
      <sheetData sheetId="3"/>
      <sheetData sheetId="4"/>
      <sheetData sheetId="5"/>
      <sheetData sheetId="6">
        <row r="23">
          <cell r="D23">
            <v>5221960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 Multi-Family 2012"/>
      <sheetName val="BI Curbside 2012"/>
      <sheetName val="Tarriff Revenue Billed"/>
      <sheetName val="Credit Calc-Single Family 2013"/>
      <sheetName val="Credit Calc-Multi Family 2013"/>
      <sheetName val="Credit Calc-Single Family120217"/>
      <sheetName val="Credit Calc-Multi Family 120217"/>
    </sheetNames>
    <sheetDataSet>
      <sheetData sheetId="0">
        <row r="11">
          <cell r="C11">
            <v>1337</v>
          </cell>
          <cell r="G11">
            <v>2222.2399999999998</v>
          </cell>
        </row>
        <row r="12">
          <cell r="C12">
            <v>1337</v>
          </cell>
          <cell r="G12">
            <v>3438.6000000000004</v>
          </cell>
        </row>
        <row r="13">
          <cell r="C13">
            <v>1337</v>
          </cell>
          <cell r="G13">
            <v>3464</v>
          </cell>
        </row>
        <row r="14">
          <cell r="C14">
            <v>1337</v>
          </cell>
          <cell r="G14">
            <v>3157.93</v>
          </cell>
        </row>
        <row r="15">
          <cell r="C15">
            <v>1337</v>
          </cell>
          <cell r="G15">
            <v>4103.57</v>
          </cell>
        </row>
        <row r="16">
          <cell r="C16">
            <v>1337</v>
          </cell>
          <cell r="G16">
            <v>3174.75</v>
          </cell>
        </row>
        <row r="17">
          <cell r="C17">
            <v>1337</v>
          </cell>
          <cell r="G17">
            <v>2792.4</v>
          </cell>
        </row>
        <row r="18">
          <cell r="C18">
            <v>1337</v>
          </cell>
          <cell r="G18">
            <v>2552.4</v>
          </cell>
        </row>
        <row r="19">
          <cell r="C19">
            <v>1337</v>
          </cell>
          <cell r="G19">
            <v>680.19999999999993</v>
          </cell>
        </row>
        <row r="20">
          <cell r="C20">
            <v>1337</v>
          </cell>
          <cell r="G20">
            <v>1066.25</v>
          </cell>
        </row>
        <row r="21">
          <cell r="C21">
            <v>1337</v>
          </cell>
          <cell r="G21">
            <v>1246.3499999999999</v>
          </cell>
        </row>
        <row r="22">
          <cell r="C22">
            <v>1349</v>
          </cell>
          <cell r="G22">
            <v>1004.7</v>
          </cell>
        </row>
      </sheetData>
      <sheetData sheetId="1">
        <row r="11">
          <cell r="C11">
            <v>5940</v>
          </cell>
          <cell r="G11">
            <v>4183.8</v>
          </cell>
        </row>
        <row r="12">
          <cell r="C12">
            <v>5955</v>
          </cell>
          <cell r="G12">
            <v>4857.6000000000004</v>
          </cell>
        </row>
        <row r="13">
          <cell r="C13">
            <v>5949</v>
          </cell>
          <cell r="G13">
            <v>5515</v>
          </cell>
        </row>
        <row r="14">
          <cell r="C14">
            <v>5964</v>
          </cell>
          <cell r="G14">
            <v>5198.2</v>
          </cell>
        </row>
        <row r="15">
          <cell r="C15">
            <v>5970</v>
          </cell>
          <cell r="G15">
            <v>5202.9000000000005</v>
          </cell>
        </row>
        <row r="16">
          <cell r="C16">
            <v>5962</v>
          </cell>
          <cell r="G16">
            <v>4972.5</v>
          </cell>
        </row>
        <row r="17">
          <cell r="C17">
            <v>5958</v>
          </cell>
          <cell r="G17">
            <v>4420</v>
          </cell>
        </row>
        <row r="18">
          <cell r="C18">
            <v>5980</v>
          </cell>
          <cell r="G18">
            <v>3327</v>
          </cell>
        </row>
        <row r="19">
          <cell r="C19">
            <v>5982</v>
          </cell>
          <cell r="G19">
            <v>1109</v>
          </cell>
        </row>
        <row r="20">
          <cell r="C20">
            <v>5977</v>
          </cell>
          <cell r="G20">
            <v>1385</v>
          </cell>
        </row>
        <row r="21">
          <cell r="C21">
            <v>5977</v>
          </cell>
          <cell r="G21">
            <v>1939</v>
          </cell>
        </row>
        <row r="22">
          <cell r="C22">
            <v>5985</v>
          </cell>
          <cell r="G22">
            <v>1665</v>
          </cell>
        </row>
      </sheetData>
      <sheetData sheetId="2">
        <row r="21">
          <cell r="E21">
            <v>-66396.361000000004</v>
          </cell>
          <cell r="K21">
            <v>-49243.820999999996</v>
          </cell>
        </row>
      </sheetData>
      <sheetData sheetId="3" refreshError="1"/>
      <sheetData sheetId="4" refreshError="1"/>
      <sheetData sheetId="5">
        <row r="47">
          <cell r="I47">
            <v>0.95499999999999996</v>
          </cell>
        </row>
      </sheetData>
      <sheetData sheetId="6">
        <row r="47">
          <cell r="I47">
            <v>3.407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57"/>
  <sheetViews>
    <sheetView tabSelected="1" topLeftCell="A22" zoomScaleNormal="100" workbookViewId="0">
      <selection activeCell="D21" sqref="D21"/>
    </sheetView>
  </sheetViews>
  <sheetFormatPr defaultColWidth="8.85546875" defaultRowHeight="12.75" x14ac:dyDescent="0.2"/>
  <cols>
    <col min="1" max="1" width="40.28515625" style="115" customWidth="1"/>
    <col min="2" max="2" width="6.28515625" style="115" customWidth="1"/>
    <col min="3" max="3" width="12.42578125" style="115" customWidth="1"/>
    <col min="4" max="4" width="14.85546875" style="115" bestFit="1" customWidth="1"/>
    <col min="5" max="5" width="12.7109375" style="115" customWidth="1"/>
    <col min="6" max="6" width="10.5703125" style="115" bestFit="1" customWidth="1"/>
    <col min="7" max="7" width="40.28515625" style="115" customWidth="1"/>
    <col min="8" max="8" width="6.28515625" style="115" customWidth="1"/>
    <col min="9" max="9" width="12.42578125" style="115" customWidth="1"/>
    <col min="10" max="10" width="14.85546875" style="115" bestFit="1" customWidth="1"/>
    <col min="11" max="11" width="12.7109375" style="115" customWidth="1"/>
    <col min="12" max="12" width="10.5703125" style="115" bestFit="1" customWidth="1"/>
    <col min="13" max="13" width="40.28515625" style="115" customWidth="1"/>
    <col min="14" max="14" width="6.28515625" style="115" customWidth="1"/>
    <col min="15" max="15" width="12.42578125" style="115" customWidth="1"/>
    <col min="16" max="16" width="14.85546875" style="115" bestFit="1" customWidth="1"/>
    <col min="17" max="17" width="12.7109375" style="115" customWidth="1"/>
    <col min="18" max="18" width="10.5703125" style="115" bestFit="1" customWidth="1"/>
    <col min="19" max="19" width="40.28515625" style="115" customWidth="1"/>
    <col min="20" max="20" width="6.28515625" style="115" customWidth="1"/>
    <col min="21" max="21" width="12.42578125" style="115" customWidth="1"/>
    <col min="22" max="22" width="14.85546875" style="115" bestFit="1" customWidth="1"/>
    <col min="23" max="23" width="12.7109375" style="115" customWidth="1"/>
    <col min="24" max="24" width="10.5703125" style="115" bestFit="1" customWidth="1"/>
    <col min="25" max="25" width="40.28515625" style="115" customWidth="1"/>
    <col min="26" max="26" width="6.28515625" style="115" customWidth="1"/>
    <col min="27" max="27" width="12.42578125" style="115" customWidth="1"/>
    <col min="28" max="28" width="14.85546875" style="115" bestFit="1" customWidth="1"/>
    <col min="29" max="29" width="11.5703125" style="115" customWidth="1"/>
    <col min="30" max="30" width="10.5703125" style="115" bestFit="1" customWidth="1"/>
    <col min="31" max="31" width="40.28515625" style="115" customWidth="1"/>
    <col min="32" max="32" width="6.28515625" style="115" customWidth="1"/>
    <col min="33" max="33" width="12.42578125" style="115" customWidth="1"/>
    <col min="34" max="34" width="14.85546875" style="115" bestFit="1" customWidth="1"/>
    <col min="35" max="35" width="11.5703125" style="115" customWidth="1"/>
    <col min="36" max="36" width="10.5703125" style="115" bestFit="1" customWidth="1"/>
    <col min="37" max="37" width="51" style="115" customWidth="1"/>
    <col min="38" max="38" width="6.28515625" style="115" customWidth="1"/>
    <col min="39" max="39" width="12.42578125" style="115" customWidth="1"/>
    <col min="40" max="40" width="14.85546875" style="115" bestFit="1" customWidth="1"/>
    <col min="41" max="41" width="11.5703125" style="115" customWidth="1"/>
    <col min="42" max="42" width="10.5703125" style="115" bestFit="1" customWidth="1"/>
    <col min="43" max="43" width="11" style="159" customWidth="1"/>
    <col min="44" max="44" width="41.5703125" style="159" customWidth="1"/>
    <col min="45" max="45" width="10.42578125" style="159" bestFit="1" customWidth="1"/>
    <col min="46" max="46" width="13.42578125" style="159" customWidth="1"/>
    <col min="47" max="47" width="11" style="159" customWidth="1"/>
    <col min="48" max="48" width="11.85546875" style="159" customWidth="1"/>
    <col min="49" max="49" width="35.85546875" style="159" customWidth="1"/>
    <col min="50" max="50" width="8.85546875" style="159"/>
    <col min="51" max="51" width="24.140625" style="159" customWidth="1"/>
    <col min="52" max="52" width="11" style="159" bestFit="1" customWidth="1"/>
    <col min="53" max="53" width="10.5703125" style="159" bestFit="1" customWidth="1"/>
    <col min="54" max="54" width="10.42578125" style="159" customWidth="1"/>
    <col min="55" max="16384" width="8.85546875" style="115"/>
  </cols>
  <sheetData>
    <row r="1" spans="1:54" ht="19.5" customHeight="1" x14ac:dyDescent="0.4">
      <c r="A1" s="111" t="s">
        <v>99</v>
      </c>
      <c r="B1" s="112"/>
      <c r="C1" s="113"/>
      <c r="D1" s="113"/>
      <c r="E1" s="113"/>
      <c r="F1" s="114"/>
      <c r="G1" s="111" t="s">
        <v>99</v>
      </c>
      <c r="H1" s="112"/>
      <c r="I1" s="113"/>
      <c r="J1" s="113"/>
      <c r="K1" s="113"/>
      <c r="L1" s="114"/>
      <c r="M1" s="111" t="s">
        <v>99</v>
      </c>
      <c r="N1" s="112"/>
      <c r="O1" s="113"/>
      <c r="P1" s="113"/>
      <c r="Q1" s="113"/>
      <c r="R1" s="114"/>
      <c r="S1" s="111" t="s">
        <v>99</v>
      </c>
      <c r="T1" s="112"/>
      <c r="U1" s="113"/>
      <c r="V1" s="113"/>
      <c r="W1" s="113"/>
      <c r="X1" s="114"/>
      <c r="Y1" s="111" t="s">
        <v>99</v>
      </c>
      <c r="Z1" s="112"/>
      <c r="AA1" s="113"/>
      <c r="AB1" s="113"/>
      <c r="AC1" s="113"/>
      <c r="AD1" s="114"/>
      <c r="AE1" s="111" t="s">
        <v>99</v>
      </c>
      <c r="AF1" s="112"/>
      <c r="AG1" s="113"/>
      <c r="AH1" s="113"/>
      <c r="AI1" s="113"/>
      <c r="AJ1" s="114"/>
      <c r="AK1" s="111" t="s">
        <v>99</v>
      </c>
      <c r="AL1" s="112"/>
      <c r="AM1" s="113"/>
      <c r="AN1" s="113"/>
      <c r="AO1" s="113"/>
      <c r="AP1" s="113"/>
      <c r="AQ1" s="158"/>
      <c r="AR1" s="158"/>
      <c r="AW1" s="158"/>
      <c r="AX1" s="158"/>
    </row>
    <row r="2" spans="1:54" ht="18" x14ac:dyDescent="0.35">
      <c r="A2" s="116" t="s">
        <v>81</v>
      </c>
      <c r="B2" s="117"/>
      <c r="C2" s="118" t="s">
        <v>82</v>
      </c>
      <c r="D2" s="119"/>
      <c r="E2" s="119"/>
      <c r="F2" s="120"/>
      <c r="G2" s="116" t="s">
        <v>81</v>
      </c>
      <c r="H2" s="117"/>
      <c r="I2" s="118" t="s">
        <v>82</v>
      </c>
      <c r="J2" s="119"/>
      <c r="K2" s="119"/>
      <c r="L2" s="120"/>
      <c r="M2" s="116" t="s">
        <v>81</v>
      </c>
      <c r="N2" s="117"/>
      <c r="O2" s="118" t="s">
        <v>82</v>
      </c>
      <c r="P2" s="119"/>
      <c r="Q2" s="119"/>
      <c r="R2" s="120"/>
      <c r="S2" s="116" t="s">
        <v>81</v>
      </c>
      <c r="T2" s="117"/>
      <c r="U2" s="118" t="s">
        <v>82</v>
      </c>
      <c r="V2" s="119"/>
      <c r="W2" s="119"/>
      <c r="X2" s="120"/>
      <c r="Y2" s="116" t="s">
        <v>81</v>
      </c>
      <c r="Z2" s="117"/>
      <c r="AA2" s="118" t="s">
        <v>82</v>
      </c>
      <c r="AB2" s="119"/>
      <c r="AC2" s="119"/>
      <c r="AD2" s="120"/>
      <c r="AE2" s="116" t="s">
        <v>81</v>
      </c>
      <c r="AF2" s="117"/>
      <c r="AG2" s="118" t="s">
        <v>82</v>
      </c>
      <c r="AH2" s="119"/>
      <c r="AI2" s="119"/>
      <c r="AJ2" s="120"/>
      <c r="AK2" s="116" t="s">
        <v>81</v>
      </c>
      <c r="AL2" s="117"/>
      <c r="AM2" s="118" t="s">
        <v>82</v>
      </c>
      <c r="AN2" s="119"/>
      <c r="AO2" s="119"/>
      <c r="AP2" s="119"/>
      <c r="AQ2" s="160"/>
      <c r="AR2" s="160"/>
      <c r="AS2" s="161"/>
      <c r="AW2" s="160"/>
      <c r="AX2" s="160"/>
      <c r="AY2" s="161"/>
    </row>
    <row r="3" spans="1:54" x14ac:dyDescent="0.2">
      <c r="A3" s="121"/>
      <c r="B3" s="122"/>
      <c r="C3" s="119"/>
      <c r="D3" s="119"/>
      <c r="E3" s="119"/>
      <c r="F3" s="120"/>
      <c r="G3" s="121"/>
      <c r="H3" s="122"/>
      <c r="I3" s="119"/>
      <c r="J3" s="119"/>
      <c r="K3" s="119"/>
      <c r="L3" s="120"/>
      <c r="M3" s="121"/>
      <c r="N3" s="122"/>
      <c r="O3" s="119"/>
      <c r="P3" s="119"/>
      <c r="Q3" s="119"/>
      <c r="R3" s="120"/>
      <c r="S3" s="121"/>
      <c r="T3" s="122"/>
      <c r="U3" s="119"/>
      <c r="V3" s="119"/>
      <c r="W3" s="119"/>
      <c r="X3" s="120"/>
      <c r="Y3" s="121" t="s">
        <v>128</v>
      </c>
      <c r="Z3" s="122"/>
      <c r="AA3" s="119"/>
      <c r="AB3" s="119"/>
      <c r="AC3" s="119"/>
      <c r="AD3" s="120"/>
      <c r="AE3" s="121" t="s">
        <v>100</v>
      </c>
      <c r="AF3" s="122"/>
      <c r="AG3" s="119"/>
      <c r="AH3" s="119"/>
      <c r="AI3" s="119"/>
      <c r="AJ3" s="120"/>
      <c r="AK3" s="121" t="s">
        <v>104</v>
      </c>
      <c r="AL3" s="122"/>
      <c r="AM3" s="119"/>
      <c r="AN3" s="119"/>
      <c r="AO3" s="119"/>
      <c r="AP3" s="119"/>
      <c r="AQ3" s="162"/>
      <c r="AR3" s="162"/>
      <c r="AW3" s="162"/>
      <c r="AX3" s="162"/>
    </row>
    <row r="4" spans="1:54" ht="20.25" x14ac:dyDescent="0.3">
      <c r="A4" s="249" t="s">
        <v>179</v>
      </c>
      <c r="B4" s="250"/>
      <c r="C4" s="250"/>
      <c r="D4" s="250"/>
      <c r="E4" s="250"/>
      <c r="F4" s="251"/>
      <c r="G4" s="249" t="s">
        <v>194</v>
      </c>
      <c r="H4" s="250"/>
      <c r="I4" s="250"/>
      <c r="J4" s="250"/>
      <c r="K4" s="250"/>
      <c r="L4" s="251"/>
      <c r="M4" s="249" t="s">
        <v>157</v>
      </c>
      <c r="N4" s="250"/>
      <c r="O4" s="250"/>
      <c r="P4" s="250"/>
      <c r="Q4" s="250"/>
      <c r="R4" s="251"/>
      <c r="S4" s="249" t="s">
        <v>143</v>
      </c>
      <c r="T4" s="250"/>
      <c r="U4" s="250"/>
      <c r="V4" s="250"/>
      <c r="W4" s="250"/>
      <c r="X4" s="251"/>
      <c r="Y4" s="249" t="s">
        <v>108</v>
      </c>
      <c r="Z4" s="250"/>
      <c r="AA4" s="250"/>
      <c r="AB4" s="250"/>
      <c r="AC4" s="250"/>
      <c r="AD4" s="251"/>
      <c r="AE4" s="249" t="s">
        <v>83</v>
      </c>
      <c r="AF4" s="250"/>
      <c r="AG4" s="250"/>
      <c r="AH4" s="250"/>
      <c r="AI4" s="250"/>
      <c r="AJ4" s="251"/>
      <c r="AK4" s="249" t="s">
        <v>84</v>
      </c>
      <c r="AL4" s="250"/>
      <c r="AM4" s="250"/>
      <c r="AN4" s="250"/>
      <c r="AO4" s="250"/>
      <c r="AP4" s="251"/>
      <c r="AR4" s="163"/>
      <c r="AS4" s="163"/>
      <c r="AT4" s="163"/>
      <c r="AU4" s="163"/>
      <c r="AX4" s="163"/>
      <c r="AY4" s="163"/>
      <c r="AZ4" s="163"/>
      <c r="BA4" s="163"/>
    </row>
    <row r="5" spans="1:54" x14ac:dyDescent="0.2">
      <c r="A5" s="123"/>
      <c r="B5" s="119"/>
      <c r="C5" s="119"/>
      <c r="D5" s="119"/>
      <c r="E5" s="119"/>
      <c r="F5" s="120"/>
      <c r="G5" s="123"/>
      <c r="H5" s="119"/>
      <c r="I5" s="119"/>
      <c r="J5" s="119"/>
      <c r="K5" s="119"/>
      <c r="L5" s="120"/>
      <c r="M5" s="123"/>
      <c r="N5" s="119"/>
      <c r="O5" s="119"/>
      <c r="P5" s="119"/>
      <c r="Q5" s="119"/>
      <c r="R5" s="120"/>
      <c r="S5" s="123"/>
      <c r="T5" s="119"/>
      <c r="U5" s="119"/>
      <c r="V5" s="119"/>
      <c r="W5" s="119"/>
      <c r="X5" s="120"/>
      <c r="Y5" s="123"/>
      <c r="Z5" s="119"/>
      <c r="AA5" s="119"/>
      <c r="AB5" s="119"/>
      <c r="AC5" s="119"/>
      <c r="AD5" s="120"/>
      <c r="AE5" s="123"/>
      <c r="AF5" s="119"/>
      <c r="AG5" s="119"/>
      <c r="AH5" s="119"/>
      <c r="AI5" s="119"/>
      <c r="AJ5" s="120"/>
      <c r="AK5" s="123"/>
      <c r="AL5" s="119"/>
      <c r="AM5" s="119"/>
      <c r="AN5" s="119"/>
      <c r="AO5" s="119"/>
      <c r="AP5" s="119"/>
    </row>
    <row r="6" spans="1:54" ht="19.5" x14ac:dyDescent="0.4">
      <c r="A6" s="252" t="s">
        <v>85</v>
      </c>
      <c r="B6" s="253"/>
      <c r="C6" s="253"/>
      <c r="D6" s="253"/>
      <c r="E6" s="253"/>
      <c r="F6" s="254"/>
      <c r="G6" s="252" t="s">
        <v>85</v>
      </c>
      <c r="H6" s="253"/>
      <c r="I6" s="253"/>
      <c r="J6" s="253"/>
      <c r="K6" s="253"/>
      <c r="L6" s="254"/>
      <c r="M6" s="252" t="s">
        <v>85</v>
      </c>
      <c r="N6" s="253"/>
      <c r="O6" s="253"/>
      <c r="P6" s="253"/>
      <c r="Q6" s="253"/>
      <c r="R6" s="254"/>
      <c r="S6" s="252" t="s">
        <v>85</v>
      </c>
      <c r="T6" s="253"/>
      <c r="U6" s="253"/>
      <c r="V6" s="253"/>
      <c r="W6" s="253"/>
      <c r="X6" s="254"/>
      <c r="Y6" s="252" t="s">
        <v>85</v>
      </c>
      <c r="Z6" s="253"/>
      <c r="AA6" s="253"/>
      <c r="AB6" s="253"/>
      <c r="AC6" s="253"/>
      <c r="AD6" s="254"/>
      <c r="AE6" s="252" t="s">
        <v>85</v>
      </c>
      <c r="AF6" s="253"/>
      <c r="AG6" s="253"/>
      <c r="AH6" s="253"/>
      <c r="AI6" s="253"/>
      <c r="AJ6" s="254"/>
      <c r="AK6" s="252" t="s">
        <v>85</v>
      </c>
      <c r="AL6" s="253"/>
      <c r="AM6" s="253"/>
      <c r="AN6" s="253"/>
      <c r="AO6" s="253"/>
      <c r="AP6" s="254"/>
      <c r="AQ6" s="164"/>
      <c r="AR6" s="164"/>
      <c r="AS6" s="164"/>
      <c r="AT6" s="164"/>
      <c r="AU6" s="164"/>
      <c r="AV6" s="164"/>
      <c r="AW6" s="164"/>
      <c r="AX6" s="164"/>
      <c r="AY6" s="164"/>
      <c r="AZ6" s="164"/>
      <c r="BA6" s="164"/>
      <c r="BB6" s="164"/>
    </row>
    <row r="7" spans="1:54" x14ac:dyDescent="0.2">
      <c r="A7" s="123"/>
      <c r="B7" s="119"/>
      <c r="C7" s="119"/>
      <c r="D7" s="119"/>
      <c r="E7" s="119"/>
      <c r="F7" s="120"/>
      <c r="G7" s="123"/>
      <c r="H7" s="119"/>
      <c r="I7" s="119"/>
      <c r="J7" s="119"/>
      <c r="K7" s="119"/>
      <c r="L7" s="120"/>
      <c r="M7" s="123"/>
      <c r="N7" s="119"/>
      <c r="O7" s="119"/>
      <c r="P7" s="119"/>
      <c r="Q7" s="119"/>
      <c r="R7" s="120"/>
      <c r="S7" s="123"/>
      <c r="T7" s="119"/>
      <c r="U7" s="119"/>
      <c r="V7" s="119"/>
      <c r="W7" s="119"/>
      <c r="X7" s="120"/>
      <c r="Y7" s="123"/>
      <c r="Z7" s="119"/>
      <c r="AA7" s="119"/>
      <c r="AB7" s="119"/>
      <c r="AC7" s="119"/>
      <c r="AD7" s="120"/>
      <c r="AE7" s="123"/>
      <c r="AF7" s="119"/>
      <c r="AG7" s="119"/>
      <c r="AH7" s="119"/>
      <c r="AI7" s="119"/>
      <c r="AJ7" s="120"/>
      <c r="AK7" s="123"/>
      <c r="AL7" s="119"/>
      <c r="AM7" s="119"/>
      <c r="AN7" s="119"/>
      <c r="AO7" s="119"/>
      <c r="AP7" s="119"/>
    </row>
    <row r="8" spans="1:54" x14ac:dyDescent="0.2">
      <c r="A8" s="123"/>
      <c r="B8" s="119"/>
      <c r="C8" s="124"/>
      <c r="D8" s="124" t="s">
        <v>86</v>
      </c>
      <c r="E8" s="124" t="s">
        <v>87</v>
      </c>
      <c r="F8" s="120"/>
      <c r="G8" s="123"/>
      <c r="H8" s="119"/>
      <c r="I8" s="124"/>
      <c r="J8" s="124" t="s">
        <v>86</v>
      </c>
      <c r="K8" s="124" t="s">
        <v>87</v>
      </c>
      <c r="L8" s="120"/>
      <c r="M8" s="123"/>
      <c r="N8" s="119"/>
      <c r="O8" s="124"/>
      <c r="P8" s="124" t="s">
        <v>86</v>
      </c>
      <c r="Q8" s="124" t="s">
        <v>87</v>
      </c>
      <c r="R8" s="120"/>
      <c r="S8" s="123"/>
      <c r="T8" s="119"/>
      <c r="U8" s="124"/>
      <c r="V8" s="124" t="s">
        <v>86</v>
      </c>
      <c r="W8" s="124" t="s">
        <v>87</v>
      </c>
      <c r="X8" s="120"/>
      <c r="Y8" s="123"/>
      <c r="Z8" s="119"/>
      <c r="AA8" s="124"/>
      <c r="AB8" s="124" t="s">
        <v>86</v>
      </c>
      <c r="AC8" s="124" t="s">
        <v>87</v>
      </c>
      <c r="AD8" s="120"/>
      <c r="AE8" s="123"/>
      <c r="AF8" s="119"/>
      <c r="AG8" s="124"/>
      <c r="AH8" s="124" t="s">
        <v>86</v>
      </c>
      <c r="AI8" s="124" t="s">
        <v>87</v>
      </c>
      <c r="AJ8" s="120"/>
      <c r="AK8" s="123"/>
      <c r="AL8" s="119"/>
      <c r="AM8" s="124"/>
      <c r="AN8" s="124" t="s">
        <v>86</v>
      </c>
      <c r="AO8" s="124" t="s">
        <v>87</v>
      </c>
      <c r="AP8" s="119"/>
      <c r="AS8" s="165"/>
      <c r="AT8" s="165"/>
      <c r="AU8" s="165"/>
      <c r="AY8" s="165"/>
      <c r="AZ8" s="165"/>
      <c r="BA8" s="165"/>
    </row>
    <row r="9" spans="1:54" x14ac:dyDescent="0.2">
      <c r="A9" s="123"/>
      <c r="B9" s="119"/>
      <c r="C9" s="125" t="s">
        <v>19</v>
      </c>
      <c r="D9" s="125" t="s">
        <v>88</v>
      </c>
      <c r="E9" s="125" t="s">
        <v>89</v>
      </c>
      <c r="F9" s="120"/>
      <c r="G9" s="123"/>
      <c r="H9" s="119"/>
      <c r="I9" s="125" t="s">
        <v>19</v>
      </c>
      <c r="J9" s="125" t="s">
        <v>88</v>
      </c>
      <c r="K9" s="125" t="s">
        <v>89</v>
      </c>
      <c r="L9" s="120"/>
      <c r="M9" s="123"/>
      <c r="N9" s="119"/>
      <c r="O9" s="125" t="s">
        <v>19</v>
      </c>
      <c r="P9" s="125" t="s">
        <v>88</v>
      </c>
      <c r="Q9" s="125" t="s">
        <v>89</v>
      </c>
      <c r="R9" s="120"/>
      <c r="S9" s="123"/>
      <c r="T9" s="119"/>
      <c r="U9" s="125" t="s">
        <v>19</v>
      </c>
      <c r="V9" s="125" t="s">
        <v>88</v>
      </c>
      <c r="W9" s="125" t="s">
        <v>89</v>
      </c>
      <c r="X9" s="120"/>
      <c r="Y9" s="123"/>
      <c r="Z9" s="119"/>
      <c r="AA9" s="125" t="s">
        <v>19</v>
      </c>
      <c r="AB9" s="125" t="s">
        <v>88</v>
      </c>
      <c r="AC9" s="125" t="s">
        <v>89</v>
      </c>
      <c r="AD9" s="120"/>
      <c r="AE9" s="123"/>
      <c r="AF9" s="119"/>
      <c r="AG9" s="125" t="s">
        <v>19</v>
      </c>
      <c r="AH9" s="125" t="s">
        <v>88</v>
      </c>
      <c r="AI9" s="125" t="s">
        <v>89</v>
      </c>
      <c r="AJ9" s="120"/>
      <c r="AK9" s="123"/>
      <c r="AL9" s="119"/>
      <c r="AM9" s="125" t="s">
        <v>19</v>
      </c>
      <c r="AN9" s="125" t="s">
        <v>88</v>
      </c>
      <c r="AO9" s="125" t="s">
        <v>89</v>
      </c>
      <c r="AP9" s="119"/>
      <c r="AS9" s="166"/>
      <c r="AT9" s="166"/>
      <c r="AU9" s="166"/>
      <c r="AY9" s="166"/>
      <c r="AZ9" s="166"/>
      <c r="BA9" s="166"/>
    </row>
    <row r="10" spans="1:54" ht="16.5" x14ac:dyDescent="0.35">
      <c r="A10" s="126" t="s">
        <v>215</v>
      </c>
      <c r="B10" s="127"/>
      <c r="C10" s="128"/>
      <c r="D10" s="128"/>
      <c r="E10" s="128"/>
      <c r="F10" s="120"/>
      <c r="G10" s="126" t="s">
        <v>103</v>
      </c>
      <c r="H10" s="127"/>
      <c r="I10" s="128"/>
      <c r="J10" s="128"/>
      <c r="K10" s="128"/>
      <c r="L10" s="120"/>
      <c r="M10" s="126" t="s">
        <v>158</v>
      </c>
      <c r="N10" s="127"/>
      <c r="O10" s="128"/>
      <c r="P10" s="128"/>
      <c r="Q10" s="128"/>
      <c r="R10" s="120"/>
      <c r="S10" s="126" t="s">
        <v>142</v>
      </c>
      <c r="T10" s="127"/>
      <c r="U10" s="128"/>
      <c r="V10" s="128"/>
      <c r="W10" s="128"/>
      <c r="X10" s="120"/>
      <c r="Y10" s="126" t="s">
        <v>106</v>
      </c>
      <c r="Z10" s="127"/>
      <c r="AA10" s="128"/>
      <c r="AB10" s="128"/>
      <c r="AC10" s="128"/>
      <c r="AD10" s="120"/>
      <c r="AE10" s="126" t="s">
        <v>101</v>
      </c>
      <c r="AF10" s="127"/>
      <c r="AG10" s="128"/>
      <c r="AH10" s="128"/>
      <c r="AI10" s="128"/>
      <c r="AJ10" s="120"/>
      <c r="AK10" s="126" t="s">
        <v>105</v>
      </c>
      <c r="AL10" s="127"/>
      <c r="AM10" s="128"/>
      <c r="AN10" s="128"/>
      <c r="AO10" s="128"/>
      <c r="AP10" s="119"/>
      <c r="AQ10" s="167"/>
      <c r="AR10" s="167"/>
      <c r="AS10" s="168"/>
      <c r="AT10" s="168"/>
      <c r="AU10" s="168"/>
      <c r="AW10" s="167"/>
      <c r="AX10" s="167"/>
      <c r="AY10" s="168"/>
      <c r="AZ10" s="168"/>
      <c r="BA10" s="168"/>
    </row>
    <row r="11" spans="1:54" x14ac:dyDescent="0.2">
      <c r="A11" s="123" t="s">
        <v>216</v>
      </c>
      <c r="B11" s="119"/>
      <c r="C11" s="214">
        <f>SUM('Calcs revised method'!D10:K10)</f>
        <v>51809</v>
      </c>
      <c r="D11" s="130">
        <f>+R25</f>
        <v>-0.34148278588060693</v>
      </c>
      <c r="E11" s="129">
        <f>C11*D11</f>
        <v>-17691.881653688364</v>
      </c>
      <c r="F11" s="120"/>
      <c r="G11" s="123" t="s">
        <v>102</v>
      </c>
      <c r="H11" s="119"/>
      <c r="I11" s="214">
        <f>SUM('Single Family 2017'!C11:C14)</f>
        <v>19133</v>
      </c>
      <c r="J11" s="130">
        <f>+P12</f>
        <v>3.2608111015529669E-6</v>
      </c>
      <c r="K11" s="129">
        <f>I11*J11</f>
        <v>6.2389098806012913E-2</v>
      </c>
      <c r="L11" s="120"/>
      <c r="M11" s="123" t="s">
        <v>102</v>
      </c>
      <c r="N11" s="119"/>
      <c r="O11" s="148">
        <f>SUM('Single Family 2016'!C11:C13)</f>
        <v>18732</v>
      </c>
      <c r="P11" s="130">
        <f>+V12</f>
        <v>0</v>
      </c>
      <c r="Q11" s="129">
        <f>O11*P11</f>
        <v>0</v>
      </c>
      <c r="R11" s="120"/>
      <c r="S11" s="123" t="s">
        <v>102</v>
      </c>
      <c r="T11" s="119"/>
      <c r="U11" s="148">
        <f>SUM('Single Family 2015'!C11:C13)</f>
        <v>18436</v>
      </c>
      <c r="V11" s="130">
        <f>+AB12</f>
        <v>0.21338643626955908</v>
      </c>
      <c r="W11" s="129">
        <f>U11*V11</f>
        <v>3933.9923390655913</v>
      </c>
      <c r="X11" s="120"/>
      <c r="Y11" s="123" t="s">
        <v>102</v>
      </c>
      <c r="Z11" s="119"/>
      <c r="AA11" s="148">
        <f>SUM('Single Family 2014'!C11:C13)</f>
        <v>18251</v>
      </c>
      <c r="AB11" s="130">
        <f>AH12</f>
        <v>0.61139122054777306</v>
      </c>
      <c r="AC11" s="129">
        <f>AA11*AB11</f>
        <v>11158.501166217406</v>
      </c>
      <c r="AD11" s="120"/>
      <c r="AE11" s="123" t="s">
        <v>102</v>
      </c>
      <c r="AF11" s="119"/>
      <c r="AG11" s="129">
        <f>SUM('Curbside Year 2013'!C11:C13)</f>
        <v>17773</v>
      </c>
      <c r="AH11" s="130">
        <f>AN12</f>
        <v>0.95499999999999996</v>
      </c>
      <c r="AI11" s="129">
        <f>AG11*AH11</f>
        <v>16973.215</v>
      </c>
      <c r="AJ11" s="120"/>
      <c r="AK11" s="123" t="s">
        <v>102</v>
      </c>
      <c r="AL11" s="119"/>
      <c r="AM11" s="129">
        <f>SUM('[1]BI Curbside 2012'!$C$11:$C$13)</f>
        <v>17844</v>
      </c>
      <c r="AN11" s="130">
        <v>0.84399999999999997</v>
      </c>
      <c r="AO11" s="129">
        <f>AM11*AN11</f>
        <v>15060.335999999999</v>
      </c>
      <c r="AP11" s="119"/>
      <c r="AS11" s="169"/>
      <c r="AT11" s="170"/>
      <c r="AU11" s="169"/>
      <c r="AY11" s="169"/>
      <c r="AZ11" s="170"/>
      <c r="BA11" s="169"/>
    </row>
    <row r="12" spans="1:54" ht="15" x14ac:dyDescent="0.35">
      <c r="A12" s="131" t="s">
        <v>217</v>
      </c>
      <c r="B12" s="132"/>
      <c r="C12" s="215">
        <f>SUM('Calcs revised method'!L10:O10)</f>
        <v>26143</v>
      </c>
      <c r="D12" s="130">
        <f>+L25</f>
        <v>-0.99213520252657161</v>
      </c>
      <c r="E12" s="133">
        <f>C12*D12</f>
        <v>-25937.390599652161</v>
      </c>
      <c r="F12" s="120"/>
      <c r="G12" s="131" t="s">
        <v>103</v>
      </c>
      <c r="H12" s="132"/>
      <c r="I12" s="215">
        <f>SUM('Single Family 2017'!C15:C23)</f>
        <v>57833</v>
      </c>
      <c r="J12" s="130">
        <f>+R25</f>
        <v>-0.34148278588060693</v>
      </c>
      <c r="K12" s="133">
        <f>I12*J12</f>
        <v>-19748.973955833142</v>
      </c>
      <c r="L12" s="120"/>
      <c r="M12" s="131" t="s">
        <v>103</v>
      </c>
      <c r="N12" s="132"/>
      <c r="O12" s="149">
        <f>SUM('Single Family 2016'!C14:C22)</f>
        <v>56854</v>
      </c>
      <c r="P12" s="130">
        <f>+X25</f>
        <v>3.2608111015529669E-6</v>
      </c>
      <c r="Q12" s="133">
        <f>O12*P12</f>
        <v>0.18539015436769238</v>
      </c>
      <c r="R12" s="120"/>
      <c r="S12" s="131" t="s">
        <v>103</v>
      </c>
      <c r="T12" s="132"/>
      <c r="U12" s="149">
        <f>SUM('Single Family 2015'!C14:C22)</f>
        <v>55932</v>
      </c>
      <c r="V12" s="130">
        <f>+AD25</f>
        <v>0</v>
      </c>
      <c r="W12" s="133">
        <f>U12*V12</f>
        <v>0</v>
      </c>
      <c r="X12" s="120"/>
      <c r="Y12" s="131" t="s">
        <v>103</v>
      </c>
      <c r="Z12" s="132"/>
      <c r="AA12" s="149">
        <f>SUM('Single Family 2014'!C14:C22)</f>
        <v>55202</v>
      </c>
      <c r="AB12" s="130">
        <f>AJ25</f>
        <v>0.21338643626955908</v>
      </c>
      <c r="AC12" s="133">
        <f>AA12*AB12</f>
        <v>11779.358054952201</v>
      </c>
      <c r="AD12" s="120"/>
      <c r="AE12" s="131" t="s">
        <v>103</v>
      </c>
      <c r="AF12" s="132"/>
      <c r="AG12" s="133">
        <f>SUM('Curbside Year 2013'!C14:C22)</f>
        <v>54508</v>
      </c>
      <c r="AH12" s="130">
        <f>AP25</f>
        <v>0.61139122054777306</v>
      </c>
      <c r="AI12" s="133">
        <f>AG12*AH12</f>
        <v>33325.712649618014</v>
      </c>
      <c r="AJ12" s="120"/>
      <c r="AK12" s="131" t="s">
        <v>103</v>
      </c>
      <c r="AL12" s="132"/>
      <c r="AM12" s="133">
        <f>SUM('[1]BI Curbside 2012'!$C$14:$C$22)</f>
        <v>53755</v>
      </c>
      <c r="AN12" s="130">
        <v>0.95499999999999996</v>
      </c>
      <c r="AO12" s="133">
        <f>AM12*AN12</f>
        <v>51336.025000000001</v>
      </c>
      <c r="AP12" s="119"/>
      <c r="AQ12" s="171"/>
      <c r="AR12" s="172"/>
      <c r="AS12" s="173"/>
      <c r="AT12" s="170"/>
      <c r="AU12" s="173"/>
      <c r="AW12" s="171"/>
      <c r="AX12" s="172"/>
      <c r="AY12" s="173"/>
      <c r="AZ12" s="170"/>
      <c r="BA12" s="173"/>
    </row>
    <row r="13" spans="1:54" x14ac:dyDescent="0.2">
      <c r="A13" s="123" t="s">
        <v>87</v>
      </c>
      <c r="B13" s="119"/>
      <c r="C13" s="129">
        <f>SUM(C11:C12)</f>
        <v>77952</v>
      </c>
      <c r="D13" s="119"/>
      <c r="E13" s="129">
        <f>SUM(E11:E12)</f>
        <v>-43629.272253340525</v>
      </c>
      <c r="F13" s="120"/>
      <c r="G13" s="123" t="s">
        <v>87</v>
      </c>
      <c r="H13" s="119"/>
      <c r="I13" s="129">
        <f>SUM(I11:I12)</f>
        <v>76966</v>
      </c>
      <c r="J13" s="119"/>
      <c r="K13" s="129">
        <f>SUM(K11:K12)</f>
        <v>-19748.911566734336</v>
      </c>
      <c r="L13" s="120"/>
      <c r="M13" s="123" t="s">
        <v>87</v>
      </c>
      <c r="N13" s="119"/>
      <c r="O13" s="129">
        <f>SUM(O11:O12)</f>
        <v>75586</v>
      </c>
      <c r="P13" s="119"/>
      <c r="Q13" s="129">
        <f>SUM(Q11:Q12)</f>
        <v>0.18539015436769238</v>
      </c>
      <c r="R13" s="120"/>
      <c r="S13" s="123" t="s">
        <v>87</v>
      </c>
      <c r="T13" s="119"/>
      <c r="U13" s="129">
        <f>SUM(U11:U12)</f>
        <v>74368</v>
      </c>
      <c r="V13" s="119"/>
      <c r="W13" s="129">
        <f>SUM(W11:W12)</f>
        <v>3933.9923390655913</v>
      </c>
      <c r="X13" s="120"/>
      <c r="Y13" s="123" t="s">
        <v>87</v>
      </c>
      <c r="Z13" s="119"/>
      <c r="AA13" s="129">
        <f>SUM(AA11:AA12)</f>
        <v>73453</v>
      </c>
      <c r="AB13" s="119"/>
      <c r="AC13" s="129">
        <f>SUM(AC11:AC12)</f>
        <v>22937.859221169609</v>
      </c>
      <c r="AD13" s="120"/>
      <c r="AE13" s="123" t="s">
        <v>87</v>
      </c>
      <c r="AF13" s="119"/>
      <c r="AG13" s="129">
        <f>SUM(AG11:AG12)</f>
        <v>72281</v>
      </c>
      <c r="AH13" s="119"/>
      <c r="AI13" s="129">
        <f>SUM(AI11:AI12)</f>
        <v>50298.92764961801</v>
      </c>
      <c r="AJ13" s="120"/>
      <c r="AK13" s="123" t="s">
        <v>87</v>
      </c>
      <c r="AL13" s="119"/>
      <c r="AM13" s="129">
        <f>SUM(AM11:AM12)</f>
        <v>71599</v>
      </c>
      <c r="AN13" s="119"/>
      <c r="AO13" s="129">
        <f>SUM(AO11:AO12)</f>
        <v>66396.361000000004</v>
      </c>
      <c r="AP13" s="119"/>
      <c r="AS13" s="169"/>
      <c r="AU13" s="169"/>
      <c r="AY13" s="169"/>
      <c r="BA13" s="169"/>
    </row>
    <row r="14" spans="1:54" x14ac:dyDescent="0.2">
      <c r="A14" s="123"/>
      <c r="B14" s="119"/>
      <c r="C14" s="119"/>
      <c r="D14" s="119"/>
      <c r="E14" s="119"/>
      <c r="F14" s="120"/>
      <c r="G14" s="123"/>
      <c r="H14" s="119"/>
      <c r="I14" s="119"/>
      <c r="J14" s="119"/>
      <c r="K14" s="119"/>
      <c r="L14" s="120"/>
      <c r="M14" s="123"/>
      <c r="N14" s="119"/>
      <c r="O14" s="119"/>
      <c r="P14" s="119"/>
      <c r="Q14" s="119"/>
      <c r="R14" s="120"/>
      <c r="S14" s="123"/>
      <c r="T14" s="119"/>
      <c r="U14" s="119"/>
      <c r="V14" s="119"/>
      <c r="W14" s="119"/>
      <c r="X14" s="120"/>
      <c r="Y14" s="123"/>
      <c r="Z14" s="119"/>
      <c r="AA14" s="119"/>
      <c r="AB14" s="119"/>
      <c r="AC14" s="119"/>
      <c r="AD14" s="120"/>
      <c r="AE14" s="123"/>
      <c r="AF14" s="119"/>
      <c r="AG14" s="119"/>
      <c r="AH14" s="119"/>
      <c r="AI14" s="119"/>
      <c r="AJ14" s="120"/>
      <c r="AK14" s="123"/>
      <c r="AL14" s="119"/>
      <c r="AM14" s="119"/>
      <c r="AN14" s="119"/>
      <c r="AO14" s="119"/>
      <c r="AP14" s="119"/>
    </row>
    <row r="15" spans="1:54" x14ac:dyDescent="0.2">
      <c r="A15" s="123" t="s">
        <v>90</v>
      </c>
      <c r="B15" s="119"/>
      <c r="C15" s="119"/>
      <c r="D15" s="119"/>
      <c r="E15" s="214">
        <f>'Calcs revised method'!P20</f>
        <v>-208839.2643630539</v>
      </c>
      <c r="F15" s="120"/>
      <c r="G15" s="123" t="s">
        <v>90</v>
      </c>
      <c r="H15" s="119"/>
      <c r="I15" s="119"/>
      <c r="J15" s="119"/>
      <c r="K15" s="214">
        <f>+'Single Family 2017'!G28+'Multi-Family 2017'!F30</f>
        <v>-43594.848195320221</v>
      </c>
      <c r="L15" s="120"/>
      <c r="M15" s="123" t="s">
        <v>90</v>
      </c>
      <c r="N15" s="119"/>
      <c r="O15" s="119"/>
      <c r="P15" s="119"/>
      <c r="Q15" s="148">
        <f>+'Single Family 2016'!G23+'Multi-Family 2016'!F27</f>
        <v>-25811.317853571556</v>
      </c>
      <c r="R15" s="120"/>
      <c r="S15" s="123" t="s">
        <v>90</v>
      </c>
      <c r="T15" s="119"/>
      <c r="U15" s="119"/>
      <c r="V15" s="119"/>
      <c r="W15" s="148">
        <f>+'Single Family 2015'!G23</f>
        <v>-36701.7575</v>
      </c>
      <c r="X15" s="120"/>
      <c r="Y15" s="123" t="s">
        <v>90</v>
      </c>
      <c r="Z15" s="119"/>
      <c r="AA15" s="119"/>
      <c r="AB15" s="119"/>
      <c r="AC15" s="148">
        <v>0</v>
      </c>
      <c r="AD15" s="120"/>
      <c r="AE15" s="123" t="s">
        <v>90</v>
      </c>
      <c r="AF15" s="119"/>
      <c r="AG15" s="119"/>
      <c r="AH15" s="119"/>
      <c r="AI15" s="129">
        <f>'Curbside Year 2013'!G23</f>
        <v>15423.785</v>
      </c>
      <c r="AJ15" s="120"/>
      <c r="AK15" s="123" t="s">
        <v>90</v>
      </c>
      <c r="AL15" s="119"/>
      <c r="AM15" s="119"/>
      <c r="AN15" s="119"/>
      <c r="AO15" s="129">
        <f>'[1]BI Curbside 2012'!$G$23</f>
        <v>43775</v>
      </c>
      <c r="AP15" s="119"/>
      <c r="AQ15" s="160"/>
      <c r="AU15" s="169"/>
      <c r="AW15" s="160"/>
      <c r="BA15" s="169"/>
    </row>
    <row r="16" spans="1:54" x14ac:dyDescent="0.2">
      <c r="A16" s="123"/>
      <c r="B16" s="119"/>
      <c r="C16" s="119"/>
      <c r="D16" s="119"/>
      <c r="E16" s="119"/>
      <c r="F16" s="120"/>
      <c r="G16" s="123"/>
      <c r="H16" s="119"/>
      <c r="I16" s="119"/>
      <c r="J16" s="119"/>
      <c r="K16" s="119"/>
      <c r="L16" s="120"/>
      <c r="M16" s="123"/>
      <c r="N16" s="119"/>
      <c r="O16" s="119"/>
      <c r="P16" s="119"/>
      <c r="Q16" s="119"/>
      <c r="R16" s="120"/>
      <c r="S16" s="123" t="s">
        <v>162</v>
      </c>
      <c r="T16" s="119"/>
      <c r="U16" s="119"/>
      <c r="V16" s="119"/>
      <c r="W16" s="148">
        <v>36702</v>
      </c>
      <c r="X16" s="120"/>
      <c r="Y16" s="123"/>
      <c r="Z16" s="119"/>
      <c r="AA16" s="119"/>
      <c r="AB16" s="119"/>
      <c r="AC16" s="119"/>
      <c r="AD16" s="120"/>
      <c r="AE16" s="123"/>
      <c r="AF16" s="119"/>
      <c r="AG16" s="119"/>
      <c r="AH16" s="119"/>
      <c r="AI16" s="119"/>
      <c r="AJ16" s="120"/>
      <c r="AK16" s="123"/>
      <c r="AL16" s="119"/>
      <c r="AM16" s="119"/>
      <c r="AN16" s="119"/>
      <c r="AO16" s="119"/>
      <c r="AP16" s="119"/>
    </row>
    <row r="17" spans="1:54" x14ac:dyDescent="0.2">
      <c r="A17" s="123" t="s">
        <v>91</v>
      </c>
      <c r="B17" s="119"/>
      <c r="C17" s="119"/>
      <c r="D17" s="119"/>
      <c r="E17" s="129">
        <f>E15-E13</f>
        <v>-165209.99210971338</v>
      </c>
      <c r="F17" s="120"/>
      <c r="G17" s="123" t="s">
        <v>91</v>
      </c>
      <c r="H17" s="119"/>
      <c r="I17" s="119"/>
      <c r="J17" s="119"/>
      <c r="K17" s="129">
        <f>K15-K13</f>
        <v>-23845.936628585885</v>
      </c>
      <c r="L17" s="120"/>
      <c r="M17" s="123" t="s">
        <v>91</v>
      </c>
      <c r="N17" s="119"/>
      <c r="O17" s="119"/>
      <c r="P17" s="119"/>
      <c r="Q17" s="129">
        <f>Q15-Q13</f>
        <v>-25811.503243725925</v>
      </c>
      <c r="R17" s="120"/>
      <c r="S17" s="123" t="s">
        <v>91</v>
      </c>
      <c r="T17" s="119"/>
      <c r="U17" s="119"/>
      <c r="V17" s="119"/>
      <c r="W17" s="129">
        <f>W15-W13+W16</f>
        <v>-3933.7498390655892</v>
      </c>
      <c r="X17" s="120"/>
      <c r="Y17" s="123" t="s">
        <v>91</v>
      </c>
      <c r="Z17" s="119"/>
      <c r="AA17" s="119"/>
      <c r="AB17" s="119"/>
      <c r="AC17" s="129">
        <f>AC15-AC13</f>
        <v>-22937.859221169609</v>
      </c>
      <c r="AD17" s="120"/>
      <c r="AE17" s="123" t="s">
        <v>91</v>
      </c>
      <c r="AF17" s="119"/>
      <c r="AG17" s="119"/>
      <c r="AH17" s="119"/>
      <c r="AI17" s="129">
        <f>AI15-AI13</f>
        <v>-34875.142649618007</v>
      </c>
      <c r="AJ17" s="120"/>
      <c r="AK17" s="123" t="s">
        <v>91</v>
      </c>
      <c r="AL17" s="119"/>
      <c r="AM17" s="119"/>
      <c r="AN17" s="119"/>
      <c r="AO17" s="129">
        <f>AO15-AO13</f>
        <v>-22621.361000000004</v>
      </c>
      <c r="AP17" s="119"/>
      <c r="AU17" s="169"/>
      <c r="BA17" s="169"/>
    </row>
    <row r="18" spans="1:54" x14ac:dyDescent="0.2">
      <c r="A18" s="123"/>
      <c r="B18" s="119"/>
      <c r="C18" s="119"/>
      <c r="D18" s="119"/>
      <c r="E18" s="119"/>
      <c r="F18" s="120"/>
      <c r="G18" s="123"/>
      <c r="H18" s="119"/>
      <c r="I18" s="119"/>
      <c r="J18" s="119"/>
      <c r="K18" s="119"/>
      <c r="L18" s="120"/>
      <c r="M18" s="123"/>
      <c r="N18" s="119"/>
      <c r="O18" s="119"/>
      <c r="P18" s="119"/>
      <c r="Q18" s="119"/>
      <c r="R18" s="120"/>
      <c r="S18" s="123"/>
      <c r="T18" s="119"/>
      <c r="U18" s="119"/>
      <c r="V18" s="119"/>
      <c r="W18" s="119"/>
      <c r="X18" s="120"/>
      <c r="Y18" s="123"/>
      <c r="Z18" s="119"/>
      <c r="AA18" s="119"/>
      <c r="AB18" s="119"/>
      <c r="AC18" s="119"/>
      <c r="AD18" s="120"/>
      <c r="AE18" s="123"/>
      <c r="AF18" s="119"/>
      <c r="AG18" s="119"/>
      <c r="AH18" s="119"/>
      <c r="AI18" s="119"/>
      <c r="AJ18" s="120"/>
      <c r="AK18" s="123"/>
      <c r="AL18" s="119"/>
      <c r="AM18" s="119"/>
      <c r="AN18" s="119"/>
      <c r="AO18" s="119"/>
      <c r="AP18" s="119"/>
    </row>
    <row r="19" spans="1:54" x14ac:dyDescent="0.2">
      <c r="A19" s="123" t="s">
        <v>92</v>
      </c>
      <c r="B19" s="119"/>
      <c r="C19" s="119"/>
      <c r="D19" s="119"/>
      <c r="E19" s="129">
        <f>+C13</f>
        <v>77952</v>
      </c>
      <c r="F19" s="120"/>
      <c r="G19" s="123" t="s">
        <v>92</v>
      </c>
      <c r="H19" s="119"/>
      <c r="I19" s="119"/>
      <c r="J19" s="119"/>
      <c r="K19" s="129">
        <f>+I13</f>
        <v>76966</v>
      </c>
      <c r="L19" s="120"/>
      <c r="M19" s="123" t="s">
        <v>92</v>
      </c>
      <c r="N19" s="119"/>
      <c r="O19" s="119"/>
      <c r="P19" s="119"/>
      <c r="Q19" s="129">
        <f>+O13</f>
        <v>75586</v>
      </c>
      <c r="R19" s="120"/>
      <c r="S19" s="123" t="s">
        <v>92</v>
      </c>
      <c r="T19" s="119"/>
      <c r="U19" s="119"/>
      <c r="V19" s="119"/>
      <c r="W19" s="129">
        <f>+U13</f>
        <v>74368</v>
      </c>
      <c r="X19" s="120"/>
      <c r="Y19" s="123" t="s">
        <v>92</v>
      </c>
      <c r="Z19" s="119"/>
      <c r="AA19" s="119"/>
      <c r="AB19" s="119"/>
      <c r="AC19" s="129">
        <f>+AA13</f>
        <v>73453</v>
      </c>
      <c r="AD19" s="120"/>
      <c r="AE19" s="123" t="s">
        <v>92</v>
      </c>
      <c r="AF19" s="119"/>
      <c r="AG19" s="119"/>
      <c r="AH19" s="119"/>
      <c r="AI19" s="129">
        <f>+AG13</f>
        <v>72281</v>
      </c>
      <c r="AJ19" s="120"/>
      <c r="AK19" s="123" t="s">
        <v>92</v>
      </c>
      <c r="AL19" s="119"/>
      <c r="AM19" s="119"/>
      <c r="AN19" s="119"/>
      <c r="AO19" s="129">
        <f>+AM13</f>
        <v>71599</v>
      </c>
      <c r="AP19" s="119"/>
      <c r="AQ19" s="171"/>
      <c r="AU19" s="169"/>
      <c r="AW19" s="171"/>
      <c r="BA19" s="169"/>
    </row>
    <row r="20" spans="1:54" x14ac:dyDescent="0.2">
      <c r="A20" s="123"/>
      <c r="B20" s="119"/>
      <c r="C20" s="119"/>
      <c r="D20" s="119"/>
      <c r="E20" s="119"/>
      <c r="F20" s="120"/>
      <c r="G20" s="123"/>
      <c r="H20" s="119"/>
      <c r="I20" s="119"/>
      <c r="J20" s="119"/>
      <c r="K20" s="119"/>
      <c r="L20" s="120"/>
      <c r="M20" s="123"/>
      <c r="N20" s="119"/>
      <c r="O20" s="119"/>
      <c r="P20" s="119"/>
      <c r="Q20" s="119"/>
      <c r="R20" s="120"/>
      <c r="S20" s="123"/>
      <c r="T20" s="119"/>
      <c r="U20" s="119"/>
      <c r="V20" s="119"/>
      <c r="W20" s="119"/>
      <c r="X20" s="120"/>
      <c r="Y20" s="123"/>
      <c r="Z20" s="119"/>
      <c r="AA20" s="119"/>
      <c r="AB20" s="119"/>
      <c r="AC20" s="119"/>
      <c r="AD20" s="120"/>
      <c r="AE20" s="123"/>
      <c r="AF20" s="119"/>
      <c r="AG20" s="119"/>
      <c r="AH20" s="119"/>
      <c r="AI20" s="119"/>
      <c r="AJ20" s="120"/>
      <c r="AK20" s="123"/>
      <c r="AL20" s="119"/>
      <c r="AM20" s="119"/>
      <c r="AN20" s="119"/>
      <c r="AO20" s="119"/>
      <c r="AP20" s="119"/>
    </row>
    <row r="21" spans="1:54" x14ac:dyDescent="0.2">
      <c r="A21" s="123" t="s">
        <v>93</v>
      </c>
      <c r="B21" s="119"/>
      <c r="C21" s="119"/>
      <c r="D21" s="119"/>
      <c r="E21" s="119"/>
      <c r="F21" s="134">
        <f>ROUND((E17/E19),2)</f>
        <v>-2.12</v>
      </c>
      <c r="G21" s="123" t="s">
        <v>93</v>
      </c>
      <c r="H21" s="119"/>
      <c r="I21" s="119"/>
      <c r="J21" s="119"/>
      <c r="K21" s="119"/>
      <c r="L21" s="134">
        <f>ROUND((K17/K19),2)</f>
        <v>-0.31</v>
      </c>
      <c r="M21" s="123" t="s">
        <v>93</v>
      </c>
      <c r="N21" s="119"/>
      <c r="O21" s="119"/>
      <c r="P21" s="119"/>
      <c r="Q21" s="119"/>
      <c r="R21" s="134">
        <f>ROUND((Q17/Q19),2)</f>
        <v>-0.34</v>
      </c>
      <c r="S21" s="123" t="s">
        <v>93</v>
      </c>
      <c r="T21" s="119"/>
      <c r="U21" s="119"/>
      <c r="V21" s="119"/>
      <c r="W21" s="119"/>
      <c r="X21" s="134">
        <f>ROUND((W17/W19),2)</f>
        <v>-0.05</v>
      </c>
      <c r="Y21" s="123" t="s">
        <v>93</v>
      </c>
      <c r="Z21" s="119"/>
      <c r="AA21" s="119"/>
      <c r="AB21" s="119"/>
      <c r="AC21" s="119"/>
      <c r="AD21" s="134">
        <f>ROUND((AC17/AC19),2)</f>
        <v>-0.31</v>
      </c>
      <c r="AE21" s="123" t="s">
        <v>93</v>
      </c>
      <c r="AF21" s="119"/>
      <c r="AG21" s="119"/>
      <c r="AH21" s="119"/>
      <c r="AI21" s="119"/>
      <c r="AJ21" s="134">
        <f>ROUND((AI17/AI19),2)</f>
        <v>-0.48</v>
      </c>
      <c r="AK21" s="123" t="s">
        <v>93</v>
      </c>
      <c r="AL21" s="119"/>
      <c r="AM21" s="119"/>
      <c r="AN21" s="119"/>
      <c r="AO21" s="119"/>
      <c r="AP21" s="150">
        <f>(AO17/AO19)</f>
        <v>-0.31594520873196558</v>
      </c>
      <c r="AV21" s="174"/>
      <c r="BB21" s="174"/>
    </row>
    <row r="22" spans="1:54" x14ac:dyDescent="0.2">
      <c r="A22" s="123"/>
      <c r="B22" s="119"/>
      <c r="C22" s="119"/>
      <c r="D22" s="119"/>
      <c r="E22" s="119"/>
      <c r="F22" s="134"/>
      <c r="G22" s="123"/>
      <c r="H22" s="119"/>
      <c r="I22" s="119"/>
      <c r="J22" s="119"/>
      <c r="K22" s="119"/>
      <c r="L22" s="134"/>
      <c r="M22" s="123"/>
      <c r="N22" s="119"/>
      <c r="O22" s="119"/>
      <c r="P22" s="119"/>
      <c r="Q22" s="119"/>
      <c r="R22" s="134"/>
      <c r="S22" s="123"/>
      <c r="T22" s="119"/>
      <c r="U22" s="119"/>
      <c r="V22" s="119"/>
      <c r="W22" s="119"/>
      <c r="X22" s="134"/>
      <c r="Y22" s="123"/>
      <c r="Z22" s="119"/>
      <c r="AA22" s="119"/>
      <c r="AB22" s="119"/>
      <c r="AC22" s="119"/>
      <c r="AD22" s="134"/>
      <c r="AE22" s="123"/>
      <c r="AF22" s="119"/>
      <c r="AG22" s="119"/>
      <c r="AH22" s="119"/>
      <c r="AI22" s="119"/>
      <c r="AJ22" s="134"/>
      <c r="AK22" s="123"/>
      <c r="AL22" s="119"/>
      <c r="AM22" s="119"/>
      <c r="AN22" s="119"/>
      <c r="AO22" s="119"/>
      <c r="AP22" s="150"/>
      <c r="AV22" s="174"/>
      <c r="BB22" s="174"/>
    </row>
    <row r="23" spans="1:54" ht="16.5" x14ac:dyDescent="0.35">
      <c r="A23" s="217" t="s">
        <v>195</v>
      </c>
      <c r="B23" s="127"/>
      <c r="C23" s="119"/>
      <c r="D23" s="119"/>
      <c r="E23" s="216">
        <f>SUM('Single Family 2018 '!G17:G22)+'Multi-Family 2018 '!F32/2</f>
        <v>-146133.79468152692</v>
      </c>
      <c r="F23" s="134"/>
      <c r="G23" s="217" t="s">
        <v>177</v>
      </c>
      <c r="H23" s="127"/>
      <c r="I23" s="119"/>
      <c r="J23" s="119"/>
      <c r="K23" s="216">
        <f>SUM('Single Family 2017'!G20:G25)+('Multi-Family 2017'!F30/2)</f>
        <v>-76360.67799766011</v>
      </c>
      <c r="L23" s="134"/>
      <c r="M23" s="126" t="s">
        <v>158</v>
      </c>
      <c r="N23" s="127"/>
      <c r="O23" s="119"/>
      <c r="P23" s="119"/>
      <c r="Q23" s="135">
        <f>+Q15+Q16</f>
        <v>-25811.317853571556</v>
      </c>
      <c r="R23" s="134"/>
      <c r="S23" s="126" t="s">
        <v>142</v>
      </c>
      <c r="T23" s="127"/>
      <c r="U23" s="119"/>
      <c r="V23" s="119"/>
      <c r="W23" s="135">
        <f>+W15+W16</f>
        <v>0.24250000000029104</v>
      </c>
      <c r="X23" s="134"/>
      <c r="Y23" s="126" t="s">
        <v>106</v>
      </c>
      <c r="Z23" s="127"/>
      <c r="AA23" s="119"/>
      <c r="AB23" s="119"/>
      <c r="AC23" s="135">
        <f>+AC15</f>
        <v>0</v>
      </c>
      <c r="AD23" s="134"/>
      <c r="AE23" s="126" t="s">
        <v>106</v>
      </c>
      <c r="AF23" s="127"/>
      <c r="AG23" s="119"/>
      <c r="AH23" s="119"/>
      <c r="AI23" s="135">
        <f>+AI15</f>
        <v>15423.785</v>
      </c>
      <c r="AJ23" s="134"/>
      <c r="AK23" s="126" t="s">
        <v>101</v>
      </c>
      <c r="AL23" s="127"/>
      <c r="AM23" s="119"/>
      <c r="AN23" s="119"/>
      <c r="AO23" s="135">
        <f>+AO15</f>
        <v>43775</v>
      </c>
      <c r="AP23" s="150"/>
      <c r="AQ23" s="167"/>
      <c r="AR23" s="167"/>
      <c r="AU23" s="175"/>
      <c r="AV23" s="174"/>
      <c r="AW23" s="167"/>
      <c r="AX23" s="167"/>
      <c r="BA23" s="176"/>
      <c r="BB23" s="174"/>
    </row>
    <row r="24" spans="1:54" x14ac:dyDescent="0.2">
      <c r="A24" s="123" t="s">
        <v>92</v>
      </c>
      <c r="B24" s="119"/>
      <c r="C24" s="119"/>
      <c r="D24" s="119"/>
      <c r="E24" s="129">
        <f>SUM('Single Family 2018 '!C17:C22)</f>
        <v>39160</v>
      </c>
      <c r="F24" s="134"/>
      <c r="G24" s="123" t="s">
        <v>92</v>
      </c>
      <c r="H24" s="119"/>
      <c r="I24" s="119"/>
      <c r="J24" s="119"/>
      <c r="K24" s="129">
        <f>K19</f>
        <v>76966</v>
      </c>
      <c r="L24" s="134"/>
      <c r="M24" s="123" t="s">
        <v>92</v>
      </c>
      <c r="N24" s="119"/>
      <c r="O24" s="119"/>
      <c r="P24" s="119"/>
      <c r="Q24" s="129">
        <f>Q19</f>
        <v>75586</v>
      </c>
      <c r="R24" s="134"/>
      <c r="S24" s="123" t="s">
        <v>92</v>
      </c>
      <c r="T24" s="119"/>
      <c r="U24" s="119"/>
      <c r="V24" s="119"/>
      <c r="W24" s="129">
        <f>W19</f>
        <v>74368</v>
      </c>
      <c r="X24" s="134"/>
      <c r="Y24" s="123" t="s">
        <v>92</v>
      </c>
      <c r="Z24" s="119"/>
      <c r="AA24" s="119"/>
      <c r="AB24" s="119"/>
      <c r="AC24" s="129">
        <f>AC19</f>
        <v>73453</v>
      </c>
      <c r="AD24" s="134"/>
      <c r="AE24" s="123" t="s">
        <v>92</v>
      </c>
      <c r="AF24" s="119"/>
      <c r="AG24" s="119"/>
      <c r="AH24" s="119"/>
      <c r="AI24" s="129">
        <f>AI19</f>
        <v>72281</v>
      </c>
      <c r="AJ24" s="134"/>
      <c r="AK24" s="123" t="s">
        <v>92</v>
      </c>
      <c r="AL24" s="119"/>
      <c r="AM24" s="119"/>
      <c r="AN24" s="119"/>
      <c r="AO24" s="129">
        <f>AO19</f>
        <v>71599</v>
      </c>
      <c r="AP24" s="150"/>
      <c r="AU24" s="169"/>
      <c r="AV24" s="174"/>
      <c r="BA24" s="169"/>
      <c r="BB24" s="174"/>
    </row>
    <row r="25" spans="1:54" ht="15" x14ac:dyDescent="0.35">
      <c r="A25" s="123" t="s">
        <v>94</v>
      </c>
      <c r="B25" s="119"/>
      <c r="C25" s="119"/>
      <c r="D25" s="119"/>
      <c r="E25" s="119"/>
      <c r="F25" s="136">
        <f>(E23/E24)</f>
        <v>-3.7317107937059992</v>
      </c>
      <c r="G25" s="123" t="s">
        <v>94</v>
      </c>
      <c r="H25" s="119"/>
      <c r="I25" s="119"/>
      <c r="J25" s="119"/>
      <c r="K25" s="119"/>
      <c r="L25" s="136">
        <f>(K23/K24)</f>
        <v>-0.99213520252657161</v>
      </c>
      <c r="M25" s="123" t="s">
        <v>94</v>
      </c>
      <c r="N25" s="119"/>
      <c r="O25" s="119"/>
      <c r="P25" s="119"/>
      <c r="Q25" s="119"/>
      <c r="R25" s="136">
        <f>(Q23/Q24)</f>
        <v>-0.34148278588060693</v>
      </c>
      <c r="S25" s="123" t="s">
        <v>94</v>
      </c>
      <c r="T25" s="119"/>
      <c r="U25" s="119"/>
      <c r="V25" s="119"/>
      <c r="W25" s="119"/>
      <c r="X25" s="136">
        <f>(W23/W24)</f>
        <v>3.2608111015529669E-6</v>
      </c>
      <c r="Y25" s="123" t="s">
        <v>94</v>
      </c>
      <c r="Z25" s="119"/>
      <c r="AA25" s="119"/>
      <c r="AB25" s="119"/>
      <c r="AC25" s="119"/>
      <c r="AD25" s="136">
        <f>(AC23/AC24)</f>
        <v>0</v>
      </c>
      <c r="AE25" s="123" t="s">
        <v>94</v>
      </c>
      <c r="AF25" s="119"/>
      <c r="AG25" s="119"/>
      <c r="AH25" s="119"/>
      <c r="AI25" s="119"/>
      <c r="AJ25" s="136">
        <f>(AI23/AI24)</f>
        <v>0.21338643626955908</v>
      </c>
      <c r="AK25" s="123" t="s">
        <v>94</v>
      </c>
      <c r="AL25" s="119"/>
      <c r="AM25" s="119"/>
      <c r="AN25" s="119"/>
      <c r="AO25" s="119"/>
      <c r="AP25" s="151">
        <f>(AO23/AO24)</f>
        <v>0.61139122054777306</v>
      </c>
      <c r="AV25" s="177"/>
      <c r="BB25" s="177"/>
    </row>
    <row r="26" spans="1:54" x14ac:dyDescent="0.2">
      <c r="A26" s="123"/>
      <c r="B26" s="119"/>
      <c r="C26" s="119"/>
      <c r="D26" s="119"/>
      <c r="E26" s="119"/>
      <c r="F26" s="134"/>
      <c r="G26" s="123"/>
      <c r="H26" s="119"/>
      <c r="I26" s="119"/>
      <c r="J26" s="119"/>
      <c r="K26" s="119"/>
      <c r="L26" s="134"/>
      <c r="M26" s="123"/>
      <c r="N26" s="119"/>
      <c r="O26" s="119"/>
      <c r="P26" s="119"/>
      <c r="Q26" s="119"/>
      <c r="R26" s="134"/>
      <c r="S26" s="123"/>
      <c r="T26" s="119"/>
      <c r="U26" s="119"/>
      <c r="V26" s="119"/>
      <c r="W26" s="119"/>
      <c r="X26" s="134"/>
      <c r="Y26" s="123"/>
      <c r="Z26" s="119"/>
      <c r="AA26" s="119"/>
      <c r="AB26" s="119"/>
      <c r="AC26" s="119"/>
      <c r="AD26" s="134"/>
      <c r="AE26" s="123"/>
      <c r="AF26" s="119"/>
      <c r="AG26" s="119"/>
      <c r="AH26" s="119"/>
      <c r="AI26" s="119"/>
      <c r="AJ26" s="134"/>
      <c r="AK26" s="123"/>
      <c r="AL26" s="119"/>
      <c r="AM26" s="119"/>
      <c r="AN26" s="119"/>
      <c r="AO26" s="119"/>
      <c r="AP26" s="150"/>
      <c r="AV26" s="174"/>
      <c r="BB26" s="174"/>
    </row>
    <row r="27" spans="1:54" ht="18.75" thickBot="1" x14ac:dyDescent="0.4">
      <c r="A27" s="116" t="s">
        <v>95</v>
      </c>
      <c r="B27" s="117"/>
      <c r="C27" s="119"/>
      <c r="D27" s="119"/>
      <c r="E27" s="119"/>
      <c r="F27" s="137">
        <f>+F21+F25</f>
        <v>-5.8517107937059993</v>
      </c>
      <c r="G27" s="116" t="s">
        <v>95</v>
      </c>
      <c r="H27" s="117"/>
      <c r="I27" s="119"/>
      <c r="J27" s="119"/>
      <c r="K27" s="119"/>
      <c r="L27" s="137">
        <f>+L21+L25</f>
        <v>-1.3021352025265716</v>
      </c>
      <c r="M27" s="116" t="s">
        <v>95</v>
      </c>
      <c r="N27" s="117"/>
      <c r="O27" s="119"/>
      <c r="P27" s="119"/>
      <c r="Q27" s="119"/>
      <c r="R27" s="137">
        <f>+R21+R25</f>
        <v>-0.68148278588060696</v>
      </c>
      <c r="S27" s="116" t="s">
        <v>95</v>
      </c>
      <c r="T27" s="117"/>
      <c r="U27" s="119"/>
      <c r="V27" s="119"/>
      <c r="W27" s="119"/>
      <c r="X27" s="137">
        <f>+X21+X25</f>
        <v>-4.9996739188898451E-2</v>
      </c>
      <c r="Y27" s="116" t="s">
        <v>95</v>
      </c>
      <c r="Z27" s="117"/>
      <c r="AA27" s="119"/>
      <c r="AB27" s="119"/>
      <c r="AC27" s="119"/>
      <c r="AD27" s="137">
        <f>+AD21+AD25</f>
        <v>-0.31</v>
      </c>
      <c r="AE27" s="116" t="s">
        <v>95</v>
      </c>
      <c r="AF27" s="117"/>
      <c r="AG27" s="119"/>
      <c r="AH27" s="119"/>
      <c r="AI27" s="119"/>
      <c r="AJ27" s="137">
        <f>+AJ21+AJ25</f>
        <v>-0.26661356373044087</v>
      </c>
      <c r="AK27" s="116" t="s">
        <v>95</v>
      </c>
      <c r="AL27" s="117"/>
      <c r="AM27" s="119"/>
      <c r="AN27" s="119"/>
      <c r="AO27" s="119"/>
      <c r="AP27" s="152">
        <f>+AP21+AP25</f>
        <v>0.29544601181580749</v>
      </c>
      <c r="AQ27" s="160"/>
      <c r="AR27" s="160"/>
      <c r="AV27" s="178"/>
      <c r="AW27" s="160"/>
      <c r="AX27" s="160"/>
      <c r="BB27" s="178"/>
    </row>
    <row r="28" spans="1:54" ht="19.5" thickTop="1" thickBot="1" x14ac:dyDescent="0.4">
      <c r="A28" s="116" t="s">
        <v>223</v>
      </c>
      <c r="B28" s="119"/>
      <c r="C28" s="119"/>
      <c r="D28" s="119"/>
      <c r="E28" s="119"/>
      <c r="F28" s="137">
        <f>+F27/5*6</f>
        <v>-7.0220529524471997</v>
      </c>
      <c r="G28" s="123"/>
      <c r="H28" s="119"/>
      <c r="I28" s="119"/>
      <c r="J28" s="119"/>
      <c r="K28" s="119"/>
      <c r="L28" s="134"/>
      <c r="M28" s="123"/>
      <c r="N28" s="119"/>
      <c r="O28" s="119"/>
      <c r="P28" s="119"/>
      <c r="Q28" s="119"/>
      <c r="R28" s="134"/>
      <c r="S28" s="123"/>
      <c r="T28" s="119"/>
      <c r="U28" s="119"/>
      <c r="V28" s="119"/>
      <c r="W28" s="119"/>
      <c r="X28" s="134"/>
      <c r="Y28" s="123"/>
      <c r="Z28" s="119"/>
      <c r="AA28" s="119"/>
      <c r="AB28" s="119"/>
      <c r="AC28" s="119"/>
      <c r="AD28" s="134"/>
      <c r="AE28" s="123"/>
      <c r="AF28" s="119"/>
      <c r="AG28" s="119"/>
      <c r="AH28" s="119"/>
      <c r="AI28" s="119"/>
      <c r="AJ28" s="134"/>
      <c r="AK28" s="123"/>
      <c r="AL28" s="119"/>
      <c r="AM28" s="119"/>
      <c r="AN28" s="119"/>
      <c r="AO28" s="119"/>
      <c r="AP28" s="150"/>
      <c r="AV28" s="174"/>
      <c r="BB28" s="174"/>
    </row>
    <row r="29" spans="1:54" ht="13.5" thickTop="1" x14ac:dyDescent="0.2">
      <c r="A29" s="123"/>
      <c r="B29" s="119"/>
      <c r="C29" s="119"/>
      <c r="D29" s="119"/>
      <c r="E29" s="119"/>
      <c r="F29" s="120"/>
      <c r="G29" s="123"/>
      <c r="H29" s="119"/>
      <c r="I29" s="119"/>
      <c r="J29" s="119"/>
      <c r="K29" s="119"/>
      <c r="L29" s="120"/>
      <c r="M29" s="123"/>
      <c r="N29" s="119"/>
      <c r="O29" s="119"/>
      <c r="P29" s="119"/>
      <c r="Q29" s="119"/>
      <c r="R29" s="120"/>
      <c r="S29" s="123"/>
      <c r="T29" s="119"/>
      <c r="U29" s="119"/>
      <c r="V29" s="119"/>
      <c r="W29" s="119"/>
      <c r="X29" s="120"/>
      <c r="Y29" s="123"/>
      <c r="Z29" s="119"/>
      <c r="AA29" s="119"/>
      <c r="AB29" s="119"/>
      <c r="AC29" s="119"/>
      <c r="AD29" s="120"/>
      <c r="AE29" s="123"/>
      <c r="AF29" s="119"/>
      <c r="AG29" s="119"/>
      <c r="AH29" s="119"/>
      <c r="AI29" s="119"/>
      <c r="AJ29" s="120"/>
      <c r="AK29" s="123"/>
      <c r="AL29" s="119"/>
      <c r="AM29" s="119"/>
      <c r="AN29" s="119"/>
      <c r="AO29" s="119"/>
      <c r="AP29" s="119"/>
      <c r="BA29" s="179"/>
    </row>
    <row r="30" spans="1:54" ht="15" x14ac:dyDescent="0.35">
      <c r="A30" s="131"/>
      <c r="B30" s="119"/>
      <c r="C30" s="119"/>
      <c r="D30" s="139"/>
      <c r="E30" s="119"/>
      <c r="F30" s="140"/>
      <c r="G30" s="131"/>
      <c r="H30" s="119"/>
      <c r="I30" s="119"/>
      <c r="J30" s="139"/>
      <c r="K30" s="119"/>
      <c r="L30" s="140"/>
      <c r="M30" s="131"/>
      <c r="N30" s="119"/>
      <c r="O30" s="119"/>
      <c r="P30" s="139"/>
      <c r="Q30" s="119"/>
      <c r="R30" s="140"/>
      <c r="S30" s="131"/>
      <c r="T30" s="119"/>
      <c r="U30" s="119"/>
      <c r="V30" s="139"/>
      <c r="W30" s="119"/>
      <c r="X30" s="140"/>
      <c r="Y30" s="131"/>
      <c r="Z30" s="119"/>
      <c r="AA30" s="119"/>
      <c r="AB30" s="139"/>
      <c r="AC30" s="119"/>
      <c r="AD30" s="140"/>
      <c r="AE30" s="131"/>
      <c r="AF30" s="119"/>
      <c r="AG30" s="119"/>
      <c r="AH30" s="139"/>
      <c r="AI30" s="119"/>
      <c r="AJ30" s="140"/>
      <c r="AK30" s="131"/>
      <c r="AL30" s="119"/>
      <c r="AM30" s="119"/>
      <c r="AN30" s="139"/>
      <c r="AO30" s="119"/>
      <c r="AP30" s="153"/>
    </row>
    <row r="31" spans="1:54" x14ac:dyDescent="0.2">
      <c r="A31" s="123"/>
      <c r="B31" s="119"/>
      <c r="C31" s="119"/>
      <c r="D31" s="139"/>
      <c r="E31" s="119"/>
      <c r="F31" s="120"/>
      <c r="G31" s="123"/>
      <c r="H31" s="119"/>
      <c r="I31" s="119"/>
      <c r="J31" s="139"/>
      <c r="K31" s="119"/>
      <c r="L31" s="120"/>
      <c r="M31" s="123"/>
      <c r="N31" s="119"/>
      <c r="O31" s="119"/>
      <c r="P31" s="139"/>
      <c r="Q31" s="119"/>
      <c r="R31" s="120"/>
      <c r="S31" s="123"/>
      <c r="T31" s="119"/>
      <c r="U31" s="119"/>
      <c r="V31" s="139"/>
      <c r="W31" s="119"/>
      <c r="X31" s="120"/>
      <c r="Y31" s="123"/>
      <c r="Z31" s="119"/>
      <c r="AA31" s="119"/>
      <c r="AB31" s="139"/>
      <c r="AC31" s="119"/>
      <c r="AD31" s="120"/>
      <c r="AE31" s="123"/>
      <c r="AF31" s="119"/>
      <c r="AG31" s="119"/>
      <c r="AH31" s="139"/>
      <c r="AI31" s="119"/>
      <c r="AJ31" s="120"/>
      <c r="AK31" s="123"/>
      <c r="AL31" s="119"/>
      <c r="AM31" s="119"/>
      <c r="AN31" s="139"/>
      <c r="AO31" s="119"/>
      <c r="AP31" s="119"/>
      <c r="AU31" s="171"/>
      <c r="BA31" s="179"/>
      <c r="BB31" s="180"/>
    </row>
    <row r="32" spans="1:54" x14ac:dyDescent="0.2">
      <c r="A32" s="123"/>
      <c r="B32" s="119"/>
      <c r="C32" s="119"/>
      <c r="D32" s="119"/>
      <c r="E32" s="119"/>
      <c r="F32" s="120"/>
      <c r="G32" s="123"/>
      <c r="H32" s="119"/>
      <c r="I32" s="119"/>
      <c r="J32" s="119"/>
      <c r="K32" s="119"/>
      <c r="L32" s="120"/>
      <c r="M32" s="123"/>
      <c r="N32" s="119"/>
      <c r="O32" s="119"/>
      <c r="P32" s="119"/>
      <c r="Q32" s="119"/>
      <c r="R32" s="120"/>
      <c r="S32" s="123"/>
      <c r="T32" s="119"/>
      <c r="U32" s="119"/>
      <c r="V32" s="119"/>
      <c r="W32" s="119"/>
      <c r="X32" s="120"/>
      <c r="Y32" s="123"/>
      <c r="Z32" s="119"/>
      <c r="AA32" s="119"/>
      <c r="AB32" s="119"/>
      <c r="AC32" s="119"/>
      <c r="AD32" s="120"/>
      <c r="AE32" s="123"/>
      <c r="AF32" s="119"/>
      <c r="AG32" s="119"/>
      <c r="AH32" s="119"/>
      <c r="AI32" s="119"/>
      <c r="AJ32" s="120"/>
      <c r="AK32" s="123"/>
      <c r="AL32" s="119"/>
      <c r="AM32" s="119"/>
      <c r="AN32" s="119"/>
      <c r="AO32" s="119"/>
      <c r="AP32" s="119"/>
    </row>
    <row r="33" spans="1:54" ht="19.5" x14ac:dyDescent="0.4">
      <c r="A33" s="252" t="s">
        <v>96</v>
      </c>
      <c r="B33" s="253"/>
      <c r="C33" s="253"/>
      <c r="D33" s="253"/>
      <c r="E33" s="253"/>
      <c r="F33" s="254"/>
      <c r="G33" s="252" t="s">
        <v>96</v>
      </c>
      <c r="H33" s="253"/>
      <c r="I33" s="253"/>
      <c r="J33" s="253"/>
      <c r="K33" s="253"/>
      <c r="L33" s="254"/>
      <c r="M33" s="252" t="s">
        <v>96</v>
      </c>
      <c r="N33" s="253"/>
      <c r="O33" s="253"/>
      <c r="P33" s="253"/>
      <c r="Q33" s="253"/>
      <c r="R33" s="254"/>
      <c r="S33" s="252" t="s">
        <v>96</v>
      </c>
      <c r="T33" s="253"/>
      <c r="U33" s="253"/>
      <c r="V33" s="253"/>
      <c r="W33" s="253"/>
      <c r="X33" s="254"/>
      <c r="Y33" s="252" t="s">
        <v>96</v>
      </c>
      <c r="Z33" s="253"/>
      <c r="AA33" s="253"/>
      <c r="AB33" s="253"/>
      <c r="AC33" s="253"/>
      <c r="AD33" s="254"/>
      <c r="AE33" s="252" t="s">
        <v>96</v>
      </c>
      <c r="AF33" s="253"/>
      <c r="AG33" s="253"/>
      <c r="AH33" s="253"/>
      <c r="AI33" s="253"/>
      <c r="AJ33" s="254"/>
      <c r="AK33" s="252" t="s">
        <v>96</v>
      </c>
      <c r="AL33" s="253"/>
      <c r="AM33" s="253"/>
      <c r="AN33" s="253"/>
      <c r="AO33" s="253"/>
      <c r="AP33" s="254"/>
      <c r="AQ33" s="164"/>
      <c r="AR33" s="164"/>
      <c r="AS33" s="164"/>
      <c r="AT33" s="164"/>
      <c r="AU33" s="164"/>
      <c r="AV33" s="164"/>
      <c r="AW33" s="164"/>
      <c r="AX33" s="164"/>
      <c r="AY33" s="164"/>
      <c r="AZ33" s="164"/>
      <c r="BA33" s="164"/>
      <c r="BB33" s="164"/>
    </row>
    <row r="34" spans="1:54" x14ac:dyDescent="0.2">
      <c r="A34" s="116"/>
      <c r="B34" s="119"/>
      <c r="C34" s="119"/>
      <c r="D34" s="119"/>
      <c r="E34" s="119"/>
      <c r="F34" s="120"/>
      <c r="G34" s="116"/>
      <c r="H34" s="119"/>
      <c r="I34" s="119"/>
      <c r="J34" s="119"/>
      <c r="K34" s="119"/>
      <c r="L34" s="120"/>
      <c r="M34" s="116"/>
      <c r="N34" s="119"/>
      <c r="O34" s="119"/>
      <c r="P34" s="119"/>
      <c r="Q34" s="119"/>
      <c r="R34" s="120"/>
      <c r="S34" s="116"/>
      <c r="T34" s="119"/>
      <c r="U34" s="119"/>
      <c r="V34" s="119"/>
      <c r="W34" s="119"/>
      <c r="X34" s="120"/>
      <c r="Y34" s="116"/>
      <c r="Z34" s="119"/>
      <c r="AA34" s="119"/>
      <c r="AB34" s="119"/>
      <c r="AC34" s="119"/>
      <c r="AD34" s="120"/>
      <c r="AE34" s="116"/>
      <c r="AF34" s="119"/>
      <c r="AG34" s="119"/>
      <c r="AH34" s="119"/>
      <c r="AI34" s="119"/>
      <c r="AJ34" s="120"/>
      <c r="AK34" s="123"/>
      <c r="AL34" s="119"/>
      <c r="AM34" s="119"/>
      <c r="AN34" s="119"/>
      <c r="AO34" s="119"/>
      <c r="AP34" s="119"/>
    </row>
    <row r="35" spans="1:54" x14ac:dyDescent="0.2">
      <c r="A35" s="121"/>
      <c r="B35" s="119"/>
      <c r="C35" s="124"/>
      <c r="D35" s="124" t="s">
        <v>86</v>
      </c>
      <c r="E35" s="124" t="s">
        <v>87</v>
      </c>
      <c r="F35" s="120"/>
      <c r="G35" s="121"/>
      <c r="H35" s="119"/>
      <c r="I35" s="124"/>
      <c r="J35" s="124" t="s">
        <v>86</v>
      </c>
      <c r="K35" s="124" t="s">
        <v>87</v>
      </c>
      <c r="L35" s="120"/>
      <c r="M35" s="121"/>
      <c r="N35" s="119"/>
      <c r="O35" s="124"/>
      <c r="P35" s="124" t="s">
        <v>86</v>
      </c>
      <c r="Q35" s="124" t="s">
        <v>87</v>
      </c>
      <c r="R35" s="120"/>
      <c r="S35" s="121"/>
      <c r="T35" s="119"/>
      <c r="U35" s="124"/>
      <c r="V35" s="124" t="s">
        <v>86</v>
      </c>
      <c r="W35" s="124" t="s">
        <v>87</v>
      </c>
      <c r="X35" s="120"/>
      <c r="Y35" s="121"/>
      <c r="Z35" s="119"/>
      <c r="AA35" s="124"/>
      <c r="AB35" s="124" t="s">
        <v>86</v>
      </c>
      <c r="AC35" s="124" t="s">
        <v>87</v>
      </c>
      <c r="AD35" s="120"/>
      <c r="AE35" s="121"/>
      <c r="AF35" s="119"/>
      <c r="AG35" s="124"/>
      <c r="AH35" s="124" t="s">
        <v>86</v>
      </c>
      <c r="AI35" s="124" t="s">
        <v>87</v>
      </c>
      <c r="AJ35" s="120"/>
      <c r="AK35" s="123"/>
      <c r="AL35" s="119"/>
      <c r="AM35" s="124"/>
      <c r="AN35" s="124" t="s">
        <v>86</v>
      </c>
      <c r="AO35" s="124" t="s">
        <v>87</v>
      </c>
      <c r="AP35" s="119"/>
      <c r="AS35" s="165"/>
      <c r="AT35" s="165"/>
      <c r="AU35" s="165"/>
      <c r="AY35" s="165"/>
      <c r="AZ35" s="165"/>
      <c r="BA35" s="165"/>
    </row>
    <row r="36" spans="1:54" x14ac:dyDescent="0.2">
      <c r="A36" s="123"/>
      <c r="B36" s="119"/>
      <c r="C36" s="141" t="s">
        <v>19</v>
      </c>
      <c r="D36" s="141" t="s">
        <v>88</v>
      </c>
      <c r="E36" s="141" t="s">
        <v>89</v>
      </c>
      <c r="F36" s="120"/>
      <c r="G36" s="123"/>
      <c r="H36" s="119"/>
      <c r="I36" s="141" t="s">
        <v>19</v>
      </c>
      <c r="J36" s="141" t="s">
        <v>88</v>
      </c>
      <c r="K36" s="141" t="s">
        <v>89</v>
      </c>
      <c r="L36" s="120"/>
      <c r="M36" s="123"/>
      <c r="N36" s="119"/>
      <c r="O36" s="141" t="s">
        <v>19</v>
      </c>
      <c r="P36" s="141" t="s">
        <v>88</v>
      </c>
      <c r="Q36" s="141" t="s">
        <v>89</v>
      </c>
      <c r="R36" s="120"/>
      <c r="S36" s="123"/>
      <c r="T36" s="119"/>
      <c r="U36" s="141" t="s">
        <v>19</v>
      </c>
      <c r="V36" s="141" t="s">
        <v>88</v>
      </c>
      <c r="W36" s="141" t="s">
        <v>89</v>
      </c>
      <c r="X36" s="120"/>
      <c r="Y36" s="123"/>
      <c r="Z36" s="119"/>
      <c r="AA36" s="141" t="s">
        <v>19</v>
      </c>
      <c r="AB36" s="141" t="s">
        <v>88</v>
      </c>
      <c r="AC36" s="141" t="s">
        <v>89</v>
      </c>
      <c r="AD36" s="120"/>
      <c r="AE36" s="123"/>
      <c r="AF36" s="119"/>
      <c r="AG36" s="141" t="s">
        <v>19</v>
      </c>
      <c r="AH36" s="141" t="s">
        <v>88</v>
      </c>
      <c r="AI36" s="141" t="s">
        <v>89</v>
      </c>
      <c r="AJ36" s="120"/>
      <c r="AK36" s="123"/>
      <c r="AL36" s="119"/>
      <c r="AM36" s="141" t="s">
        <v>19</v>
      </c>
      <c r="AN36" s="141" t="s">
        <v>88</v>
      </c>
      <c r="AO36" s="141" t="s">
        <v>89</v>
      </c>
      <c r="AP36" s="119"/>
      <c r="AS36" s="165"/>
      <c r="AT36" s="165"/>
      <c r="AU36" s="165"/>
      <c r="AY36" s="165"/>
      <c r="AZ36" s="165"/>
      <c r="BA36" s="165"/>
    </row>
    <row r="37" spans="1:54" ht="16.5" x14ac:dyDescent="0.35">
      <c r="A37" s="126" t="str">
        <f>A10</f>
        <v>Projected Revenue Aug 17-Jul 18</v>
      </c>
      <c r="B37" s="127"/>
      <c r="C37" s="128"/>
      <c r="D37" s="128"/>
      <c r="E37" s="128"/>
      <c r="F37" s="120"/>
      <c r="G37" s="126" t="str">
        <f>G10</f>
        <v>Apr-Dec projected value without adjustment factor</v>
      </c>
      <c r="H37" s="127"/>
      <c r="I37" s="128"/>
      <c r="J37" s="128"/>
      <c r="K37" s="128"/>
      <c r="L37" s="120"/>
      <c r="M37" s="126" t="str">
        <f>M10</f>
        <v>Projected Revenue Jan-Dec 2016</v>
      </c>
      <c r="N37" s="127"/>
      <c r="O37" s="128"/>
      <c r="P37" s="128"/>
      <c r="Q37" s="128"/>
      <c r="R37" s="120"/>
      <c r="S37" s="126" t="str">
        <f>S10</f>
        <v>Projected Revenue Jan-Dec 2015</v>
      </c>
      <c r="T37" s="127"/>
      <c r="U37" s="128"/>
      <c r="V37" s="128"/>
      <c r="W37" s="128"/>
      <c r="X37" s="120"/>
      <c r="Y37" s="126" t="str">
        <f>Y10</f>
        <v>Projected Revenue Jan-Dec 2014</v>
      </c>
      <c r="Z37" s="127"/>
      <c r="AA37" s="128"/>
      <c r="AB37" s="128"/>
      <c r="AC37" s="128"/>
      <c r="AD37" s="120"/>
      <c r="AE37" s="126" t="str">
        <f>AE10</f>
        <v>Projected Revenue Jan-Dec 2013</v>
      </c>
      <c r="AF37" s="127"/>
      <c r="AG37" s="128"/>
      <c r="AH37" s="128"/>
      <c r="AI37" s="128"/>
      <c r="AJ37" s="120"/>
      <c r="AK37" s="126" t="str">
        <f>AK10</f>
        <v>Projected Revenue Jan-Dec 2012</v>
      </c>
      <c r="AL37" s="127"/>
      <c r="AM37" s="128"/>
      <c r="AN37" s="128"/>
      <c r="AO37" s="128"/>
      <c r="AP37" s="119"/>
      <c r="AQ37" s="167"/>
      <c r="AR37" s="167"/>
      <c r="AS37" s="168"/>
      <c r="AT37" s="168"/>
      <c r="AU37" s="168"/>
      <c r="AW37" s="167"/>
      <c r="AX37" s="167"/>
      <c r="AY37" s="168"/>
      <c r="AZ37" s="168"/>
      <c r="BA37" s="168"/>
    </row>
    <row r="38" spans="1:54" x14ac:dyDescent="0.2">
      <c r="A38" s="123" t="str">
        <f>A11</f>
        <v>Aug 17- Mar 18 projected value without adjustment factor</v>
      </c>
      <c r="B38" s="132"/>
      <c r="C38" s="214">
        <f>SUM('Calcs revised method'!D40:K40)</f>
        <v>12488</v>
      </c>
      <c r="D38" s="130">
        <f>+R52</f>
        <v>-0.16</v>
      </c>
      <c r="E38" s="129">
        <f>D38*C38</f>
        <v>-1998.0800000000002</v>
      </c>
      <c r="F38" s="120"/>
      <c r="G38" s="123" t="str">
        <f>G11</f>
        <v>Jan-Mar projected value without adjustment factor</v>
      </c>
      <c r="H38" s="132"/>
      <c r="I38" s="214">
        <f>SUM('Multi-Family 2017'!C11:C14)</f>
        <v>4587</v>
      </c>
      <c r="J38" s="130">
        <f>+P39</f>
        <v>0</v>
      </c>
      <c r="K38" s="129">
        <f>J38*I38</f>
        <v>0</v>
      </c>
      <c r="L38" s="120"/>
      <c r="M38" s="123" t="str">
        <f>M11</f>
        <v>Jan-Mar projected value without adjustment factor</v>
      </c>
      <c r="N38" s="132"/>
      <c r="O38" s="148">
        <f>SUM('Multi-Family 2016'!C11:C13)</f>
        <v>4047</v>
      </c>
      <c r="P38" s="130">
        <f>+V39</f>
        <v>0</v>
      </c>
      <c r="Q38" s="129">
        <f>P38*O38</f>
        <v>0</v>
      </c>
      <c r="R38" s="120"/>
      <c r="S38" s="123" t="str">
        <f>S11</f>
        <v>Jan-Mar projected value without adjustment factor</v>
      </c>
      <c r="T38" s="132"/>
      <c r="U38" s="148">
        <f>SUM('Multi-Family 2015'!C11:C13)</f>
        <v>4047</v>
      </c>
      <c r="V38" s="130">
        <f>+AB39</f>
        <v>0.1</v>
      </c>
      <c r="W38" s="129">
        <f>V38*U38</f>
        <v>404.70000000000005</v>
      </c>
      <c r="X38" s="120"/>
      <c r="Y38" s="123" t="str">
        <f>Y11</f>
        <v>Jan-Mar projected value without adjustment factor</v>
      </c>
      <c r="Z38" s="132"/>
      <c r="AA38" s="148">
        <f>SUM('Multi-Family 2014'!C11:C13)</f>
        <v>4047</v>
      </c>
      <c r="AB38" s="130">
        <f>AH39</f>
        <v>1.8001613104135528</v>
      </c>
      <c r="AC38" s="129">
        <f>AB38*AA38</f>
        <v>7285.252823243648</v>
      </c>
      <c r="AD38" s="120"/>
      <c r="AE38" s="123" t="str">
        <f>AE11</f>
        <v>Jan-Mar projected value without adjustment factor</v>
      </c>
      <c r="AF38" s="132"/>
      <c r="AG38" s="129">
        <f>SUM('Multi-Family Year 2013'!C11:C13)</f>
        <v>4047</v>
      </c>
      <c r="AH38" s="130">
        <f>AN39</f>
        <v>3.407</v>
      </c>
      <c r="AI38" s="129">
        <f>AH38*AG38</f>
        <v>13788.129000000001</v>
      </c>
      <c r="AJ38" s="120"/>
      <c r="AK38" s="123" t="str">
        <f>AK11</f>
        <v>Jan-Mar projected value without adjustment factor</v>
      </c>
      <c r="AL38" s="132"/>
      <c r="AM38" s="129">
        <f>SUM('[1]BI Multi-Family 2012'!$C$11:$C$13)</f>
        <v>4011</v>
      </c>
      <c r="AN38" s="130">
        <f>'[1]Credit Calc-Multi Family 2013'!$I$47</f>
        <v>1.8</v>
      </c>
      <c r="AO38" s="129">
        <f>AN38*AM38</f>
        <v>7219.8</v>
      </c>
      <c r="AP38" s="119"/>
      <c r="AR38" s="172"/>
      <c r="AS38" s="169"/>
      <c r="AT38" s="170"/>
      <c r="AU38" s="169"/>
      <c r="AX38" s="172"/>
      <c r="AY38" s="169"/>
      <c r="AZ38" s="170"/>
      <c r="BA38" s="169"/>
    </row>
    <row r="39" spans="1:54" ht="15" x14ac:dyDescent="0.35">
      <c r="A39" s="131" t="str">
        <f>A12</f>
        <v>Apr 18- July 18 projected value without adjustment factor</v>
      </c>
      <c r="B39" s="132"/>
      <c r="C39" s="215">
        <f>SUM('Calcs revised method'!L40:O40)</f>
        <v>6244</v>
      </c>
      <c r="D39" s="130">
        <f>+L52</f>
        <v>-0.28000000000000003</v>
      </c>
      <c r="E39" s="133">
        <f>D39*C39</f>
        <v>-1748.3200000000002</v>
      </c>
      <c r="F39" s="120"/>
      <c r="G39" s="131" t="str">
        <f>G12</f>
        <v>Apr-Dec projected value without adjustment factor</v>
      </c>
      <c r="H39" s="132"/>
      <c r="I39" s="215">
        <f>SUM('Multi-Family 2017'!C15:C23)</f>
        <v>13985</v>
      </c>
      <c r="J39" s="130">
        <f>R52</f>
        <v>-0.16</v>
      </c>
      <c r="K39" s="133">
        <f>J39*I39</f>
        <v>-2237.6</v>
      </c>
      <c r="L39" s="120"/>
      <c r="M39" s="131" t="str">
        <f>M12</f>
        <v>Apr-Dec projected value without adjustment factor</v>
      </c>
      <c r="N39" s="132"/>
      <c r="O39" s="149">
        <f>SUM('Multi-Family 2016'!C14:C22)</f>
        <v>12141</v>
      </c>
      <c r="P39" s="130">
        <f>X52</f>
        <v>0</v>
      </c>
      <c r="Q39" s="133">
        <f>P39*O39</f>
        <v>0</v>
      </c>
      <c r="R39" s="120"/>
      <c r="S39" s="131" t="str">
        <f>S12</f>
        <v>Apr-Dec projected value without adjustment factor</v>
      </c>
      <c r="T39" s="132"/>
      <c r="U39" s="149">
        <f>SUM('Multi-Family 2015'!C14:C22)</f>
        <v>12141</v>
      </c>
      <c r="V39" s="130">
        <f>AD52</f>
        <v>0</v>
      </c>
      <c r="W39" s="133">
        <f>V39*U39</f>
        <v>0</v>
      </c>
      <c r="X39" s="120"/>
      <c r="Y39" s="131" t="str">
        <f>Y12</f>
        <v>Apr-Dec projected value without adjustment factor</v>
      </c>
      <c r="Z39" s="132"/>
      <c r="AA39" s="149">
        <f>SUM('Multi-Family 2014'!C14:C22)</f>
        <v>12141</v>
      </c>
      <c r="AB39" s="130">
        <f>AJ52</f>
        <v>0.1</v>
      </c>
      <c r="AC39" s="133">
        <f>AB39*AA39</f>
        <v>1214.1000000000001</v>
      </c>
      <c r="AD39" s="120"/>
      <c r="AE39" s="131" t="str">
        <f>AE12</f>
        <v>Apr-Dec projected value without adjustment factor</v>
      </c>
      <c r="AF39" s="132"/>
      <c r="AG39" s="133">
        <f>SUM('Multi-Family Year 2013'!C14:C22)</f>
        <v>12141</v>
      </c>
      <c r="AH39" s="130">
        <f>AP52</f>
        <v>1.8001613104135528</v>
      </c>
      <c r="AI39" s="133">
        <f>AH39*AG39</f>
        <v>21855.758469730943</v>
      </c>
      <c r="AJ39" s="120"/>
      <c r="AK39" s="131" t="str">
        <f>AK12</f>
        <v>Apr-Dec projected value without adjustment factor</v>
      </c>
      <c r="AL39" s="132"/>
      <c r="AM39" s="133">
        <f>SUM('[1]BI Multi-Family 2012'!$C$14:$C$22)</f>
        <v>12045</v>
      </c>
      <c r="AN39" s="130">
        <v>3.407</v>
      </c>
      <c r="AO39" s="133">
        <f>AN39*AM39</f>
        <v>41037.315000000002</v>
      </c>
      <c r="AP39" s="119"/>
      <c r="AQ39" s="171"/>
      <c r="AR39" s="172"/>
      <c r="AS39" s="173"/>
      <c r="AT39" s="170"/>
      <c r="AU39" s="173"/>
      <c r="AW39" s="171"/>
      <c r="AX39" s="172"/>
      <c r="AY39" s="173"/>
      <c r="AZ39" s="170"/>
      <c r="BA39" s="173"/>
    </row>
    <row r="40" spans="1:54" x14ac:dyDescent="0.2">
      <c r="A40" s="123" t="s">
        <v>87</v>
      </c>
      <c r="B40" s="119"/>
      <c r="C40" s="129">
        <f>SUM(C38:C39)</f>
        <v>18732</v>
      </c>
      <c r="D40" s="119"/>
      <c r="E40" s="129">
        <f>SUM(E38:E39)</f>
        <v>-3746.4000000000005</v>
      </c>
      <c r="F40" s="120"/>
      <c r="G40" s="123" t="s">
        <v>87</v>
      </c>
      <c r="H40" s="119"/>
      <c r="I40" s="129">
        <f>SUM(I38:I39)</f>
        <v>18572</v>
      </c>
      <c r="J40" s="119"/>
      <c r="K40" s="129">
        <f>SUM(K38:K39)</f>
        <v>-2237.6</v>
      </c>
      <c r="L40" s="120"/>
      <c r="M40" s="123" t="s">
        <v>87</v>
      </c>
      <c r="N40" s="119"/>
      <c r="O40" s="129">
        <f>SUM(O38:O39)</f>
        <v>16188</v>
      </c>
      <c r="P40" s="119"/>
      <c r="Q40" s="129">
        <f>SUM(Q38:Q39)</f>
        <v>0</v>
      </c>
      <c r="R40" s="120"/>
      <c r="S40" s="123" t="s">
        <v>87</v>
      </c>
      <c r="T40" s="119"/>
      <c r="U40" s="129">
        <f>SUM(U38:U39)</f>
        <v>16188</v>
      </c>
      <c r="V40" s="119"/>
      <c r="W40" s="129">
        <f>SUM(W38:W39)</f>
        <v>404.70000000000005</v>
      </c>
      <c r="X40" s="120"/>
      <c r="Y40" s="123" t="s">
        <v>87</v>
      </c>
      <c r="Z40" s="119"/>
      <c r="AA40" s="129">
        <f>SUM(AA38:AA39)</f>
        <v>16188</v>
      </c>
      <c r="AB40" s="119"/>
      <c r="AC40" s="129">
        <f>SUM(AC38:AC39)</f>
        <v>8499.3528232436474</v>
      </c>
      <c r="AD40" s="120"/>
      <c r="AE40" s="123" t="s">
        <v>87</v>
      </c>
      <c r="AF40" s="119"/>
      <c r="AG40" s="129">
        <f>SUM(AG38:AG39)</f>
        <v>16188</v>
      </c>
      <c r="AH40" s="119"/>
      <c r="AI40" s="129">
        <f>SUM(AI38:AI39)</f>
        <v>35643.887469730944</v>
      </c>
      <c r="AJ40" s="120"/>
      <c r="AK40" s="123" t="s">
        <v>87</v>
      </c>
      <c r="AL40" s="119"/>
      <c r="AM40" s="129">
        <f>SUM(AM38:AM39)</f>
        <v>16056</v>
      </c>
      <c r="AN40" s="119"/>
      <c r="AO40" s="129">
        <f>SUM(AO38:AO39)</f>
        <v>48257.115000000005</v>
      </c>
      <c r="AP40" s="119"/>
      <c r="AS40" s="169"/>
      <c r="AU40" s="169"/>
      <c r="AY40" s="169"/>
      <c r="BA40" s="169"/>
    </row>
    <row r="41" spans="1:54" x14ac:dyDescent="0.2">
      <c r="A41" s="123"/>
      <c r="B41" s="119"/>
      <c r="C41" s="119"/>
      <c r="D41" s="119"/>
      <c r="E41" s="119"/>
      <c r="F41" s="120"/>
      <c r="G41" s="123"/>
      <c r="H41" s="119"/>
      <c r="I41" s="119"/>
      <c r="J41" s="119"/>
      <c r="K41" s="119"/>
      <c r="L41" s="120"/>
      <c r="M41" s="123"/>
      <c r="N41" s="119"/>
      <c r="O41" s="119"/>
      <c r="P41" s="119"/>
      <c r="Q41" s="119"/>
      <c r="R41" s="120"/>
      <c r="S41" s="123"/>
      <c r="T41" s="119"/>
      <c r="U41" s="119"/>
      <c r="V41" s="119"/>
      <c r="W41" s="119"/>
      <c r="X41" s="120"/>
      <c r="Y41" s="123"/>
      <c r="Z41" s="119"/>
      <c r="AA41" s="119"/>
      <c r="AB41" s="119"/>
      <c r="AC41" s="119"/>
      <c r="AD41" s="120"/>
      <c r="AE41" s="123"/>
      <c r="AF41" s="119"/>
      <c r="AG41" s="119"/>
      <c r="AH41" s="119"/>
      <c r="AI41" s="119"/>
      <c r="AJ41" s="120"/>
      <c r="AK41" s="123"/>
      <c r="AL41" s="119"/>
      <c r="AM41" s="119"/>
      <c r="AN41" s="119"/>
      <c r="AO41" s="119"/>
      <c r="AP41" s="119"/>
    </row>
    <row r="42" spans="1:54" x14ac:dyDescent="0.2">
      <c r="A42" s="123" t="s">
        <v>90</v>
      </c>
      <c r="B42" s="119"/>
      <c r="C42" s="119"/>
      <c r="D42" s="119"/>
      <c r="E42" s="214">
        <f>+'Calcs revised method'!P50</f>
        <v>-14538.982936946097</v>
      </c>
      <c r="F42" s="120"/>
      <c r="G42" s="123" t="s">
        <v>90</v>
      </c>
      <c r="H42" s="119"/>
      <c r="I42" s="119"/>
      <c r="J42" s="119"/>
      <c r="K42" s="214">
        <f>+'Multi-Family 2017'!G28+'Multi-Family 2017'!F31</f>
        <v>-3650.4661046797742</v>
      </c>
      <c r="L42" s="120"/>
      <c r="M42" s="123" t="s">
        <v>90</v>
      </c>
      <c r="N42" s="119"/>
      <c r="O42" s="119"/>
      <c r="P42" s="119"/>
      <c r="Q42" s="148">
        <f>+'Multi-Family 2016'!G23+'Multi-Family 2016'!F28</f>
        <v>-2619.003846428448</v>
      </c>
      <c r="R42" s="120"/>
      <c r="S42" s="123" t="s">
        <v>90</v>
      </c>
      <c r="T42" s="119"/>
      <c r="U42" s="119"/>
      <c r="V42" s="119"/>
      <c r="W42" s="148">
        <f>+'Multi-Family 2015'!G23</f>
        <v>-4055.5025000000005</v>
      </c>
      <c r="X42" s="120"/>
      <c r="Y42" s="123" t="s">
        <v>90</v>
      </c>
      <c r="Z42" s="119"/>
      <c r="AA42" s="119"/>
      <c r="AB42" s="119"/>
      <c r="AC42" s="148">
        <v>0</v>
      </c>
      <c r="AD42" s="120"/>
      <c r="AE42" s="123" t="s">
        <v>90</v>
      </c>
      <c r="AF42" s="119"/>
      <c r="AG42" s="119"/>
      <c r="AH42" s="119"/>
      <c r="AI42" s="148">
        <f>'Multi-Family Year 2013'!G23</f>
        <v>1570.7950000000001</v>
      </c>
      <c r="AJ42" s="120"/>
      <c r="AK42" s="123" t="s">
        <v>90</v>
      </c>
      <c r="AL42" s="119"/>
      <c r="AM42" s="119"/>
      <c r="AN42" s="119"/>
      <c r="AO42" s="129">
        <f>'[1]BI Multi-Family 2012'!$G$23</f>
        <v>28903.390000000003</v>
      </c>
      <c r="AP42" s="119"/>
      <c r="AU42" s="169"/>
      <c r="BA42" s="169"/>
    </row>
    <row r="43" spans="1:54" x14ac:dyDescent="0.2">
      <c r="A43" s="123"/>
      <c r="B43" s="119"/>
      <c r="C43" s="119"/>
      <c r="D43" s="119"/>
      <c r="E43" s="119"/>
      <c r="F43" s="120"/>
      <c r="G43" s="123"/>
      <c r="H43" s="119"/>
      <c r="I43" s="119"/>
      <c r="J43" s="119"/>
      <c r="K43" s="119"/>
      <c r="L43" s="120"/>
      <c r="M43" s="123"/>
      <c r="N43" s="119"/>
      <c r="O43" s="119"/>
      <c r="P43" s="119"/>
      <c r="Q43" s="119"/>
      <c r="R43" s="120"/>
      <c r="S43" s="123" t="s">
        <v>162</v>
      </c>
      <c r="T43" s="119"/>
      <c r="U43" s="119"/>
      <c r="V43" s="119"/>
      <c r="W43" s="148">
        <f>-W42</f>
        <v>4055.5025000000005</v>
      </c>
      <c r="X43" s="120"/>
      <c r="Y43" s="123"/>
      <c r="Z43" s="119"/>
      <c r="AA43" s="119"/>
      <c r="AB43" s="119"/>
      <c r="AC43" s="119"/>
      <c r="AD43" s="120"/>
      <c r="AE43" s="123"/>
      <c r="AF43" s="119"/>
      <c r="AG43" s="119"/>
      <c r="AH43" s="119"/>
      <c r="AI43" s="119"/>
      <c r="AJ43" s="120"/>
      <c r="AK43" s="123"/>
      <c r="AL43" s="119"/>
      <c r="AM43" s="119"/>
      <c r="AN43" s="119"/>
      <c r="AO43" s="119"/>
      <c r="AP43" s="119"/>
    </row>
    <row r="44" spans="1:54" x14ac:dyDescent="0.2">
      <c r="A44" s="123" t="s">
        <v>91</v>
      </c>
      <c r="B44" s="119"/>
      <c r="C44" s="119"/>
      <c r="D44" s="119"/>
      <c r="E44" s="129">
        <f>E42-E40</f>
        <v>-10792.582936946095</v>
      </c>
      <c r="F44" s="120"/>
      <c r="G44" s="123" t="s">
        <v>91</v>
      </c>
      <c r="H44" s="119"/>
      <c r="I44" s="119"/>
      <c r="J44" s="119"/>
      <c r="K44" s="129">
        <f>K42-K40</f>
        <v>-1412.8661046797743</v>
      </c>
      <c r="L44" s="120"/>
      <c r="M44" s="123" t="s">
        <v>91</v>
      </c>
      <c r="N44" s="119"/>
      <c r="O44" s="119"/>
      <c r="P44" s="119"/>
      <c r="Q44" s="129">
        <f>Q42-Q40</f>
        <v>-2619.003846428448</v>
      </c>
      <c r="R44" s="120"/>
      <c r="S44" s="123" t="s">
        <v>91</v>
      </c>
      <c r="T44" s="119"/>
      <c r="U44" s="119"/>
      <c r="V44" s="119"/>
      <c r="W44" s="129">
        <f>W42-W40+W43</f>
        <v>-404.69999999999982</v>
      </c>
      <c r="X44" s="120"/>
      <c r="Y44" s="123" t="s">
        <v>91</v>
      </c>
      <c r="Z44" s="119"/>
      <c r="AA44" s="119"/>
      <c r="AB44" s="119"/>
      <c r="AC44" s="129">
        <f>AC42-AC40</f>
        <v>-8499.3528232436474</v>
      </c>
      <c r="AD44" s="120"/>
      <c r="AE44" s="123" t="s">
        <v>91</v>
      </c>
      <c r="AF44" s="119"/>
      <c r="AG44" s="119"/>
      <c r="AH44" s="119"/>
      <c r="AI44" s="129">
        <f>AI42-AI40</f>
        <v>-34073.092469730946</v>
      </c>
      <c r="AJ44" s="120"/>
      <c r="AK44" s="123" t="s">
        <v>91</v>
      </c>
      <c r="AL44" s="119"/>
      <c r="AM44" s="119"/>
      <c r="AN44" s="119"/>
      <c r="AO44" s="129">
        <f>AO42-AO40</f>
        <v>-19353.725000000002</v>
      </c>
      <c r="AP44" s="119"/>
      <c r="AU44" s="169"/>
      <c r="BA44" s="169"/>
    </row>
    <row r="45" spans="1:54" x14ac:dyDescent="0.2">
      <c r="A45" s="123"/>
      <c r="B45" s="119"/>
      <c r="C45" s="119"/>
      <c r="D45" s="119"/>
      <c r="E45" s="119"/>
      <c r="F45" s="120"/>
      <c r="G45" s="123"/>
      <c r="H45" s="119"/>
      <c r="I45" s="119"/>
      <c r="J45" s="119"/>
      <c r="K45" s="119"/>
      <c r="L45" s="120"/>
      <c r="M45" s="123"/>
      <c r="N45" s="119"/>
      <c r="O45" s="119"/>
      <c r="P45" s="119"/>
      <c r="Q45" s="119"/>
      <c r="R45" s="120"/>
      <c r="S45" s="123"/>
      <c r="T45" s="119"/>
      <c r="U45" s="119"/>
      <c r="V45" s="119"/>
      <c r="W45" s="119"/>
      <c r="X45" s="120"/>
      <c r="Y45" s="123"/>
      <c r="Z45" s="119"/>
      <c r="AA45" s="119"/>
      <c r="AB45" s="119"/>
      <c r="AC45" s="119"/>
      <c r="AD45" s="120"/>
      <c r="AE45" s="123"/>
      <c r="AF45" s="119"/>
      <c r="AG45" s="119"/>
      <c r="AH45" s="119"/>
      <c r="AI45" s="119"/>
      <c r="AJ45" s="120"/>
      <c r="AK45" s="123"/>
      <c r="AL45" s="119"/>
      <c r="AM45" s="119"/>
      <c r="AN45" s="119"/>
      <c r="AO45" s="119"/>
      <c r="AP45" s="119"/>
    </row>
    <row r="46" spans="1:54" x14ac:dyDescent="0.2">
      <c r="A46" s="123" t="s">
        <v>92</v>
      </c>
      <c r="B46" s="119"/>
      <c r="C46" s="119"/>
      <c r="D46" s="119"/>
      <c r="E46" s="129">
        <f>+C40</f>
        <v>18732</v>
      </c>
      <c r="F46" s="120"/>
      <c r="G46" s="123" t="s">
        <v>92</v>
      </c>
      <c r="H46" s="119"/>
      <c r="I46" s="119"/>
      <c r="J46" s="119"/>
      <c r="K46" s="129">
        <f>+I40</f>
        <v>18572</v>
      </c>
      <c r="L46" s="120"/>
      <c r="M46" s="123" t="s">
        <v>92</v>
      </c>
      <c r="N46" s="119"/>
      <c r="O46" s="119"/>
      <c r="P46" s="119"/>
      <c r="Q46" s="129">
        <f>+O40</f>
        <v>16188</v>
      </c>
      <c r="R46" s="120"/>
      <c r="S46" s="123" t="s">
        <v>92</v>
      </c>
      <c r="T46" s="119"/>
      <c r="U46" s="119"/>
      <c r="V46" s="119"/>
      <c r="W46" s="129">
        <f>+U40</f>
        <v>16188</v>
      </c>
      <c r="X46" s="120"/>
      <c r="Y46" s="123" t="s">
        <v>92</v>
      </c>
      <c r="Z46" s="119"/>
      <c r="AA46" s="119"/>
      <c r="AB46" s="119"/>
      <c r="AC46" s="129">
        <f>+AA40</f>
        <v>16188</v>
      </c>
      <c r="AD46" s="120"/>
      <c r="AE46" s="123" t="s">
        <v>92</v>
      </c>
      <c r="AF46" s="119"/>
      <c r="AG46" s="119"/>
      <c r="AH46" s="119"/>
      <c r="AI46" s="129">
        <f>+AG40</f>
        <v>16188</v>
      </c>
      <c r="AJ46" s="120"/>
      <c r="AK46" s="123" t="s">
        <v>92</v>
      </c>
      <c r="AL46" s="119"/>
      <c r="AM46" s="119"/>
      <c r="AN46" s="119"/>
      <c r="AO46" s="129">
        <f>AM40</f>
        <v>16056</v>
      </c>
      <c r="AP46" s="119"/>
      <c r="AU46" s="169"/>
      <c r="BA46" s="169"/>
    </row>
    <row r="47" spans="1:54" x14ac:dyDescent="0.2">
      <c r="A47" s="123"/>
      <c r="B47" s="119"/>
      <c r="C47" s="119"/>
      <c r="D47" s="119"/>
      <c r="E47" s="119"/>
      <c r="F47" s="120"/>
      <c r="G47" s="123"/>
      <c r="H47" s="119"/>
      <c r="I47" s="119"/>
      <c r="J47" s="119"/>
      <c r="K47" s="119"/>
      <c r="L47" s="120"/>
      <c r="M47" s="123"/>
      <c r="N47" s="119"/>
      <c r="O47" s="119"/>
      <c r="P47" s="119"/>
      <c r="Q47" s="119"/>
      <c r="R47" s="120"/>
      <c r="S47" s="123"/>
      <c r="T47" s="119"/>
      <c r="U47" s="119"/>
      <c r="V47" s="119"/>
      <c r="W47" s="119"/>
      <c r="X47" s="120"/>
      <c r="Y47" s="123"/>
      <c r="Z47" s="119"/>
      <c r="AA47" s="119"/>
      <c r="AB47" s="119"/>
      <c r="AC47" s="119"/>
      <c r="AD47" s="120"/>
      <c r="AE47" s="123"/>
      <c r="AF47" s="119"/>
      <c r="AG47" s="119"/>
      <c r="AH47" s="119"/>
      <c r="AI47" s="119"/>
      <c r="AJ47" s="120"/>
      <c r="AK47" s="123"/>
      <c r="AL47" s="119"/>
      <c r="AM47" s="119"/>
      <c r="AN47" s="119"/>
      <c r="AO47" s="119"/>
      <c r="AP47" s="119"/>
    </row>
    <row r="48" spans="1:54" x14ac:dyDescent="0.2">
      <c r="A48" s="123" t="s">
        <v>93</v>
      </c>
      <c r="B48" s="119"/>
      <c r="C48" s="119"/>
      <c r="D48" s="119"/>
      <c r="E48" s="119"/>
      <c r="F48" s="142">
        <f>ROUND((E44/E46),2)</f>
        <v>-0.57999999999999996</v>
      </c>
      <c r="G48" s="123" t="s">
        <v>93</v>
      </c>
      <c r="H48" s="119"/>
      <c r="I48" s="119"/>
      <c r="J48" s="119"/>
      <c r="K48" s="119"/>
      <c r="L48" s="142">
        <f>ROUND((K44/K46),2)</f>
        <v>-0.08</v>
      </c>
      <c r="M48" s="123" t="s">
        <v>93</v>
      </c>
      <c r="N48" s="119"/>
      <c r="O48" s="119"/>
      <c r="P48" s="119"/>
      <c r="Q48" s="119"/>
      <c r="R48" s="142">
        <f>ROUND((Q44/Q46),2)</f>
        <v>-0.16</v>
      </c>
      <c r="S48" s="123" t="s">
        <v>93</v>
      </c>
      <c r="T48" s="119"/>
      <c r="U48" s="119"/>
      <c r="V48" s="119"/>
      <c r="W48" s="119"/>
      <c r="X48" s="142">
        <f>ROUND((W44/W46),2)</f>
        <v>-0.03</v>
      </c>
      <c r="Y48" s="123" t="s">
        <v>93</v>
      </c>
      <c r="Z48" s="119"/>
      <c r="AA48" s="119"/>
      <c r="AB48" s="119"/>
      <c r="AC48" s="119"/>
      <c r="AD48" s="142">
        <f>ROUND((AC44/AC46),2)</f>
        <v>-0.53</v>
      </c>
      <c r="AE48" s="123" t="s">
        <v>93</v>
      </c>
      <c r="AF48" s="119"/>
      <c r="AG48" s="119"/>
      <c r="AH48" s="119"/>
      <c r="AI48" s="119"/>
      <c r="AJ48" s="142">
        <f>ROUND((AI44/AI46),2)</f>
        <v>-2.1</v>
      </c>
      <c r="AK48" s="123" t="s">
        <v>93</v>
      </c>
      <c r="AL48" s="119"/>
      <c r="AM48" s="119"/>
      <c r="AN48" s="119"/>
      <c r="AO48" s="119"/>
      <c r="AP48" s="154">
        <f>(AO44/AO46)</f>
        <v>-1.2053889511709019</v>
      </c>
      <c r="AV48" s="181"/>
      <c r="BB48" s="181"/>
    </row>
    <row r="49" spans="1:54" x14ac:dyDescent="0.2">
      <c r="A49" s="123"/>
      <c r="B49" s="119"/>
      <c r="C49" s="119"/>
      <c r="D49" s="119"/>
      <c r="E49" s="129"/>
      <c r="F49" s="120"/>
      <c r="G49" s="123"/>
      <c r="H49" s="119"/>
      <c r="I49" s="119"/>
      <c r="J49" s="119"/>
      <c r="K49" s="129"/>
      <c r="L49" s="120"/>
      <c r="M49" s="123"/>
      <c r="N49" s="119"/>
      <c r="O49" s="119"/>
      <c r="P49" s="119"/>
      <c r="Q49" s="129"/>
      <c r="R49" s="120"/>
      <c r="S49" s="123"/>
      <c r="T49" s="119"/>
      <c r="U49" s="119"/>
      <c r="V49" s="119"/>
      <c r="W49" s="129"/>
      <c r="X49" s="120"/>
      <c r="Y49" s="123"/>
      <c r="Z49" s="119"/>
      <c r="AA49" s="119"/>
      <c r="AB49" s="119"/>
      <c r="AC49" s="129"/>
      <c r="AD49" s="120"/>
      <c r="AE49" s="123"/>
      <c r="AF49" s="119"/>
      <c r="AG49" s="119"/>
      <c r="AH49" s="119"/>
      <c r="AI49" s="129"/>
      <c r="AJ49" s="120"/>
      <c r="AK49" s="123"/>
      <c r="AL49" s="119"/>
      <c r="AM49" s="119"/>
      <c r="AN49" s="119"/>
      <c r="AO49" s="129"/>
      <c r="AP49" s="119"/>
      <c r="AU49" s="169"/>
      <c r="BA49" s="169"/>
    </row>
    <row r="50" spans="1:54" ht="16.5" x14ac:dyDescent="0.35">
      <c r="A50" s="217" t="str">
        <f>A23</f>
        <v>Projected Revenue October 2018 - March 2019</v>
      </c>
      <c r="B50" s="127"/>
      <c r="C50" s="119"/>
      <c r="D50" s="119"/>
      <c r="E50" s="216">
        <f>+'Calcs revised method'!Q50</f>
        <v>-9586.0184184730497</v>
      </c>
      <c r="F50" s="120"/>
      <c r="G50" s="217" t="str">
        <f>G23</f>
        <v>Projected Revenue April - September 2018</v>
      </c>
      <c r="H50" s="127"/>
      <c r="I50" s="119"/>
      <c r="J50" s="119"/>
      <c r="K50" s="216">
        <f>SUM('Multi-Family 2017'!G20:G25)+('Multi-Family 2017'!F31/2)</f>
        <v>-5136.4741023398865</v>
      </c>
      <c r="L50" s="120"/>
      <c r="M50" s="126" t="str">
        <f>M23</f>
        <v>Projected Revenue Jan-Dec 2016</v>
      </c>
      <c r="N50" s="127"/>
      <c r="O50" s="119"/>
      <c r="P50" s="119"/>
      <c r="Q50" s="135">
        <f>+Q42+Q43</f>
        <v>-2619.003846428448</v>
      </c>
      <c r="R50" s="120"/>
      <c r="S50" s="126" t="str">
        <f>S23</f>
        <v>Projected Revenue Jan-Dec 2015</v>
      </c>
      <c r="T50" s="127"/>
      <c r="U50" s="119"/>
      <c r="V50" s="119"/>
      <c r="W50" s="135">
        <f>+W42+W43</f>
        <v>0</v>
      </c>
      <c r="X50" s="120"/>
      <c r="Y50" s="126" t="str">
        <f>Y23</f>
        <v>Projected Revenue Jan-Dec 2014</v>
      </c>
      <c r="Z50" s="127"/>
      <c r="AA50" s="119"/>
      <c r="AB50" s="119"/>
      <c r="AC50" s="135">
        <f>+AC42</f>
        <v>0</v>
      </c>
      <c r="AD50" s="120"/>
      <c r="AE50" s="126" t="str">
        <f>AE23</f>
        <v>Projected Revenue Jan-Dec 2014</v>
      </c>
      <c r="AF50" s="127"/>
      <c r="AG50" s="119"/>
      <c r="AH50" s="119"/>
      <c r="AI50" s="135">
        <f>+AI42</f>
        <v>1570.7950000000001</v>
      </c>
      <c r="AJ50" s="120"/>
      <c r="AK50" s="126" t="str">
        <f>AK23</f>
        <v>Projected Revenue Jan-Dec 2013</v>
      </c>
      <c r="AL50" s="127"/>
      <c r="AM50" s="119"/>
      <c r="AN50" s="119"/>
      <c r="AO50" s="135">
        <f>AO42</f>
        <v>28903.390000000003</v>
      </c>
      <c r="AP50" s="119"/>
      <c r="AQ50" s="167"/>
      <c r="AR50" s="167"/>
      <c r="AU50" s="175"/>
      <c r="AW50" s="167"/>
      <c r="AX50" s="167"/>
      <c r="BA50" s="175"/>
    </row>
    <row r="51" spans="1:54" x14ac:dyDescent="0.2">
      <c r="A51" s="123" t="s">
        <v>92</v>
      </c>
      <c r="B51" s="119"/>
      <c r="C51" s="119"/>
      <c r="D51" s="119"/>
      <c r="E51" s="129">
        <f>SUM('Multi-Family 2018 '!C17:C22)</f>
        <v>9366</v>
      </c>
      <c r="F51" s="120"/>
      <c r="G51" s="123" t="s">
        <v>92</v>
      </c>
      <c r="H51" s="119"/>
      <c r="I51" s="119"/>
      <c r="J51" s="119"/>
      <c r="K51" s="129">
        <f>K46</f>
        <v>18572</v>
      </c>
      <c r="L51" s="120"/>
      <c r="M51" s="123" t="s">
        <v>92</v>
      </c>
      <c r="N51" s="119"/>
      <c r="O51" s="119"/>
      <c r="P51" s="119"/>
      <c r="Q51" s="129">
        <f>Q46</f>
        <v>16188</v>
      </c>
      <c r="R51" s="120"/>
      <c r="S51" s="123" t="s">
        <v>92</v>
      </c>
      <c r="T51" s="119"/>
      <c r="U51" s="119"/>
      <c r="V51" s="119"/>
      <c r="W51" s="129">
        <f>W46</f>
        <v>16188</v>
      </c>
      <c r="X51" s="120"/>
      <c r="Y51" s="123" t="s">
        <v>92</v>
      </c>
      <c r="Z51" s="119"/>
      <c r="AA51" s="119"/>
      <c r="AB51" s="119"/>
      <c r="AC51" s="129">
        <f>AC46</f>
        <v>16188</v>
      </c>
      <c r="AD51" s="120"/>
      <c r="AE51" s="123" t="s">
        <v>92</v>
      </c>
      <c r="AF51" s="119"/>
      <c r="AG51" s="119"/>
      <c r="AH51" s="119"/>
      <c r="AI51" s="129">
        <f>AI46</f>
        <v>16188</v>
      </c>
      <c r="AJ51" s="120"/>
      <c r="AK51" s="123" t="s">
        <v>97</v>
      </c>
      <c r="AL51" s="119"/>
      <c r="AM51" s="119"/>
      <c r="AN51" s="119"/>
      <c r="AO51" s="129">
        <f>AO46</f>
        <v>16056</v>
      </c>
      <c r="AP51" s="119"/>
      <c r="AU51" s="169"/>
      <c r="BA51" s="169"/>
    </row>
    <row r="52" spans="1:54" ht="15" x14ac:dyDescent="0.35">
      <c r="A52" s="123" t="s">
        <v>94</v>
      </c>
      <c r="B52" s="119"/>
      <c r="C52" s="119"/>
      <c r="D52" s="119"/>
      <c r="E52" s="119"/>
      <c r="F52" s="143">
        <f>ROUND((E50/E51),2)</f>
        <v>-1.02</v>
      </c>
      <c r="G52" s="123" t="s">
        <v>94</v>
      </c>
      <c r="H52" s="119"/>
      <c r="I52" s="119"/>
      <c r="J52" s="119"/>
      <c r="K52" s="119"/>
      <c r="L52" s="143">
        <f>ROUND((K50/K51),2)</f>
        <v>-0.28000000000000003</v>
      </c>
      <c r="M52" s="123" t="s">
        <v>94</v>
      </c>
      <c r="N52" s="119"/>
      <c r="O52" s="119"/>
      <c r="P52" s="119"/>
      <c r="Q52" s="119"/>
      <c r="R52" s="143">
        <f>ROUND((Q50/Q51),2)</f>
        <v>-0.16</v>
      </c>
      <c r="S52" s="123" t="s">
        <v>94</v>
      </c>
      <c r="T52" s="119"/>
      <c r="U52" s="119"/>
      <c r="V52" s="119"/>
      <c r="W52" s="119"/>
      <c r="X52" s="143">
        <f>ROUND((W50/W51),2)</f>
        <v>0</v>
      </c>
      <c r="Y52" s="123" t="s">
        <v>94</v>
      </c>
      <c r="Z52" s="119"/>
      <c r="AA52" s="119"/>
      <c r="AB52" s="119"/>
      <c r="AC52" s="119"/>
      <c r="AD52" s="143">
        <f>ROUND((AC50/AC51),2)</f>
        <v>0</v>
      </c>
      <c r="AE52" s="123" t="s">
        <v>94</v>
      </c>
      <c r="AF52" s="119"/>
      <c r="AG52" s="119"/>
      <c r="AH52" s="119"/>
      <c r="AI52" s="119"/>
      <c r="AJ52" s="143">
        <f>ROUND((AI50/AI51),2)</f>
        <v>0.1</v>
      </c>
      <c r="AK52" s="123" t="s">
        <v>94</v>
      </c>
      <c r="AL52" s="119"/>
      <c r="AM52" s="119"/>
      <c r="AN52" s="119"/>
      <c r="AO52" s="119"/>
      <c r="AP52" s="155">
        <f>(AO50/AO51)</f>
        <v>1.8001613104135528</v>
      </c>
      <c r="AV52" s="177"/>
      <c r="BB52" s="177"/>
    </row>
    <row r="53" spans="1:54" x14ac:dyDescent="0.2">
      <c r="A53" s="123"/>
      <c r="B53" s="119"/>
      <c r="C53" s="119"/>
      <c r="D53" s="119"/>
      <c r="E53" s="119"/>
      <c r="F53" s="120"/>
      <c r="G53" s="123"/>
      <c r="H53" s="119"/>
      <c r="I53" s="119"/>
      <c r="J53" s="119"/>
      <c r="K53" s="119"/>
      <c r="L53" s="120"/>
      <c r="M53" s="123"/>
      <c r="N53" s="119"/>
      <c r="O53" s="119"/>
      <c r="P53" s="119"/>
      <c r="Q53" s="119"/>
      <c r="R53" s="120"/>
      <c r="S53" s="123"/>
      <c r="T53" s="119"/>
      <c r="U53" s="119"/>
      <c r="V53" s="119"/>
      <c r="W53" s="119"/>
      <c r="X53" s="120"/>
      <c r="Y53" s="123"/>
      <c r="Z53" s="119"/>
      <c r="AA53" s="119"/>
      <c r="AB53" s="119"/>
      <c r="AC53" s="119"/>
      <c r="AD53" s="120"/>
      <c r="AE53" s="123"/>
      <c r="AF53" s="119"/>
      <c r="AG53" s="119"/>
      <c r="AH53" s="119"/>
      <c r="AI53" s="119"/>
      <c r="AJ53" s="120"/>
      <c r="AK53" s="116" t="s">
        <v>107</v>
      </c>
      <c r="AL53" s="119"/>
      <c r="AM53" s="119"/>
      <c r="AN53" s="119"/>
      <c r="AO53" s="119"/>
      <c r="AP53" s="139">
        <f>'Credit Calc Multi-Family 2013'!I44-AP48</f>
        <v>-6.1611048829097959E-2</v>
      </c>
    </row>
    <row r="54" spans="1:54" ht="18.75" thickBot="1" x14ac:dyDescent="0.4">
      <c r="A54" s="116" t="s">
        <v>98</v>
      </c>
      <c r="B54" s="117"/>
      <c r="C54" s="119"/>
      <c r="D54" s="119"/>
      <c r="E54" s="119"/>
      <c r="F54" s="138">
        <f>+F52+F48</f>
        <v>-1.6</v>
      </c>
      <c r="G54" s="116" t="s">
        <v>98</v>
      </c>
      <c r="H54" s="117"/>
      <c r="I54" s="119"/>
      <c r="J54" s="119"/>
      <c r="K54" s="119"/>
      <c r="L54" s="138">
        <f>+L52+L48</f>
        <v>-0.36000000000000004</v>
      </c>
      <c r="M54" s="116" t="s">
        <v>98</v>
      </c>
      <c r="N54" s="117"/>
      <c r="O54" s="119"/>
      <c r="P54" s="119"/>
      <c r="Q54" s="119"/>
      <c r="R54" s="138">
        <f>+R52+R48</f>
        <v>-0.32</v>
      </c>
      <c r="S54" s="116" t="s">
        <v>98</v>
      </c>
      <c r="T54" s="117"/>
      <c r="U54" s="119"/>
      <c r="V54" s="119"/>
      <c r="W54" s="119"/>
      <c r="X54" s="138">
        <f>+X52+X48</f>
        <v>-0.03</v>
      </c>
      <c r="Y54" s="116" t="s">
        <v>98</v>
      </c>
      <c r="Z54" s="117"/>
      <c r="AA54" s="119"/>
      <c r="AB54" s="119"/>
      <c r="AC54" s="119"/>
      <c r="AD54" s="138">
        <f>+AD52+AD48</f>
        <v>-0.53</v>
      </c>
      <c r="AE54" s="116" t="s">
        <v>98</v>
      </c>
      <c r="AF54" s="117"/>
      <c r="AG54" s="119"/>
      <c r="AH54" s="119"/>
      <c r="AI54" s="119"/>
      <c r="AJ54" s="138">
        <f>+AJ52+AJ48</f>
        <v>-2</v>
      </c>
      <c r="AK54" s="116" t="s">
        <v>98</v>
      </c>
      <c r="AL54" s="117"/>
      <c r="AM54" s="119"/>
      <c r="AN54" s="119"/>
      <c r="AO54" s="119"/>
      <c r="AP54" s="156">
        <f>+AP52+AP48+AP53</f>
        <v>0.53316131041355286</v>
      </c>
      <c r="AQ54" s="160"/>
      <c r="AR54" s="160"/>
      <c r="AV54" s="178"/>
      <c r="AW54" s="160"/>
      <c r="AX54" s="160"/>
      <c r="BB54" s="178"/>
    </row>
    <row r="55" spans="1:54" ht="19.5" thickTop="1" thickBot="1" x14ac:dyDescent="0.4">
      <c r="A55" s="116" t="s">
        <v>223</v>
      </c>
      <c r="B55" s="119"/>
      <c r="C55" s="119"/>
      <c r="D55" s="119"/>
      <c r="E55" s="119"/>
      <c r="F55" s="137">
        <f>+F54/5*6</f>
        <v>-1.92</v>
      </c>
      <c r="G55" s="116"/>
      <c r="H55" s="117"/>
      <c r="I55" s="119"/>
      <c r="J55" s="119"/>
      <c r="K55" s="119"/>
      <c r="L55" s="144"/>
      <c r="M55" s="116"/>
      <c r="N55" s="117"/>
      <c r="O55" s="119"/>
      <c r="P55" s="119"/>
      <c r="Q55" s="119"/>
      <c r="R55" s="144"/>
      <c r="S55" s="116"/>
      <c r="T55" s="117"/>
      <c r="U55" s="119"/>
      <c r="V55" s="119"/>
      <c r="W55" s="119"/>
      <c r="X55" s="144"/>
      <c r="Y55" s="116"/>
      <c r="Z55" s="117"/>
      <c r="AA55" s="119"/>
      <c r="AB55" s="119"/>
      <c r="AC55" s="119"/>
      <c r="AD55" s="144"/>
      <c r="AE55" s="116"/>
      <c r="AF55" s="117"/>
      <c r="AG55" s="119"/>
      <c r="AH55" s="119"/>
      <c r="AI55" s="119"/>
      <c r="AJ55" s="144"/>
      <c r="AK55" s="116"/>
      <c r="AL55" s="117"/>
      <c r="AM55" s="119"/>
      <c r="AN55" s="119"/>
      <c r="AO55" s="119"/>
      <c r="AP55" s="157"/>
      <c r="AQ55" s="160"/>
      <c r="AR55" s="160"/>
      <c r="AV55" s="178"/>
      <c r="AW55" s="160"/>
      <c r="AX55" s="160"/>
      <c r="AZ55" s="179"/>
      <c r="BB55" s="178"/>
    </row>
    <row r="56" spans="1:54" ht="15.75" thickTop="1" x14ac:dyDescent="0.35">
      <c r="A56" s="131"/>
      <c r="B56" s="119"/>
      <c r="C56" s="119"/>
      <c r="D56" s="119"/>
      <c r="E56" s="119"/>
      <c r="F56" s="140"/>
      <c r="G56" s="131"/>
      <c r="H56" s="119"/>
      <c r="I56" s="119"/>
      <c r="J56" s="119"/>
      <c r="K56" s="119"/>
      <c r="L56" s="140"/>
      <c r="M56" s="131"/>
      <c r="N56" s="119"/>
      <c r="O56" s="119"/>
      <c r="P56" s="119"/>
      <c r="Q56" s="119"/>
      <c r="R56" s="140"/>
      <c r="S56" s="131"/>
      <c r="T56" s="119"/>
      <c r="U56" s="119"/>
      <c r="V56" s="119"/>
      <c r="W56" s="119"/>
      <c r="X56" s="140"/>
      <c r="Y56" s="131"/>
      <c r="Z56" s="119"/>
      <c r="AA56" s="119"/>
      <c r="AB56" s="119"/>
      <c r="AC56" s="119"/>
      <c r="AD56" s="140"/>
      <c r="AE56" s="131"/>
      <c r="AF56" s="119"/>
      <c r="AG56" s="119"/>
      <c r="AH56" s="119"/>
      <c r="AI56" s="119"/>
      <c r="AJ56" s="140"/>
      <c r="AK56" s="131"/>
      <c r="AL56" s="119"/>
      <c r="AM56" s="119"/>
      <c r="AN56" s="119"/>
      <c r="AO56" s="119"/>
      <c r="AP56" s="153"/>
    </row>
    <row r="57" spans="1:54" ht="13.5" thickBot="1" x14ac:dyDescent="0.25">
      <c r="A57" s="145"/>
      <c r="B57" s="146"/>
      <c r="C57" s="146"/>
      <c r="D57" s="146"/>
      <c r="E57" s="146"/>
      <c r="F57" s="147"/>
      <c r="G57" s="145"/>
      <c r="H57" s="146"/>
      <c r="I57" s="146"/>
      <c r="J57" s="146"/>
      <c r="K57" s="146"/>
      <c r="L57" s="147"/>
      <c r="M57" s="145"/>
      <c r="N57" s="146"/>
      <c r="O57" s="146"/>
      <c r="P57" s="146"/>
      <c r="Q57" s="146"/>
      <c r="R57" s="147"/>
      <c r="S57" s="145"/>
      <c r="T57" s="146"/>
      <c r="U57" s="146"/>
      <c r="V57" s="146"/>
      <c r="W57" s="146"/>
      <c r="X57" s="147"/>
      <c r="Y57" s="145"/>
      <c r="Z57" s="146"/>
      <c r="AA57" s="146"/>
      <c r="AB57" s="146"/>
      <c r="AC57" s="146"/>
      <c r="AD57" s="147"/>
      <c r="AE57" s="145"/>
      <c r="AF57" s="146"/>
      <c r="AG57" s="146"/>
      <c r="AH57" s="146"/>
      <c r="AI57" s="146"/>
      <c r="AJ57" s="147"/>
      <c r="AK57" s="145"/>
      <c r="AL57" s="146"/>
      <c r="AM57" s="146"/>
      <c r="AN57" s="146"/>
      <c r="AO57" s="146"/>
      <c r="AP57" s="146"/>
      <c r="AZ57" s="179"/>
      <c r="BB57" s="182"/>
    </row>
  </sheetData>
  <mergeCells count="21">
    <mergeCell ref="A33:F33"/>
    <mergeCell ref="A4:F4"/>
    <mergeCell ref="A6:F6"/>
    <mergeCell ref="G4:L4"/>
    <mergeCell ref="G6:L6"/>
    <mergeCell ref="G33:L33"/>
    <mergeCell ref="M4:R4"/>
    <mergeCell ref="M6:R6"/>
    <mergeCell ref="M33:R33"/>
    <mergeCell ref="AE6:AJ6"/>
    <mergeCell ref="AK6:AP6"/>
    <mergeCell ref="S4:X4"/>
    <mergeCell ref="S6:X6"/>
    <mergeCell ref="S33:X33"/>
    <mergeCell ref="Y33:AD33"/>
    <mergeCell ref="AE33:AJ33"/>
    <mergeCell ref="AK33:AP33"/>
    <mergeCell ref="Y4:AD4"/>
    <mergeCell ref="AE4:AJ4"/>
    <mergeCell ref="AK4:AP4"/>
    <mergeCell ref="Y6:AD6"/>
  </mergeCells>
  <phoneticPr fontId="9" type="noConversion"/>
  <pageMargins left="0.92" right="0.25" top="0.45" bottom="0.37" header="0.3" footer="0.3"/>
  <pageSetup scale="96" fitToHeight="0" orientation="portrait" horizontalDpi="300" verticalDpi="300" r:id="rId1"/>
  <colBreaks count="1" manualBreakCount="1">
    <brk id="42" max="1048575" man="1"/>
  </col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9"/>
  <sheetViews>
    <sheetView workbookViewId="0">
      <selection activeCell="F26" sqref="F26"/>
    </sheetView>
  </sheetViews>
  <sheetFormatPr defaultRowHeight="15" x14ac:dyDescent="0.25"/>
  <cols>
    <col min="1" max="1" width="3.5703125" customWidth="1"/>
    <col min="3" max="3" width="16.42578125" customWidth="1"/>
    <col min="4" max="7" width="12.7109375" customWidth="1"/>
  </cols>
  <sheetData>
    <row r="1" spans="1:7" ht="23.25" x14ac:dyDescent="0.35">
      <c r="A1" s="257" t="s">
        <v>1</v>
      </c>
      <c r="B1" s="257"/>
      <c r="C1" s="257"/>
      <c r="D1" s="257"/>
      <c r="E1" s="257"/>
      <c r="F1" s="257"/>
      <c r="G1" s="257"/>
    </row>
    <row r="2" spans="1:7" ht="18" x14ac:dyDescent="0.25">
      <c r="A2" s="258" t="s">
        <v>71</v>
      </c>
      <c r="B2" s="258"/>
      <c r="C2" s="258"/>
      <c r="D2" s="258"/>
      <c r="E2" s="258"/>
      <c r="F2" s="258"/>
      <c r="G2" s="258"/>
    </row>
    <row r="3" spans="1:7" ht="15.75" x14ac:dyDescent="0.25">
      <c r="A3" s="259" t="s">
        <v>129</v>
      </c>
      <c r="B3" s="259"/>
      <c r="C3" s="259"/>
      <c r="D3" s="259"/>
      <c r="E3" s="259"/>
      <c r="F3" s="259"/>
      <c r="G3" s="259"/>
    </row>
    <row r="4" spans="1:7" x14ac:dyDescent="0.25">
      <c r="A4" s="1"/>
      <c r="B4" s="1"/>
      <c r="C4" s="1"/>
      <c r="D4" s="3"/>
      <c r="E4" s="1"/>
      <c r="F4" s="1"/>
    </row>
    <row r="5" spans="1:7" x14ac:dyDescent="0.25">
      <c r="A5" s="1"/>
      <c r="B5" s="1"/>
      <c r="C5" s="1"/>
      <c r="D5" s="3"/>
      <c r="E5" s="1"/>
      <c r="F5" s="1"/>
    </row>
    <row r="6" spans="1:7" x14ac:dyDescent="0.25">
      <c r="A6" s="1"/>
      <c r="B6" s="1"/>
      <c r="C6" s="1"/>
      <c r="D6" s="3"/>
      <c r="E6" s="1"/>
      <c r="F6" s="1"/>
    </row>
    <row r="7" spans="1:7" x14ac:dyDescent="0.25">
      <c r="A7" s="1"/>
      <c r="B7" s="2"/>
      <c r="C7" s="1"/>
      <c r="D7" s="1"/>
      <c r="E7" s="3"/>
      <c r="F7" s="1"/>
    </row>
    <row r="8" spans="1:7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7" ht="16.5" thickBot="1" x14ac:dyDescent="0.3">
      <c r="B9" s="60"/>
      <c r="C9" s="61"/>
      <c r="D9" s="60"/>
      <c r="E9" s="62"/>
      <c r="F9" s="60" t="s">
        <v>8</v>
      </c>
      <c r="G9" s="60"/>
    </row>
    <row r="10" spans="1:7" ht="16.5" thickTop="1" x14ac:dyDescent="0.25">
      <c r="B10" s="63"/>
      <c r="C10" s="64"/>
      <c r="D10" s="64"/>
      <c r="E10" s="63"/>
      <c r="F10" s="65"/>
      <c r="G10" s="63"/>
    </row>
    <row r="11" spans="1:7" ht="15.75" x14ac:dyDescent="0.25">
      <c r="B11" s="85" t="s">
        <v>130</v>
      </c>
      <c r="C11" s="66">
        <v>6086</v>
      </c>
      <c r="D11" s="67">
        <f t="shared" ref="D11:D21" si="0">+E11*2000</f>
        <v>431720</v>
      </c>
      <c r="E11" s="68">
        <v>215.86</v>
      </c>
      <c r="F11" s="69">
        <v>0</v>
      </c>
      <c r="G11" s="70">
        <f>+F11*E11</f>
        <v>0</v>
      </c>
    </row>
    <row r="12" spans="1:7" ht="15.75" x14ac:dyDescent="0.25">
      <c r="B12" s="86" t="s">
        <v>131</v>
      </c>
      <c r="C12" s="67">
        <v>6177</v>
      </c>
      <c r="D12" s="67">
        <f t="shared" si="0"/>
        <v>394320</v>
      </c>
      <c r="E12" s="71">
        <v>197.16</v>
      </c>
      <c r="F12" s="72">
        <v>-9.5</v>
      </c>
      <c r="G12" s="70">
        <f t="shared" ref="G12:G22" si="1">+F12*E12</f>
        <v>-1873.02</v>
      </c>
    </row>
    <row r="13" spans="1:7" ht="15.75" x14ac:dyDescent="0.25">
      <c r="B13" s="86" t="s">
        <v>132</v>
      </c>
      <c r="C13" s="67">
        <v>6173</v>
      </c>
      <c r="D13" s="67">
        <f t="shared" si="0"/>
        <v>435560</v>
      </c>
      <c r="E13" s="71">
        <v>217.78</v>
      </c>
      <c r="F13" s="72">
        <v>-12.5</v>
      </c>
      <c r="G13" s="70">
        <f t="shared" si="1"/>
        <v>-2722.25</v>
      </c>
    </row>
    <row r="14" spans="1:7" ht="15.75" x14ac:dyDescent="0.25">
      <c r="B14" s="86" t="s">
        <v>133</v>
      </c>
      <c r="C14" s="67">
        <v>6099</v>
      </c>
      <c r="D14" s="67">
        <f t="shared" si="0"/>
        <v>450880</v>
      </c>
      <c r="E14" s="71">
        <v>225.44</v>
      </c>
      <c r="F14" s="72">
        <v>-12.5</v>
      </c>
      <c r="G14" s="70">
        <f t="shared" si="1"/>
        <v>-2818</v>
      </c>
    </row>
    <row r="15" spans="1:7" ht="15.75" x14ac:dyDescent="0.25">
      <c r="B15" s="86" t="s">
        <v>134</v>
      </c>
      <c r="C15" s="67">
        <v>6206</v>
      </c>
      <c r="D15" s="67">
        <f t="shared" si="0"/>
        <v>372080</v>
      </c>
      <c r="E15" s="71">
        <v>186.04</v>
      </c>
      <c r="F15" s="72">
        <v>-10.5</v>
      </c>
      <c r="G15" s="70">
        <f t="shared" si="1"/>
        <v>-1953.4199999999998</v>
      </c>
    </row>
    <row r="16" spans="1:7" ht="15.75" x14ac:dyDescent="0.25">
      <c r="B16" s="87" t="s">
        <v>135</v>
      </c>
      <c r="C16" s="67">
        <v>6232</v>
      </c>
      <c r="D16" s="67">
        <f t="shared" si="0"/>
        <v>418940</v>
      </c>
      <c r="E16" s="71">
        <v>209.47</v>
      </c>
      <c r="F16" s="72">
        <v>-8.5</v>
      </c>
      <c r="G16" s="70">
        <f t="shared" si="1"/>
        <v>-1780.4949999999999</v>
      </c>
    </row>
    <row r="17" spans="1:7" ht="15.75" x14ac:dyDescent="0.25">
      <c r="B17" s="87" t="s">
        <v>136</v>
      </c>
      <c r="C17" s="67">
        <v>6237</v>
      </c>
      <c r="D17" s="67">
        <f t="shared" si="0"/>
        <v>393240</v>
      </c>
      <c r="E17" s="71">
        <v>196.62</v>
      </c>
      <c r="F17" s="72">
        <v>-8.5</v>
      </c>
      <c r="G17" s="70">
        <f t="shared" si="1"/>
        <v>-1671.27</v>
      </c>
    </row>
    <row r="18" spans="1:7" ht="15.75" x14ac:dyDescent="0.25">
      <c r="B18" s="87" t="s">
        <v>137</v>
      </c>
      <c r="C18" s="67">
        <v>6259</v>
      </c>
      <c r="D18" s="67">
        <f t="shared" si="0"/>
        <v>399520</v>
      </c>
      <c r="E18" s="71">
        <v>199.76</v>
      </c>
      <c r="F18" s="72">
        <v>-17.5</v>
      </c>
      <c r="G18" s="70">
        <f t="shared" si="1"/>
        <v>-3495.7999999999997</v>
      </c>
    </row>
    <row r="19" spans="1:7" ht="15.75" x14ac:dyDescent="0.25">
      <c r="B19" s="87" t="s">
        <v>138</v>
      </c>
      <c r="C19" s="67">
        <v>6264</v>
      </c>
      <c r="D19" s="67">
        <f t="shared" si="0"/>
        <v>491980</v>
      </c>
      <c r="E19" s="71">
        <v>245.99</v>
      </c>
      <c r="F19" s="72">
        <v>-20.5</v>
      </c>
      <c r="G19" s="70">
        <f t="shared" si="1"/>
        <v>-5042.7950000000001</v>
      </c>
    </row>
    <row r="20" spans="1:7" ht="15.75" x14ac:dyDescent="0.25">
      <c r="B20" s="87" t="s">
        <v>139</v>
      </c>
      <c r="C20" s="67">
        <v>6097</v>
      </c>
      <c r="D20" s="67">
        <f t="shared" si="0"/>
        <v>415620</v>
      </c>
      <c r="E20" s="71">
        <v>207.81</v>
      </c>
      <c r="F20" s="72">
        <v>-20.5</v>
      </c>
      <c r="G20" s="70">
        <f t="shared" si="1"/>
        <v>-4260.1050000000005</v>
      </c>
    </row>
    <row r="21" spans="1:7" ht="15.75" x14ac:dyDescent="0.25">
      <c r="B21" s="87" t="s">
        <v>140</v>
      </c>
      <c r="C21" s="67">
        <v>6286</v>
      </c>
      <c r="D21" s="67">
        <f t="shared" si="0"/>
        <v>357940</v>
      </c>
      <c r="E21" s="71">
        <v>178.97</v>
      </c>
      <c r="F21" s="72">
        <v>-24</v>
      </c>
      <c r="G21" s="70">
        <f t="shared" si="1"/>
        <v>-4295.28</v>
      </c>
    </row>
    <row r="22" spans="1:7" ht="15.75" x14ac:dyDescent="0.25">
      <c r="B22" s="87" t="s">
        <v>141</v>
      </c>
      <c r="C22" s="74">
        <v>6252</v>
      </c>
      <c r="D22" s="74">
        <f>+E22*2000</f>
        <v>480660</v>
      </c>
      <c r="E22" s="109">
        <v>240.33</v>
      </c>
      <c r="F22" s="72">
        <v>-28.25</v>
      </c>
      <c r="G22" s="75">
        <f t="shared" si="1"/>
        <v>-6789.3225000000002</v>
      </c>
    </row>
    <row r="23" spans="1:7" ht="15.75" x14ac:dyDescent="0.25">
      <c r="A23" t="s">
        <v>41</v>
      </c>
      <c r="B23" s="58"/>
      <c r="C23" s="88">
        <f>SUM(C11:C22)</f>
        <v>74368</v>
      </c>
      <c r="D23" s="88">
        <f>SUM(D11:D22)</f>
        <v>5042460</v>
      </c>
      <c r="E23" s="108">
        <f>SUM(E11:E22)</f>
        <v>2521.2299999999996</v>
      </c>
      <c r="F23" s="79"/>
      <c r="G23" s="89">
        <f>SUM(G11:G22)</f>
        <v>-36701.7575</v>
      </c>
    </row>
    <row r="24" spans="1:7" ht="15.75" x14ac:dyDescent="0.25">
      <c r="B24" s="81"/>
      <c r="C24" s="82"/>
      <c r="D24" s="83"/>
      <c r="E24" s="84" t="s">
        <v>0</v>
      </c>
      <c r="F24" s="58"/>
      <c r="G24" s="79"/>
    </row>
    <row r="25" spans="1:7" ht="15.75" x14ac:dyDescent="0.25">
      <c r="B25" s="184"/>
      <c r="C25" s="183"/>
      <c r="E25" s="185"/>
    </row>
    <row r="26" spans="1:7" x14ac:dyDescent="0.25">
      <c r="E26" s="185"/>
    </row>
    <row r="27" spans="1:7" x14ac:dyDescent="0.25">
      <c r="E27" s="185"/>
    </row>
    <row r="28" spans="1:7" x14ac:dyDescent="0.25">
      <c r="E28" s="185"/>
    </row>
    <row r="29" spans="1:7" x14ac:dyDescent="0.25">
      <c r="E29" s="185"/>
    </row>
  </sheetData>
  <mergeCells count="3">
    <mergeCell ref="A1:G1"/>
    <mergeCell ref="A2:G2"/>
    <mergeCell ref="A3:G3"/>
  </mergeCells>
  <phoneticPr fontId="9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2"/>
  <sheetViews>
    <sheetView workbookViewId="0">
      <selection activeCell="G29" sqref="G29"/>
    </sheetView>
  </sheetViews>
  <sheetFormatPr defaultRowHeight="15" x14ac:dyDescent="0.25"/>
  <cols>
    <col min="1" max="1" width="3.28515625" customWidth="1"/>
    <col min="3" max="3" width="14.85546875" customWidth="1"/>
    <col min="4" max="4" width="11.42578125" customWidth="1"/>
    <col min="5" max="5" width="9.5703125" customWidth="1"/>
    <col min="6" max="6" width="13.140625" customWidth="1"/>
    <col min="7" max="7" width="12.140625" customWidth="1"/>
  </cols>
  <sheetData>
    <row r="1" spans="1:7" ht="23.25" x14ac:dyDescent="0.35">
      <c r="A1" s="257" t="s">
        <v>1</v>
      </c>
      <c r="B1" s="257"/>
      <c r="C1" s="257"/>
      <c r="D1" s="257"/>
      <c r="E1" s="257"/>
      <c r="F1" s="257"/>
      <c r="G1" s="257"/>
    </row>
    <row r="2" spans="1:7" ht="18" x14ac:dyDescent="0.25">
      <c r="A2" s="258" t="s">
        <v>3</v>
      </c>
      <c r="B2" s="258"/>
      <c r="C2" s="258"/>
      <c r="D2" s="258"/>
      <c r="E2" s="258"/>
      <c r="F2" s="258"/>
      <c r="G2" s="258"/>
    </row>
    <row r="3" spans="1:7" ht="15.75" x14ac:dyDescent="0.25">
      <c r="A3" s="259" t="s">
        <v>109</v>
      </c>
      <c r="B3" s="259"/>
      <c r="C3" s="259"/>
      <c r="D3" s="259"/>
      <c r="E3" s="259"/>
      <c r="F3" s="259"/>
      <c r="G3" s="259"/>
    </row>
    <row r="4" spans="1:7" x14ac:dyDescent="0.25">
      <c r="A4" s="1"/>
      <c r="B4" s="1"/>
      <c r="C4" s="2"/>
      <c r="D4" s="1"/>
      <c r="E4" s="1"/>
      <c r="F4" s="3"/>
      <c r="G4" s="1"/>
    </row>
    <row r="5" spans="1:7" x14ac:dyDescent="0.25">
      <c r="A5" s="1"/>
      <c r="B5" s="1"/>
      <c r="C5" s="2"/>
      <c r="D5" s="1"/>
      <c r="E5" s="1"/>
      <c r="F5" s="3"/>
      <c r="G5" s="1"/>
    </row>
    <row r="6" spans="1:7" x14ac:dyDescent="0.25">
      <c r="A6" s="1"/>
      <c r="B6" s="1"/>
      <c r="C6" s="2"/>
      <c r="D6" s="1"/>
      <c r="E6" s="1"/>
      <c r="F6" s="3"/>
      <c r="G6" s="1"/>
    </row>
    <row r="7" spans="1:7" x14ac:dyDescent="0.25">
      <c r="A7" s="1"/>
      <c r="B7" s="1"/>
      <c r="C7" s="2"/>
      <c r="D7" s="1"/>
      <c r="E7" s="1"/>
      <c r="F7" s="3"/>
      <c r="G7" s="1"/>
    </row>
    <row r="8" spans="1:7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7" ht="16.5" thickBot="1" x14ac:dyDescent="0.3">
      <c r="B9" s="60"/>
      <c r="C9" s="61"/>
      <c r="D9" s="60"/>
      <c r="E9" s="62"/>
      <c r="F9" s="60" t="s">
        <v>8</v>
      </c>
      <c r="G9" s="60"/>
    </row>
    <row r="10" spans="1:7" ht="16.5" thickTop="1" x14ac:dyDescent="0.25">
      <c r="B10" s="63"/>
      <c r="C10" s="64"/>
      <c r="D10" s="64"/>
      <c r="E10" s="63"/>
      <c r="F10" s="65"/>
      <c r="G10" s="63"/>
    </row>
    <row r="11" spans="1:7" ht="15.75" x14ac:dyDescent="0.25">
      <c r="B11" s="85" t="s">
        <v>110</v>
      </c>
      <c r="C11" s="66">
        <v>1349</v>
      </c>
      <c r="D11" s="67">
        <f>+E11*2000</f>
        <v>38180</v>
      </c>
      <c r="E11" s="68">
        <v>19.09</v>
      </c>
      <c r="F11" s="69">
        <v>0</v>
      </c>
      <c r="G11" s="70">
        <f>+E11*F11</f>
        <v>0</v>
      </c>
    </row>
    <row r="12" spans="1:7" ht="15.75" x14ac:dyDescent="0.25">
      <c r="B12" s="86" t="s">
        <v>111</v>
      </c>
      <c r="C12" s="66">
        <v>1349</v>
      </c>
      <c r="D12" s="67">
        <f t="shared" ref="D12:D22" si="0">+E12*2000</f>
        <v>36320</v>
      </c>
      <c r="E12" s="71">
        <v>18.16</v>
      </c>
      <c r="F12" s="72">
        <v>0</v>
      </c>
      <c r="G12" s="70">
        <f t="shared" ref="G12:G22" si="1">+E12*F12</f>
        <v>0</v>
      </c>
    </row>
    <row r="13" spans="1:7" ht="15.75" x14ac:dyDescent="0.25">
      <c r="B13" s="86" t="s">
        <v>112</v>
      </c>
      <c r="C13" s="66">
        <v>1349</v>
      </c>
      <c r="D13" s="67">
        <f t="shared" si="0"/>
        <v>41080</v>
      </c>
      <c r="E13" s="71">
        <v>20.54</v>
      </c>
      <c r="F13" s="72">
        <v>0</v>
      </c>
      <c r="G13" s="70">
        <f t="shared" si="1"/>
        <v>0</v>
      </c>
    </row>
    <row r="14" spans="1:7" ht="15.75" x14ac:dyDescent="0.25">
      <c r="B14" s="86" t="s">
        <v>113</v>
      </c>
      <c r="C14" s="66">
        <v>1349</v>
      </c>
      <c r="D14" s="67">
        <f t="shared" si="0"/>
        <v>35620</v>
      </c>
      <c r="E14" s="71">
        <v>17.809999999999999</v>
      </c>
      <c r="F14" s="72">
        <v>0</v>
      </c>
      <c r="G14" s="70">
        <f t="shared" si="1"/>
        <v>0</v>
      </c>
    </row>
    <row r="15" spans="1:7" ht="15.75" x14ac:dyDescent="0.25">
      <c r="B15" s="86" t="s">
        <v>114</v>
      </c>
      <c r="C15" s="66">
        <v>1349</v>
      </c>
      <c r="D15" s="67">
        <f t="shared" si="0"/>
        <v>44420</v>
      </c>
      <c r="E15" s="71">
        <v>22.21</v>
      </c>
      <c r="F15" s="72">
        <v>0</v>
      </c>
      <c r="G15" s="70">
        <f t="shared" si="1"/>
        <v>0</v>
      </c>
    </row>
    <row r="16" spans="1:7" ht="15.75" x14ac:dyDescent="0.25">
      <c r="B16" s="87" t="s">
        <v>115</v>
      </c>
      <c r="C16" s="66">
        <v>1349</v>
      </c>
      <c r="D16" s="67">
        <f t="shared" si="0"/>
        <v>41720</v>
      </c>
      <c r="E16" s="71">
        <v>20.86</v>
      </c>
      <c r="F16" s="72">
        <v>0</v>
      </c>
      <c r="G16" s="70">
        <f t="shared" si="1"/>
        <v>0</v>
      </c>
    </row>
    <row r="17" spans="1:7" ht="15.75" x14ac:dyDescent="0.25">
      <c r="B17" s="87" t="s">
        <v>116</v>
      </c>
      <c r="C17" s="66">
        <v>1349</v>
      </c>
      <c r="D17" s="67">
        <f t="shared" si="0"/>
        <v>46260</v>
      </c>
      <c r="E17" s="71">
        <v>23.13</v>
      </c>
      <c r="F17" s="72">
        <v>0</v>
      </c>
      <c r="G17" s="70">
        <f t="shared" si="1"/>
        <v>0</v>
      </c>
    </row>
    <row r="18" spans="1:7" ht="15.75" x14ac:dyDescent="0.25">
      <c r="B18" s="87" t="s">
        <v>117</v>
      </c>
      <c r="C18" s="66">
        <v>1349</v>
      </c>
      <c r="D18" s="67">
        <f t="shared" si="0"/>
        <v>48900</v>
      </c>
      <c r="E18" s="71">
        <v>24.45</v>
      </c>
      <c r="F18" s="72">
        <v>0</v>
      </c>
      <c r="G18" s="70">
        <f t="shared" si="1"/>
        <v>0</v>
      </c>
    </row>
    <row r="19" spans="1:7" ht="15.75" x14ac:dyDescent="0.25">
      <c r="B19" s="87" t="s">
        <v>118</v>
      </c>
      <c r="C19" s="66">
        <v>1349</v>
      </c>
      <c r="D19" s="67">
        <f t="shared" si="0"/>
        <v>46540</v>
      </c>
      <c r="E19" s="71">
        <v>23.27</v>
      </c>
      <c r="F19" s="72">
        <v>0</v>
      </c>
      <c r="G19" s="70">
        <f t="shared" si="1"/>
        <v>0</v>
      </c>
    </row>
    <row r="20" spans="1:7" ht="15.75" x14ac:dyDescent="0.25">
      <c r="B20" s="87" t="s">
        <v>119</v>
      </c>
      <c r="C20" s="66">
        <v>1349</v>
      </c>
      <c r="D20" s="67">
        <f t="shared" si="0"/>
        <v>53940</v>
      </c>
      <c r="E20" s="71">
        <v>26.97</v>
      </c>
      <c r="F20" s="72">
        <v>0</v>
      </c>
      <c r="G20" s="70">
        <f t="shared" si="1"/>
        <v>0</v>
      </c>
    </row>
    <row r="21" spans="1:7" ht="15.75" x14ac:dyDescent="0.25">
      <c r="B21" s="87" t="s">
        <v>120</v>
      </c>
      <c r="C21" s="66">
        <v>1349</v>
      </c>
      <c r="D21" s="67">
        <f t="shared" si="0"/>
        <v>43280</v>
      </c>
      <c r="E21" s="71">
        <v>21.64</v>
      </c>
      <c r="F21" s="72">
        <v>0</v>
      </c>
      <c r="G21" s="70">
        <f t="shared" si="1"/>
        <v>0</v>
      </c>
    </row>
    <row r="22" spans="1:7" ht="15.75" x14ac:dyDescent="0.25">
      <c r="B22" s="87" t="s">
        <v>121</v>
      </c>
      <c r="C22" s="73">
        <v>1349</v>
      </c>
      <c r="D22" s="74">
        <f t="shared" si="0"/>
        <v>61460</v>
      </c>
      <c r="E22" s="109">
        <v>30.73</v>
      </c>
      <c r="F22" s="72">
        <v>0</v>
      </c>
      <c r="G22" s="75">
        <f t="shared" si="1"/>
        <v>0</v>
      </c>
    </row>
    <row r="23" spans="1:7" ht="15.75" x14ac:dyDescent="0.25">
      <c r="A23" t="s">
        <v>41</v>
      </c>
      <c r="B23" s="76"/>
      <c r="C23" s="77">
        <f>SUM(C11:C22)</f>
        <v>16188</v>
      </c>
      <c r="D23" s="78">
        <f>SUM(D11:D22)</f>
        <v>537720</v>
      </c>
      <c r="E23" s="107">
        <f>SUM(E11:E22)</f>
        <v>268.86</v>
      </c>
      <c r="F23" s="79"/>
      <c r="G23" s="80">
        <f>SUM(G11:G22)</f>
        <v>0</v>
      </c>
    </row>
    <row r="24" spans="1:7" ht="15.75" x14ac:dyDescent="0.25">
      <c r="B24" s="63"/>
      <c r="C24" s="65"/>
      <c r="D24" s="81"/>
      <c r="E24" s="82"/>
      <c r="F24" s="83"/>
      <c r="G24" s="84" t="s">
        <v>0</v>
      </c>
    </row>
    <row r="25" spans="1:7" ht="15.75" x14ac:dyDescent="0.25">
      <c r="B25" s="184" t="s">
        <v>122</v>
      </c>
      <c r="C25" s="183"/>
      <c r="E25" s="185">
        <f>SUM(E12:E22)</f>
        <v>249.77</v>
      </c>
    </row>
    <row r="26" spans="1:7" x14ac:dyDescent="0.25">
      <c r="B26" t="s">
        <v>123</v>
      </c>
      <c r="E26" s="185">
        <v>-9.5</v>
      </c>
    </row>
    <row r="27" spans="1:7" x14ac:dyDescent="0.25">
      <c r="E27" s="185"/>
    </row>
    <row r="28" spans="1:7" x14ac:dyDescent="0.25">
      <c r="B28" t="s">
        <v>124</v>
      </c>
      <c r="E28" s="185">
        <f>+E26*E25</f>
        <v>-2372.8150000000001</v>
      </c>
    </row>
    <row r="29" spans="1:7" x14ac:dyDescent="0.25">
      <c r="E29" s="185"/>
    </row>
    <row r="30" spans="1:7" x14ac:dyDescent="0.25">
      <c r="B30" t="s">
        <v>125</v>
      </c>
    </row>
    <row r="31" spans="1:7" x14ac:dyDescent="0.25">
      <c r="B31" t="s">
        <v>126</v>
      </c>
    </row>
    <row r="32" spans="1:7" x14ac:dyDescent="0.25">
      <c r="B32" t="s">
        <v>127</v>
      </c>
    </row>
  </sheetData>
  <mergeCells count="3">
    <mergeCell ref="A1:G1"/>
    <mergeCell ref="A2:G2"/>
    <mergeCell ref="A3:G3"/>
  </mergeCells>
  <phoneticPr fontId="9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2"/>
  <sheetViews>
    <sheetView workbookViewId="0">
      <selection activeCell="F39" sqref="F39"/>
    </sheetView>
  </sheetViews>
  <sheetFormatPr defaultRowHeight="15" x14ac:dyDescent="0.25"/>
  <cols>
    <col min="1" max="1" width="3.5703125" customWidth="1"/>
    <col min="3" max="3" width="16.28515625" customWidth="1"/>
    <col min="4" max="4" width="12.140625" customWidth="1"/>
    <col min="5" max="5" width="12.7109375" customWidth="1"/>
    <col min="6" max="6" width="14.140625" customWidth="1"/>
    <col min="7" max="7" width="13.28515625" customWidth="1"/>
  </cols>
  <sheetData>
    <row r="1" spans="1:7" ht="23.25" x14ac:dyDescent="0.35">
      <c r="A1" s="257" t="s">
        <v>1</v>
      </c>
      <c r="B1" s="257"/>
      <c r="C1" s="257"/>
      <c r="D1" s="257"/>
      <c r="E1" s="257"/>
      <c r="F1" s="257"/>
      <c r="G1" s="257"/>
    </row>
    <row r="2" spans="1:7" ht="18" x14ac:dyDescent="0.25">
      <c r="A2" s="258" t="s">
        <v>71</v>
      </c>
      <c r="B2" s="258"/>
      <c r="C2" s="258"/>
      <c r="D2" s="258"/>
      <c r="E2" s="258"/>
      <c r="F2" s="258"/>
      <c r="G2" s="258"/>
    </row>
    <row r="3" spans="1:7" ht="15.75" x14ac:dyDescent="0.25">
      <c r="A3" s="259" t="s">
        <v>109</v>
      </c>
      <c r="B3" s="259"/>
      <c r="C3" s="259"/>
      <c r="D3" s="259"/>
      <c r="E3" s="259"/>
      <c r="F3" s="259"/>
      <c r="G3" s="259"/>
    </row>
    <row r="4" spans="1:7" x14ac:dyDescent="0.25">
      <c r="A4" s="1"/>
      <c r="B4" s="1"/>
      <c r="C4" s="1"/>
      <c r="D4" s="3"/>
      <c r="E4" s="1"/>
      <c r="F4" s="1"/>
    </row>
    <row r="5" spans="1:7" x14ac:dyDescent="0.25">
      <c r="A5" s="1"/>
      <c r="B5" s="1"/>
      <c r="C5" s="1"/>
      <c r="D5" s="3"/>
      <c r="E5" s="1"/>
      <c r="F5" s="1"/>
    </row>
    <row r="6" spans="1:7" x14ac:dyDescent="0.25">
      <c r="A6" s="1"/>
      <c r="B6" s="1"/>
      <c r="C6" s="1"/>
      <c r="D6" s="3"/>
      <c r="E6" s="1"/>
      <c r="F6" s="1"/>
    </row>
    <row r="7" spans="1:7" x14ac:dyDescent="0.25">
      <c r="A7" s="1"/>
      <c r="B7" s="2"/>
      <c r="C7" s="1"/>
      <c r="D7" s="1"/>
      <c r="E7" s="3"/>
      <c r="F7" s="1"/>
    </row>
    <row r="8" spans="1:7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7" ht="16.5" thickBot="1" x14ac:dyDescent="0.3">
      <c r="B9" s="60"/>
      <c r="C9" s="61"/>
      <c r="D9" s="60"/>
      <c r="E9" s="62"/>
      <c r="F9" s="60" t="s">
        <v>8</v>
      </c>
      <c r="G9" s="60"/>
    </row>
    <row r="10" spans="1:7" ht="16.5" thickTop="1" x14ac:dyDescent="0.25">
      <c r="B10" s="63"/>
      <c r="C10" s="64"/>
      <c r="D10" s="64"/>
      <c r="E10" s="63"/>
      <c r="F10" s="65"/>
      <c r="G10" s="63"/>
    </row>
    <row r="11" spans="1:7" ht="15.75" x14ac:dyDescent="0.25">
      <c r="B11" s="85" t="s">
        <v>110</v>
      </c>
      <c r="C11" s="66">
        <v>6086</v>
      </c>
      <c r="D11" s="67">
        <f t="shared" ref="D11:D21" si="0">+E11*2000</f>
        <v>426820</v>
      </c>
      <c r="E11" s="68">
        <f>232.5-19.09</f>
        <v>213.41</v>
      </c>
      <c r="F11" s="69">
        <v>0</v>
      </c>
      <c r="G11" s="70">
        <f>+F11*E11</f>
        <v>0</v>
      </c>
    </row>
    <row r="12" spans="1:7" ht="15.75" x14ac:dyDescent="0.25">
      <c r="B12" s="86" t="s">
        <v>111</v>
      </c>
      <c r="C12" s="67">
        <v>6083</v>
      </c>
      <c r="D12" s="67">
        <f t="shared" si="0"/>
        <v>322120</v>
      </c>
      <c r="E12" s="71">
        <f>179.22-18.16</f>
        <v>161.06</v>
      </c>
      <c r="F12" s="69">
        <v>0</v>
      </c>
      <c r="G12" s="70">
        <f t="shared" ref="G12:G22" si="1">+F12*E12</f>
        <v>0</v>
      </c>
    </row>
    <row r="13" spans="1:7" ht="15.75" x14ac:dyDescent="0.25">
      <c r="B13" s="86" t="s">
        <v>112</v>
      </c>
      <c r="C13" s="67">
        <v>6082</v>
      </c>
      <c r="D13" s="67">
        <f t="shared" si="0"/>
        <v>410580.00000000006</v>
      </c>
      <c r="E13" s="71">
        <f>225.83-20.54</f>
        <v>205.29000000000002</v>
      </c>
      <c r="F13" s="69">
        <v>0</v>
      </c>
      <c r="G13" s="70">
        <f t="shared" si="1"/>
        <v>0</v>
      </c>
    </row>
    <row r="14" spans="1:7" ht="15.75" x14ac:dyDescent="0.25">
      <c r="B14" s="86" t="s">
        <v>113</v>
      </c>
      <c r="C14" s="67">
        <v>6119</v>
      </c>
      <c r="D14" s="67">
        <f t="shared" si="0"/>
        <v>437180</v>
      </c>
      <c r="E14" s="71">
        <f>236.4-17.81</f>
        <v>218.59</v>
      </c>
      <c r="F14" s="69">
        <v>0</v>
      </c>
      <c r="G14" s="70">
        <f t="shared" si="1"/>
        <v>0</v>
      </c>
    </row>
    <row r="15" spans="1:7" ht="15.75" x14ac:dyDescent="0.25">
      <c r="B15" s="86" t="s">
        <v>114</v>
      </c>
      <c r="C15" s="67">
        <v>6110</v>
      </c>
      <c r="D15" s="67">
        <f t="shared" si="0"/>
        <v>536180.00000000012</v>
      </c>
      <c r="E15" s="71">
        <f>290.3-22.21</f>
        <v>268.09000000000003</v>
      </c>
      <c r="F15" s="69">
        <v>0</v>
      </c>
      <c r="G15" s="70">
        <f t="shared" si="1"/>
        <v>0</v>
      </c>
    </row>
    <row r="16" spans="1:7" ht="15.75" x14ac:dyDescent="0.25">
      <c r="B16" s="87" t="s">
        <v>115</v>
      </c>
      <c r="C16" s="67">
        <v>6097</v>
      </c>
      <c r="D16" s="67">
        <f t="shared" si="0"/>
        <v>449860</v>
      </c>
      <c r="E16" s="71">
        <f>245.79-20.86</f>
        <v>224.93</v>
      </c>
      <c r="F16" s="69">
        <v>0</v>
      </c>
      <c r="G16" s="70">
        <f t="shared" si="1"/>
        <v>0</v>
      </c>
    </row>
    <row r="17" spans="1:7" ht="15.75" x14ac:dyDescent="0.25">
      <c r="B17" s="87" t="s">
        <v>116</v>
      </c>
      <c r="C17" s="67">
        <v>6110</v>
      </c>
      <c r="D17" s="67">
        <f t="shared" si="0"/>
        <v>462540</v>
      </c>
      <c r="E17" s="71">
        <f>254.4-23.13</f>
        <v>231.27</v>
      </c>
      <c r="F17" s="69">
        <v>0</v>
      </c>
      <c r="G17" s="70">
        <f t="shared" si="1"/>
        <v>0</v>
      </c>
    </row>
    <row r="18" spans="1:7" ht="15.75" x14ac:dyDescent="0.25">
      <c r="B18" s="87" t="s">
        <v>117</v>
      </c>
      <c r="C18" s="67">
        <v>6144</v>
      </c>
      <c r="D18" s="67">
        <f t="shared" si="0"/>
        <v>375800</v>
      </c>
      <c r="E18" s="71">
        <f>212.35-24.45</f>
        <v>187.9</v>
      </c>
      <c r="F18" s="69">
        <f>+'Multi-Family Year 2013'!F18</f>
        <v>0</v>
      </c>
      <c r="G18" s="70">
        <f t="shared" si="1"/>
        <v>0</v>
      </c>
    </row>
    <row r="19" spans="1:7" ht="15.75" x14ac:dyDescent="0.25">
      <c r="B19" s="87" t="s">
        <v>118</v>
      </c>
      <c r="C19" s="67">
        <v>6141</v>
      </c>
      <c r="D19" s="67">
        <f t="shared" si="0"/>
        <v>509320</v>
      </c>
      <c r="E19" s="71">
        <f>277.93-23.27</f>
        <v>254.66</v>
      </c>
      <c r="F19" s="69">
        <f>+'Multi-Family Year 2013'!F19</f>
        <v>0</v>
      </c>
      <c r="G19" s="70">
        <f t="shared" si="1"/>
        <v>0</v>
      </c>
    </row>
    <row r="20" spans="1:7" ht="15.75" x14ac:dyDescent="0.25">
      <c r="B20" s="87" t="s">
        <v>119</v>
      </c>
      <c r="C20" s="67">
        <v>6146</v>
      </c>
      <c r="D20" s="67">
        <f t="shared" si="0"/>
        <v>578520</v>
      </c>
      <c r="E20" s="71">
        <f>316.23-26.97</f>
        <v>289.26</v>
      </c>
      <c r="F20" s="69">
        <f>+'Multi-Family Year 2013'!F20</f>
        <v>0</v>
      </c>
      <c r="G20" s="70">
        <f t="shared" si="1"/>
        <v>0</v>
      </c>
    </row>
    <row r="21" spans="1:7" ht="15.75" x14ac:dyDescent="0.25">
      <c r="B21" s="87" t="s">
        <v>120</v>
      </c>
      <c r="C21" s="67">
        <v>6162</v>
      </c>
      <c r="D21" s="67">
        <f t="shared" si="0"/>
        <v>337500</v>
      </c>
      <c r="E21" s="71">
        <f>190.39-21.64</f>
        <v>168.75</v>
      </c>
      <c r="F21" s="69">
        <f>+'Multi-Family Year 2013'!F21</f>
        <v>0</v>
      </c>
      <c r="G21" s="70">
        <f t="shared" si="1"/>
        <v>0</v>
      </c>
    </row>
    <row r="22" spans="1:7" ht="15.75" x14ac:dyDescent="0.25">
      <c r="B22" s="87" t="s">
        <v>121</v>
      </c>
      <c r="C22" s="74">
        <v>6173</v>
      </c>
      <c r="D22" s="74">
        <f>+E22*2000</f>
        <v>477460</v>
      </c>
      <c r="E22" s="109">
        <f>269.46-30.73</f>
        <v>238.73</v>
      </c>
      <c r="F22" s="69">
        <f>+'Multi-Family Year 2013'!F22</f>
        <v>0</v>
      </c>
      <c r="G22" s="75">
        <f t="shared" si="1"/>
        <v>0</v>
      </c>
    </row>
    <row r="23" spans="1:7" ht="15.75" x14ac:dyDescent="0.25">
      <c r="A23" t="s">
        <v>41</v>
      </c>
      <c r="B23" s="58"/>
      <c r="C23" s="88">
        <f>SUM(C11:C22)</f>
        <v>73453</v>
      </c>
      <c r="D23" s="88">
        <f>SUM(D11:D22)</f>
        <v>5323880</v>
      </c>
      <c r="E23" s="108">
        <f>SUM(E11:E22)</f>
        <v>2661.94</v>
      </c>
      <c r="F23" s="79"/>
      <c r="G23" s="89">
        <f>SUM(G11:G22)</f>
        <v>0</v>
      </c>
    </row>
    <row r="24" spans="1:7" ht="15.75" x14ac:dyDescent="0.25">
      <c r="B24" s="81"/>
      <c r="C24" s="82"/>
      <c r="D24" s="83"/>
      <c r="E24" s="84" t="s">
        <v>0</v>
      </c>
      <c r="F24" s="58"/>
      <c r="G24" s="79"/>
    </row>
    <row r="25" spans="1:7" ht="15.75" x14ac:dyDescent="0.25">
      <c r="B25" s="184" t="s">
        <v>122</v>
      </c>
      <c r="C25" s="183"/>
      <c r="E25" s="185">
        <f>SUM(E12:E22)</f>
        <v>2448.5300000000002</v>
      </c>
    </row>
    <row r="26" spans="1:7" x14ac:dyDescent="0.25">
      <c r="B26" t="s">
        <v>123</v>
      </c>
      <c r="E26" s="185">
        <v>-9.5</v>
      </c>
    </row>
    <row r="27" spans="1:7" x14ac:dyDescent="0.25">
      <c r="E27" s="185"/>
    </row>
    <row r="28" spans="1:7" x14ac:dyDescent="0.25">
      <c r="B28" t="s">
        <v>124</v>
      </c>
      <c r="E28" s="185">
        <f>+E26*E25</f>
        <v>-23261.035000000003</v>
      </c>
    </row>
    <row r="29" spans="1:7" x14ac:dyDescent="0.25">
      <c r="E29" s="185"/>
    </row>
    <row r="30" spans="1:7" x14ac:dyDescent="0.25">
      <c r="B30" t="s">
        <v>125</v>
      </c>
    </row>
    <row r="31" spans="1:7" x14ac:dyDescent="0.25">
      <c r="B31" t="s">
        <v>126</v>
      </c>
    </row>
    <row r="32" spans="1:7" x14ac:dyDescent="0.25">
      <c r="B32" t="s">
        <v>127</v>
      </c>
    </row>
  </sheetData>
  <mergeCells count="3">
    <mergeCell ref="A1:G1"/>
    <mergeCell ref="A2:G2"/>
    <mergeCell ref="A3:G3"/>
  </mergeCells>
  <phoneticPr fontId="9" type="noConversion"/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5"/>
  <sheetViews>
    <sheetView workbookViewId="0">
      <selection activeCell="J20" sqref="J20"/>
    </sheetView>
  </sheetViews>
  <sheetFormatPr defaultRowHeight="15" x14ac:dyDescent="0.25"/>
  <cols>
    <col min="1" max="1" width="3.28515625" customWidth="1"/>
    <col min="3" max="3" width="14.85546875" customWidth="1"/>
    <col min="4" max="4" width="11.42578125" customWidth="1"/>
    <col min="5" max="5" width="9.5703125" customWidth="1"/>
    <col min="6" max="6" width="13.140625" customWidth="1"/>
    <col min="7" max="7" width="12.140625" customWidth="1"/>
  </cols>
  <sheetData>
    <row r="1" spans="1:7" ht="23.25" x14ac:dyDescent="0.35">
      <c r="A1" s="257" t="s">
        <v>1</v>
      </c>
      <c r="B1" s="257"/>
      <c r="C1" s="257"/>
      <c r="D1" s="257"/>
      <c r="E1" s="257"/>
      <c r="F1" s="257"/>
      <c r="G1" s="257"/>
    </row>
    <row r="2" spans="1:7" ht="18" x14ac:dyDescent="0.25">
      <c r="A2" s="258" t="s">
        <v>3</v>
      </c>
      <c r="B2" s="258"/>
      <c r="C2" s="258"/>
      <c r="D2" s="258"/>
      <c r="E2" s="258"/>
      <c r="F2" s="258"/>
      <c r="G2" s="258"/>
    </row>
    <row r="3" spans="1:7" ht="15.75" x14ac:dyDescent="0.25">
      <c r="A3" s="259" t="s">
        <v>70</v>
      </c>
      <c r="B3" s="259"/>
      <c r="C3" s="259"/>
      <c r="D3" s="259"/>
      <c r="E3" s="259"/>
      <c r="F3" s="259"/>
      <c r="G3" s="259"/>
    </row>
    <row r="4" spans="1:7" x14ac:dyDescent="0.25">
      <c r="A4" s="1"/>
      <c r="B4" s="1"/>
      <c r="C4" s="2"/>
      <c r="D4" s="1"/>
      <c r="E4" s="1"/>
      <c r="F4" s="3"/>
      <c r="G4" s="1"/>
    </row>
    <row r="5" spans="1:7" x14ac:dyDescent="0.25">
      <c r="A5" s="1"/>
      <c r="B5" s="1"/>
      <c r="C5" s="2"/>
      <c r="D5" s="1"/>
      <c r="E5" s="1"/>
      <c r="F5" s="3"/>
      <c r="G5" s="1"/>
    </row>
    <row r="6" spans="1:7" x14ac:dyDescent="0.25">
      <c r="A6" s="1"/>
      <c r="B6" s="1"/>
      <c r="C6" s="2"/>
      <c r="D6" s="1"/>
      <c r="E6" s="1"/>
      <c r="F6" s="3"/>
      <c r="G6" s="1"/>
    </row>
    <row r="7" spans="1:7" x14ac:dyDescent="0.25">
      <c r="A7" s="1"/>
      <c r="B7" s="1"/>
      <c r="C7" s="2"/>
      <c r="D7" s="1"/>
      <c r="E7" s="1"/>
      <c r="F7" s="3"/>
      <c r="G7" s="1"/>
    </row>
    <row r="8" spans="1:7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7" ht="16.5" thickBot="1" x14ac:dyDescent="0.3">
      <c r="B9" s="60"/>
      <c r="C9" s="61"/>
      <c r="D9" s="60"/>
      <c r="E9" s="62"/>
      <c r="F9" s="60" t="s">
        <v>8</v>
      </c>
      <c r="G9" s="60"/>
    </row>
    <row r="10" spans="1:7" ht="16.5" thickTop="1" x14ac:dyDescent="0.25">
      <c r="B10" s="63"/>
      <c r="C10" s="64"/>
      <c r="D10" s="64"/>
      <c r="E10" s="63"/>
      <c r="F10" s="65"/>
      <c r="G10" s="63"/>
    </row>
    <row r="11" spans="1:7" ht="15.75" x14ac:dyDescent="0.25">
      <c r="B11" s="85" t="s">
        <v>58</v>
      </c>
      <c r="C11" s="66">
        <v>1349</v>
      </c>
      <c r="D11" s="67">
        <f>+E11*2000</f>
        <v>41560</v>
      </c>
      <c r="E11" s="68">
        <v>20.78</v>
      </c>
      <c r="F11" s="69">
        <v>12</v>
      </c>
      <c r="G11" s="70">
        <f>+E11*F11</f>
        <v>249.36</v>
      </c>
    </row>
    <row r="12" spans="1:7" ht="15.75" x14ac:dyDescent="0.25">
      <c r="B12" s="86" t="s">
        <v>59</v>
      </c>
      <c r="C12" s="66">
        <v>1349</v>
      </c>
      <c r="D12" s="67">
        <f t="shared" ref="D12:D22" si="0">+E12*2000</f>
        <v>57180</v>
      </c>
      <c r="E12" s="71">
        <v>28.59</v>
      </c>
      <c r="F12" s="72">
        <v>12</v>
      </c>
      <c r="G12" s="70">
        <f t="shared" ref="G12:G22" si="1">+E12*F12</f>
        <v>343.08</v>
      </c>
    </row>
    <row r="13" spans="1:7" ht="15.75" x14ac:dyDescent="0.25">
      <c r="B13" s="86" t="s">
        <v>60</v>
      </c>
      <c r="C13" s="66">
        <v>1349</v>
      </c>
      <c r="D13" s="67">
        <f t="shared" si="0"/>
        <v>57900</v>
      </c>
      <c r="E13" s="71">
        <v>28.95</v>
      </c>
      <c r="F13" s="72">
        <v>12</v>
      </c>
      <c r="G13" s="70">
        <f t="shared" si="1"/>
        <v>347.4</v>
      </c>
    </row>
    <row r="14" spans="1:7" ht="15.75" x14ac:dyDescent="0.25">
      <c r="B14" s="86" t="s">
        <v>61</v>
      </c>
      <c r="C14" s="66">
        <v>1349</v>
      </c>
      <c r="D14" s="67">
        <f t="shared" si="0"/>
        <v>49260</v>
      </c>
      <c r="E14" s="71">
        <v>24.63</v>
      </c>
      <c r="F14" s="72">
        <v>10</v>
      </c>
      <c r="G14" s="70">
        <f t="shared" si="1"/>
        <v>246.29999999999998</v>
      </c>
    </row>
    <row r="15" spans="1:7" ht="15.75" x14ac:dyDescent="0.25">
      <c r="B15" s="86" t="s">
        <v>62</v>
      </c>
      <c r="C15" s="66">
        <v>1349</v>
      </c>
      <c r="D15" s="67">
        <f t="shared" si="0"/>
        <v>37500</v>
      </c>
      <c r="E15" s="71">
        <v>18.75</v>
      </c>
      <c r="F15" s="72">
        <v>7.5</v>
      </c>
      <c r="G15" s="70">
        <f t="shared" si="1"/>
        <v>140.625</v>
      </c>
    </row>
    <row r="16" spans="1:7" ht="15.75" x14ac:dyDescent="0.25">
      <c r="B16" s="87" t="s">
        <v>63</v>
      </c>
      <c r="C16" s="66">
        <v>1349</v>
      </c>
      <c r="D16" s="67">
        <f t="shared" si="0"/>
        <v>41220</v>
      </c>
      <c r="E16" s="71">
        <v>20.61</v>
      </c>
      <c r="F16" s="72">
        <v>8</v>
      </c>
      <c r="G16" s="70">
        <f t="shared" si="1"/>
        <v>164.88</v>
      </c>
    </row>
    <row r="17" spans="1:7" ht="15.75" x14ac:dyDescent="0.25">
      <c r="B17" s="87" t="s">
        <v>64</v>
      </c>
      <c r="C17" s="66">
        <v>1349</v>
      </c>
      <c r="D17" s="67">
        <f t="shared" si="0"/>
        <v>31660</v>
      </c>
      <c r="E17" s="71">
        <v>15.83</v>
      </c>
      <c r="F17" s="72">
        <v>5</v>
      </c>
      <c r="G17" s="70">
        <f t="shared" si="1"/>
        <v>79.150000000000006</v>
      </c>
    </row>
    <row r="18" spans="1:7" ht="15.75" x14ac:dyDescent="0.25">
      <c r="B18" s="87" t="s">
        <v>65</v>
      </c>
      <c r="C18" s="66">
        <v>1349</v>
      </c>
      <c r="D18" s="67">
        <f t="shared" si="0"/>
        <v>49600</v>
      </c>
      <c r="E18" s="71">
        <v>24.8</v>
      </c>
      <c r="F18" s="72"/>
      <c r="G18" s="70">
        <f t="shared" si="1"/>
        <v>0</v>
      </c>
    </row>
    <row r="19" spans="1:7" ht="15.75" x14ac:dyDescent="0.25">
      <c r="B19" s="87" t="s">
        <v>66</v>
      </c>
      <c r="C19" s="66">
        <v>1349</v>
      </c>
      <c r="D19" s="67">
        <f t="shared" si="0"/>
        <v>48900</v>
      </c>
      <c r="E19" s="71">
        <v>24.45</v>
      </c>
      <c r="F19" s="72"/>
      <c r="G19" s="70">
        <f t="shared" si="1"/>
        <v>0</v>
      </c>
    </row>
    <row r="20" spans="1:7" ht="15.75" x14ac:dyDescent="0.25">
      <c r="B20" s="87" t="s">
        <v>67</v>
      </c>
      <c r="C20" s="66">
        <v>1349</v>
      </c>
      <c r="D20" s="67">
        <f t="shared" si="0"/>
        <v>39360</v>
      </c>
      <c r="E20" s="71">
        <v>19.68</v>
      </c>
      <c r="F20" s="72"/>
      <c r="G20" s="70">
        <f t="shared" si="1"/>
        <v>0</v>
      </c>
    </row>
    <row r="21" spans="1:7" ht="15.75" x14ac:dyDescent="0.25">
      <c r="B21" s="87" t="s">
        <v>68</v>
      </c>
      <c r="C21" s="66">
        <v>1349</v>
      </c>
      <c r="D21" s="67">
        <f t="shared" si="0"/>
        <v>46100</v>
      </c>
      <c r="E21" s="71">
        <v>23.05</v>
      </c>
      <c r="F21" s="72"/>
      <c r="G21" s="70">
        <f t="shared" si="1"/>
        <v>0</v>
      </c>
    </row>
    <row r="22" spans="1:7" ht="15.75" x14ac:dyDescent="0.25">
      <c r="B22" s="87" t="s">
        <v>69</v>
      </c>
      <c r="C22" s="73">
        <v>1349</v>
      </c>
      <c r="D22" s="74">
        <f t="shared" si="0"/>
        <v>41440</v>
      </c>
      <c r="E22" s="109">
        <v>20.72</v>
      </c>
      <c r="F22" s="72"/>
      <c r="G22" s="75">
        <f t="shared" si="1"/>
        <v>0</v>
      </c>
    </row>
    <row r="23" spans="1:7" ht="15.75" x14ac:dyDescent="0.25">
      <c r="A23" t="s">
        <v>41</v>
      </c>
      <c r="B23" s="76"/>
      <c r="C23" s="77">
        <f>SUM(C11:C22)</f>
        <v>16188</v>
      </c>
      <c r="D23" s="78">
        <f>SUM(D11:D22)</f>
        <v>541680</v>
      </c>
      <c r="E23" s="107">
        <f>SUM(E11:E22)</f>
        <v>270.84000000000003</v>
      </c>
      <c r="F23" s="79"/>
      <c r="G23" s="80">
        <f>SUM(G11:G22)</f>
        <v>1570.7950000000001</v>
      </c>
    </row>
    <row r="24" spans="1:7" ht="15.75" x14ac:dyDescent="0.25">
      <c r="B24" s="63"/>
      <c r="C24" s="65"/>
      <c r="D24" s="81"/>
      <c r="E24" s="82"/>
      <c r="F24" s="83"/>
      <c r="G24" s="84" t="s">
        <v>0</v>
      </c>
    </row>
    <row r="25" spans="1:7" x14ac:dyDescent="0.25">
      <c r="A25" s="6"/>
      <c r="B25" s="7"/>
      <c r="C25" s="8"/>
      <c r="D25" s="9"/>
      <c r="E25" s="10"/>
      <c r="F25" s="4"/>
      <c r="G25" s="5"/>
    </row>
  </sheetData>
  <mergeCells count="3">
    <mergeCell ref="A1:G1"/>
    <mergeCell ref="A2:G2"/>
    <mergeCell ref="A3:G3"/>
  </mergeCells>
  <phoneticPr fontId="9" type="noConversion"/>
  <printOptions horizontalCentered="1"/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6"/>
  <sheetViews>
    <sheetView workbookViewId="0">
      <selection activeCell="C26" sqref="C26"/>
    </sheetView>
  </sheetViews>
  <sheetFormatPr defaultRowHeight="15" x14ac:dyDescent="0.25"/>
  <cols>
    <col min="1" max="1" width="3.5703125" customWidth="1"/>
    <col min="3" max="3" width="16.28515625" customWidth="1"/>
    <col min="4" max="4" width="12.140625" customWidth="1"/>
    <col min="5" max="5" width="10.140625" customWidth="1"/>
    <col min="6" max="6" width="14.140625" customWidth="1"/>
    <col min="7" max="7" width="13.28515625" customWidth="1"/>
  </cols>
  <sheetData>
    <row r="1" spans="1:8" ht="23.25" x14ac:dyDescent="0.35">
      <c r="A1" s="257" t="s">
        <v>1</v>
      </c>
      <c r="B1" s="257"/>
      <c r="C1" s="257"/>
      <c r="D1" s="257"/>
      <c r="E1" s="257"/>
      <c r="F1" s="257"/>
      <c r="G1" s="257"/>
    </row>
    <row r="2" spans="1:8" ht="18" x14ac:dyDescent="0.25">
      <c r="A2" s="258" t="s">
        <v>71</v>
      </c>
      <c r="B2" s="258"/>
      <c r="C2" s="258"/>
      <c r="D2" s="258"/>
      <c r="E2" s="258"/>
      <c r="F2" s="258"/>
      <c r="G2" s="258"/>
    </row>
    <row r="3" spans="1:8" ht="15.75" x14ac:dyDescent="0.25">
      <c r="A3" s="259" t="s">
        <v>70</v>
      </c>
      <c r="B3" s="259"/>
      <c r="C3" s="259"/>
      <c r="D3" s="259"/>
      <c r="E3" s="259"/>
      <c r="F3" s="259"/>
      <c r="G3" s="259"/>
    </row>
    <row r="4" spans="1:8" x14ac:dyDescent="0.25">
      <c r="A4" s="1"/>
      <c r="B4" s="1"/>
      <c r="C4" s="1"/>
      <c r="D4" s="3"/>
      <c r="E4" s="1"/>
      <c r="F4" s="1"/>
    </row>
    <row r="5" spans="1:8" x14ac:dyDescent="0.25">
      <c r="A5" s="1"/>
      <c r="B5" s="1"/>
      <c r="C5" s="1"/>
      <c r="D5" s="3"/>
      <c r="E5" s="1"/>
      <c r="F5" s="1"/>
    </row>
    <row r="6" spans="1:8" x14ac:dyDescent="0.25">
      <c r="A6" s="1"/>
      <c r="B6" s="1"/>
      <c r="C6" s="1"/>
      <c r="D6" s="3"/>
      <c r="E6" s="1"/>
      <c r="F6" s="1"/>
    </row>
    <row r="7" spans="1:8" x14ac:dyDescent="0.25">
      <c r="A7" s="1"/>
      <c r="B7" s="2"/>
      <c r="C7" s="1"/>
      <c r="D7" s="1"/>
      <c r="E7" s="3"/>
      <c r="F7" s="1"/>
    </row>
    <row r="8" spans="1:8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  <c r="H8" s="64"/>
    </row>
    <row r="9" spans="1:8" ht="16.5" thickBot="1" x14ac:dyDescent="0.3">
      <c r="B9" s="60"/>
      <c r="C9" s="61"/>
      <c r="D9" s="60"/>
      <c r="E9" s="62"/>
      <c r="F9" s="60" t="s">
        <v>8</v>
      </c>
      <c r="G9" s="60"/>
      <c r="H9" s="64"/>
    </row>
    <row r="10" spans="1:8" ht="16.5" thickTop="1" x14ac:dyDescent="0.25">
      <c r="B10" s="63"/>
      <c r="C10" s="64"/>
      <c r="D10" s="64"/>
      <c r="E10" s="63"/>
      <c r="F10" s="65"/>
      <c r="G10" s="63"/>
      <c r="H10" s="64"/>
    </row>
    <row r="11" spans="1:8" ht="15.75" x14ac:dyDescent="0.25">
      <c r="B11" s="85" t="s">
        <v>58</v>
      </c>
      <c r="C11" s="66">
        <v>5772</v>
      </c>
      <c r="D11" s="67">
        <f t="shared" ref="D11:D21" si="0">+E11*2000</f>
        <v>567880</v>
      </c>
      <c r="E11" s="68">
        <v>283.94</v>
      </c>
      <c r="F11" s="69">
        <f>+'Multi-Family Year 2013'!F11</f>
        <v>12</v>
      </c>
      <c r="G11" s="70">
        <f>+F11*E11</f>
        <v>3407.2799999999997</v>
      </c>
      <c r="H11" s="64"/>
    </row>
    <row r="12" spans="1:8" ht="15.75" x14ac:dyDescent="0.25">
      <c r="B12" s="86" t="s">
        <v>59</v>
      </c>
      <c r="C12" s="67">
        <v>6001</v>
      </c>
      <c r="D12" s="67">
        <f t="shared" si="0"/>
        <v>461000</v>
      </c>
      <c r="E12" s="71">
        <v>230.5</v>
      </c>
      <c r="F12" s="69">
        <f>+'Multi-Family Year 2013'!F12</f>
        <v>12</v>
      </c>
      <c r="G12" s="70">
        <f t="shared" ref="G12:G22" si="1">+F12*E12</f>
        <v>2766</v>
      </c>
      <c r="H12" s="64"/>
    </row>
    <row r="13" spans="1:8" ht="15.75" x14ac:dyDescent="0.25">
      <c r="B13" s="86" t="s">
        <v>60</v>
      </c>
      <c r="C13" s="67">
        <v>6000</v>
      </c>
      <c r="D13" s="67">
        <f t="shared" si="0"/>
        <v>408060</v>
      </c>
      <c r="E13" s="71">
        <v>204.03</v>
      </c>
      <c r="F13" s="69">
        <f>+'Multi-Family Year 2013'!F13</f>
        <v>12</v>
      </c>
      <c r="G13" s="70">
        <f t="shared" si="1"/>
        <v>2448.36</v>
      </c>
      <c r="H13" s="64"/>
    </row>
    <row r="14" spans="1:8" ht="15.75" x14ac:dyDescent="0.25">
      <c r="B14" s="86" t="s">
        <v>61</v>
      </c>
      <c r="C14" s="67">
        <v>6003</v>
      </c>
      <c r="D14" s="67">
        <f t="shared" si="0"/>
        <v>374600</v>
      </c>
      <c r="E14" s="71">
        <v>187.3</v>
      </c>
      <c r="F14" s="69">
        <f>+'Multi-Family Year 2013'!F14</f>
        <v>10</v>
      </c>
      <c r="G14" s="70">
        <f t="shared" si="1"/>
        <v>1873</v>
      </c>
      <c r="H14" s="64"/>
    </row>
    <row r="15" spans="1:8" ht="15.75" x14ac:dyDescent="0.25">
      <c r="B15" s="86" t="s">
        <v>62</v>
      </c>
      <c r="C15" s="67">
        <v>6010</v>
      </c>
      <c r="D15" s="67">
        <f t="shared" si="0"/>
        <v>561340</v>
      </c>
      <c r="E15" s="71">
        <v>280.67</v>
      </c>
      <c r="F15" s="69">
        <f>+'Multi-Family Year 2013'!F15</f>
        <v>7.5</v>
      </c>
      <c r="G15" s="70">
        <f t="shared" si="1"/>
        <v>2105.0250000000001</v>
      </c>
      <c r="H15" s="64"/>
    </row>
    <row r="16" spans="1:8" ht="15.75" x14ac:dyDescent="0.25">
      <c r="B16" s="87" t="s">
        <v>63</v>
      </c>
      <c r="C16" s="67">
        <v>6020</v>
      </c>
      <c r="D16" s="67">
        <f t="shared" si="0"/>
        <v>436280</v>
      </c>
      <c r="E16" s="71">
        <v>218.14</v>
      </c>
      <c r="F16" s="69">
        <f>+'Multi-Family Year 2013'!F16</f>
        <v>8</v>
      </c>
      <c r="G16" s="70">
        <f t="shared" si="1"/>
        <v>1745.12</v>
      </c>
      <c r="H16" s="64"/>
    </row>
    <row r="17" spans="1:8" ht="15.75" x14ac:dyDescent="0.25">
      <c r="B17" s="87" t="s">
        <v>64</v>
      </c>
      <c r="C17" s="67">
        <v>6044</v>
      </c>
      <c r="D17" s="67">
        <f t="shared" si="0"/>
        <v>431600</v>
      </c>
      <c r="E17" s="71">
        <v>215.8</v>
      </c>
      <c r="F17" s="69">
        <f>+'Multi-Family Year 2013'!F17</f>
        <v>5</v>
      </c>
      <c r="G17" s="70">
        <f t="shared" si="1"/>
        <v>1079</v>
      </c>
      <c r="H17" s="64"/>
    </row>
    <row r="18" spans="1:8" ht="15.75" x14ac:dyDescent="0.25">
      <c r="B18" s="87" t="s">
        <v>65</v>
      </c>
      <c r="C18" s="67">
        <v>6064</v>
      </c>
      <c r="D18" s="67">
        <f t="shared" si="0"/>
        <v>337540</v>
      </c>
      <c r="E18" s="71">
        <v>168.77</v>
      </c>
      <c r="F18" s="69">
        <f>+'Multi-Family Year 2013'!F18</f>
        <v>0</v>
      </c>
      <c r="G18" s="70">
        <f t="shared" si="1"/>
        <v>0</v>
      </c>
      <c r="H18" s="64"/>
    </row>
    <row r="19" spans="1:8" ht="15.75" x14ac:dyDescent="0.25">
      <c r="B19" s="87" t="s">
        <v>66</v>
      </c>
      <c r="C19" s="67">
        <v>6070</v>
      </c>
      <c r="D19" s="67">
        <f t="shared" si="0"/>
        <v>388720</v>
      </c>
      <c r="E19" s="71">
        <v>194.36</v>
      </c>
      <c r="F19" s="69">
        <f>+'Multi-Family Year 2013'!F19</f>
        <v>0</v>
      </c>
      <c r="G19" s="70">
        <f t="shared" si="1"/>
        <v>0</v>
      </c>
      <c r="H19" s="64"/>
    </row>
    <row r="20" spans="1:8" ht="15.75" x14ac:dyDescent="0.25">
      <c r="B20" s="87" t="s">
        <v>67</v>
      </c>
      <c r="C20" s="67">
        <v>6093</v>
      </c>
      <c r="D20" s="67">
        <f t="shared" si="0"/>
        <v>531580</v>
      </c>
      <c r="E20" s="71">
        <v>265.79000000000002</v>
      </c>
      <c r="F20" s="69">
        <f>+'Multi-Family Year 2013'!F20</f>
        <v>0</v>
      </c>
      <c r="G20" s="70">
        <f t="shared" si="1"/>
        <v>0</v>
      </c>
      <c r="H20" s="64"/>
    </row>
    <row r="21" spans="1:8" ht="15.75" x14ac:dyDescent="0.25">
      <c r="B21" s="87" t="s">
        <v>68</v>
      </c>
      <c r="C21" s="67">
        <v>6103</v>
      </c>
      <c r="D21" s="67">
        <f t="shared" si="0"/>
        <v>442640</v>
      </c>
      <c r="E21" s="71">
        <v>221.32</v>
      </c>
      <c r="F21" s="69">
        <f>+'Multi-Family Year 2013'!F21</f>
        <v>0</v>
      </c>
      <c r="G21" s="70">
        <f t="shared" si="1"/>
        <v>0</v>
      </c>
      <c r="H21" s="64"/>
    </row>
    <row r="22" spans="1:8" ht="15.75" x14ac:dyDescent="0.25">
      <c r="B22" s="87" t="s">
        <v>69</v>
      </c>
      <c r="C22" s="74">
        <v>6101</v>
      </c>
      <c r="D22" s="74">
        <f>+E22*2000</f>
        <v>492160</v>
      </c>
      <c r="E22" s="109">
        <v>246.08</v>
      </c>
      <c r="F22" s="69">
        <f>+'Multi-Family Year 2013'!F22</f>
        <v>0</v>
      </c>
      <c r="G22" s="75">
        <f t="shared" si="1"/>
        <v>0</v>
      </c>
      <c r="H22" s="64"/>
    </row>
    <row r="23" spans="1:8" ht="15.75" x14ac:dyDescent="0.25">
      <c r="A23" t="s">
        <v>41</v>
      </c>
      <c r="B23" s="58"/>
      <c r="C23" s="88">
        <f>SUM(C11:C22)</f>
        <v>72281</v>
      </c>
      <c r="D23" s="88">
        <f>SUM(D11:D22)</f>
        <v>5433400</v>
      </c>
      <c r="E23" s="108">
        <f>SUM(E11:E22)</f>
        <v>2716.7</v>
      </c>
      <c r="F23" s="79"/>
      <c r="G23" s="89">
        <f>SUM(G11:G22)</f>
        <v>15423.785</v>
      </c>
      <c r="H23" s="64"/>
    </row>
    <row r="24" spans="1:8" ht="15.75" x14ac:dyDescent="0.25">
      <c r="B24" s="81"/>
      <c r="C24" s="82"/>
      <c r="D24" s="83"/>
      <c r="E24" s="84" t="s">
        <v>0</v>
      </c>
      <c r="F24" s="58"/>
      <c r="G24" s="79"/>
      <c r="H24" s="64"/>
    </row>
    <row r="25" spans="1:8" ht="15.75" x14ac:dyDescent="0.25">
      <c r="A25" s="6"/>
      <c r="B25" s="90"/>
      <c r="C25" s="91"/>
      <c r="D25" s="83"/>
      <c r="E25" s="58"/>
      <c r="F25" s="58"/>
      <c r="G25" s="79"/>
      <c r="H25" s="64"/>
    </row>
    <row r="26" spans="1:8" ht="15.75" x14ac:dyDescent="0.25">
      <c r="B26" s="64"/>
      <c r="C26" s="183"/>
      <c r="D26" s="64"/>
      <c r="E26" s="64"/>
      <c r="F26" s="64"/>
      <c r="G26" s="64"/>
      <c r="H26" s="64"/>
    </row>
  </sheetData>
  <mergeCells count="3">
    <mergeCell ref="A1:G1"/>
    <mergeCell ref="A2:G2"/>
    <mergeCell ref="A3:G3"/>
  </mergeCells>
  <phoneticPr fontId="9" type="noConversion"/>
  <printOptions horizontalCentered="1"/>
  <pageMargins left="0.17" right="0.1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2"/>
  <sheetViews>
    <sheetView workbookViewId="0">
      <selection activeCell="L16" sqref="L16"/>
    </sheetView>
  </sheetViews>
  <sheetFormatPr defaultRowHeight="15" x14ac:dyDescent="0.25"/>
  <cols>
    <col min="6" max="6" width="2.5703125" customWidth="1"/>
    <col min="7" max="7" width="16.5703125" customWidth="1"/>
  </cols>
  <sheetData>
    <row r="1" spans="1:12" x14ac:dyDescent="0.25">
      <c r="A1" s="266" t="s">
        <v>44</v>
      </c>
      <c r="B1" s="266"/>
      <c r="C1" s="266"/>
      <c r="D1" s="266"/>
      <c r="E1" s="266"/>
      <c r="F1" s="266"/>
      <c r="G1" s="266"/>
      <c r="H1" s="267"/>
      <c r="I1" s="267"/>
      <c r="J1" s="267"/>
      <c r="K1" s="267"/>
      <c r="L1" s="15"/>
    </row>
    <row r="2" spans="1:12" x14ac:dyDescent="0.25">
      <c r="A2" s="268" t="s">
        <v>46</v>
      </c>
      <c r="B2" s="268"/>
      <c r="C2" s="268"/>
      <c r="D2" s="268"/>
      <c r="E2" s="268"/>
      <c r="F2" s="268"/>
      <c r="G2" s="16"/>
      <c r="H2" s="17"/>
      <c r="I2" s="17"/>
      <c r="J2" s="16"/>
      <c r="K2" s="16"/>
      <c r="L2" s="15"/>
    </row>
    <row r="3" spans="1:12" x14ac:dyDescent="0.25">
      <c r="A3" s="268" t="s">
        <v>74</v>
      </c>
      <c r="B3" s="268"/>
      <c r="C3" s="268"/>
      <c r="D3" s="268"/>
      <c r="E3" s="268"/>
      <c r="F3" s="268"/>
      <c r="G3" s="16"/>
      <c r="H3" s="15"/>
      <c r="I3" s="15"/>
      <c r="J3" s="16"/>
      <c r="K3" s="16"/>
      <c r="L3" s="15"/>
    </row>
    <row r="4" spans="1:12" x14ac:dyDescent="0.25">
      <c r="A4" s="269" t="s">
        <v>56</v>
      </c>
      <c r="B4" s="269"/>
      <c r="C4" s="269"/>
      <c r="D4" s="269"/>
      <c r="E4" s="269"/>
      <c r="F4" s="269"/>
      <c r="G4" s="16"/>
      <c r="H4" s="15"/>
      <c r="I4" s="15"/>
      <c r="J4" s="16"/>
      <c r="K4" s="16"/>
      <c r="L4" s="15"/>
    </row>
    <row r="5" spans="1:12" x14ac:dyDescent="0.25">
      <c r="A5" s="260" t="s">
        <v>43</v>
      </c>
      <c r="B5" s="261"/>
      <c r="C5" s="261"/>
      <c r="D5" s="261"/>
      <c r="E5" s="261"/>
      <c r="F5" s="262"/>
      <c r="G5" s="263" t="s">
        <v>57</v>
      </c>
      <c r="H5" s="264"/>
      <c r="I5" s="264"/>
      <c r="J5" s="264"/>
      <c r="K5" s="264"/>
      <c r="L5" s="265"/>
    </row>
    <row r="6" spans="1:12" ht="49.5" customHeight="1" thickBot="1" x14ac:dyDescent="0.3">
      <c r="A6" s="92" t="s">
        <v>21</v>
      </c>
      <c r="B6" s="22" t="s">
        <v>19</v>
      </c>
      <c r="C6" s="22" t="s">
        <v>54</v>
      </c>
      <c r="D6" s="23" t="s">
        <v>52</v>
      </c>
      <c r="E6" s="23" t="s">
        <v>53</v>
      </c>
      <c r="F6" s="93"/>
      <c r="G6" s="92" t="s">
        <v>21</v>
      </c>
      <c r="H6" s="22" t="s">
        <v>19</v>
      </c>
      <c r="I6" s="22" t="s">
        <v>54</v>
      </c>
      <c r="J6" s="23" t="s">
        <v>52</v>
      </c>
      <c r="K6" s="23" t="s">
        <v>53</v>
      </c>
      <c r="L6" s="101" t="s">
        <v>36</v>
      </c>
    </row>
    <row r="7" spans="1:12" x14ac:dyDescent="0.25">
      <c r="A7" s="94"/>
      <c r="B7" s="27"/>
      <c r="C7" s="27"/>
      <c r="D7" s="28"/>
      <c r="E7" s="28"/>
      <c r="F7" s="95"/>
      <c r="G7" s="94"/>
      <c r="H7" s="21"/>
      <c r="I7" s="30"/>
      <c r="J7" s="21"/>
      <c r="K7" s="28"/>
      <c r="L7" s="102"/>
    </row>
    <row r="8" spans="1:12" x14ac:dyDescent="0.25">
      <c r="A8" s="94"/>
      <c r="B8" s="27"/>
      <c r="C8" s="27"/>
      <c r="D8" s="28"/>
      <c r="E8" s="28"/>
      <c r="F8" s="95"/>
      <c r="G8" s="94"/>
      <c r="H8" s="21"/>
      <c r="I8" s="30"/>
      <c r="J8" s="21"/>
      <c r="K8" s="28"/>
      <c r="L8" s="102"/>
    </row>
    <row r="9" spans="1:12" x14ac:dyDescent="0.25">
      <c r="A9" s="94" t="s">
        <v>12</v>
      </c>
      <c r="B9" s="27">
        <f>+'Curbside Year 2013'!C11</f>
        <v>5772</v>
      </c>
      <c r="C9" s="27"/>
      <c r="D9" s="30">
        <v>-0.95499999999999996</v>
      </c>
      <c r="E9" s="28">
        <f>+B9*D9</f>
        <v>-5512.26</v>
      </c>
      <c r="F9" s="96"/>
      <c r="G9" s="94" t="s">
        <v>12</v>
      </c>
      <c r="H9" s="28">
        <f>+'Multi-Family Year 2013'!C11</f>
        <v>1349</v>
      </c>
      <c r="I9" s="30"/>
      <c r="J9" s="30">
        <v>-3.407</v>
      </c>
      <c r="K9" s="28">
        <f>+H9*J9</f>
        <v>-4596.0429999999997</v>
      </c>
      <c r="L9" s="102">
        <v>2013</v>
      </c>
    </row>
    <row r="10" spans="1:12" x14ac:dyDescent="0.25">
      <c r="A10" s="94" t="s">
        <v>13</v>
      </c>
      <c r="B10" s="27">
        <f>+'Curbside Year 2013'!C12</f>
        <v>6001</v>
      </c>
      <c r="C10" s="27"/>
      <c r="D10" s="30">
        <f>+D9</f>
        <v>-0.95499999999999996</v>
      </c>
      <c r="E10" s="28">
        <f t="shared" ref="E10:E20" si="0">+B10*D10</f>
        <v>-5730.9549999999999</v>
      </c>
      <c r="F10" s="96"/>
      <c r="G10" s="94" t="s">
        <v>13</v>
      </c>
      <c r="H10" s="28">
        <f>+'Multi-Family Year 2013'!C12</f>
        <v>1349</v>
      </c>
      <c r="I10" s="30"/>
      <c r="J10" s="30">
        <f>+J9</f>
        <v>-3.407</v>
      </c>
      <c r="K10" s="28">
        <f t="shared" ref="K10:K20" si="1">+H10*J10</f>
        <v>-4596.0429999999997</v>
      </c>
      <c r="L10" s="102">
        <v>2013</v>
      </c>
    </row>
    <row r="11" spans="1:12" x14ac:dyDescent="0.25">
      <c r="A11" s="94" t="s">
        <v>14</v>
      </c>
      <c r="B11" s="27">
        <f>+'Curbside Year 2013'!C13</f>
        <v>6000</v>
      </c>
      <c r="C11" s="27"/>
      <c r="D11" s="30">
        <f>+D9</f>
        <v>-0.95499999999999996</v>
      </c>
      <c r="E11" s="28">
        <f t="shared" si="0"/>
        <v>-5730</v>
      </c>
      <c r="F11" s="96"/>
      <c r="G11" s="94" t="s">
        <v>14</v>
      </c>
      <c r="H11" s="28">
        <f>+'Multi-Family Year 2013'!C13</f>
        <v>1349</v>
      </c>
      <c r="I11" s="30"/>
      <c r="J11" s="30">
        <f>+J10</f>
        <v>-3.407</v>
      </c>
      <c r="K11" s="28">
        <f t="shared" si="1"/>
        <v>-4596.0429999999997</v>
      </c>
      <c r="L11" s="102">
        <v>2013</v>
      </c>
    </row>
    <row r="12" spans="1:12" x14ac:dyDescent="0.25">
      <c r="A12" s="94" t="s">
        <v>15</v>
      </c>
      <c r="B12" s="27">
        <f>+'Curbside Year 2013'!C14</f>
        <v>6003</v>
      </c>
      <c r="C12" s="27"/>
      <c r="D12" s="30">
        <v>-0.3</v>
      </c>
      <c r="E12" s="28">
        <f t="shared" si="0"/>
        <v>-1800.8999999999999</v>
      </c>
      <c r="F12" s="96"/>
      <c r="G12" s="94" t="s">
        <v>15</v>
      </c>
      <c r="H12" s="28">
        <f>+'Multi-Family Year 2013'!C14</f>
        <v>1349</v>
      </c>
      <c r="I12" s="30"/>
      <c r="J12" s="30">
        <v>-0.53</v>
      </c>
      <c r="K12" s="28">
        <f t="shared" si="1"/>
        <v>-714.97</v>
      </c>
      <c r="L12" s="102">
        <v>2013</v>
      </c>
    </row>
    <row r="13" spans="1:12" x14ac:dyDescent="0.25">
      <c r="A13" s="94" t="s">
        <v>16</v>
      </c>
      <c r="B13" s="27">
        <f>+'Curbside Year 2013'!C15</f>
        <v>6010</v>
      </c>
      <c r="C13" s="27"/>
      <c r="D13" s="30">
        <f>+D12</f>
        <v>-0.3</v>
      </c>
      <c r="E13" s="28">
        <f t="shared" si="0"/>
        <v>-1803</v>
      </c>
      <c r="F13" s="96"/>
      <c r="G13" s="94" t="s">
        <v>16</v>
      </c>
      <c r="H13" s="28">
        <f>+'Multi-Family Year 2013'!C15</f>
        <v>1349</v>
      </c>
      <c r="I13" s="30"/>
      <c r="J13" s="30">
        <f>+J12</f>
        <v>-0.53</v>
      </c>
      <c r="K13" s="28">
        <f t="shared" si="1"/>
        <v>-714.97</v>
      </c>
      <c r="L13" s="102">
        <v>2013</v>
      </c>
    </row>
    <row r="14" spans="1:12" x14ac:dyDescent="0.25">
      <c r="A14" s="94" t="s">
        <v>17</v>
      </c>
      <c r="B14" s="27">
        <f>+'Curbside Year 2013'!C16</f>
        <v>6020</v>
      </c>
      <c r="C14" s="27"/>
      <c r="D14" s="30">
        <f t="shared" ref="D14:D20" si="2">+D13</f>
        <v>-0.3</v>
      </c>
      <c r="E14" s="28">
        <f t="shared" si="0"/>
        <v>-1806</v>
      </c>
      <c r="F14" s="96"/>
      <c r="G14" s="94" t="s">
        <v>17</v>
      </c>
      <c r="H14" s="28">
        <f>+'Multi-Family Year 2013'!C16</f>
        <v>1349</v>
      </c>
      <c r="I14" s="30"/>
      <c r="J14" s="30">
        <f t="shared" ref="J14:J20" si="3">+J13</f>
        <v>-0.53</v>
      </c>
      <c r="K14" s="28">
        <f t="shared" si="1"/>
        <v>-714.97</v>
      </c>
      <c r="L14" s="102">
        <v>2013</v>
      </c>
    </row>
    <row r="15" spans="1:12" x14ac:dyDescent="0.25">
      <c r="A15" s="94" t="s">
        <v>18</v>
      </c>
      <c r="B15" s="27">
        <f>+'Curbside Year 2013'!C17</f>
        <v>6044</v>
      </c>
      <c r="C15" s="27"/>
      <c r="D15" s="30">
        <f t="shared" si="2"/>
        <v>-0.3</v>
      </c>
      <c r="E15" s="28">
        <f t="shared" si="0"/>
        <v>-1813.2</v>
      </c>
      <c r="F15" s="96"/>
      <c r="G15" s="94" t="s">
        <v>18</v>
      </c>
      <c r="H15" s="28">
        <f>+'Multi-Family Year 2013'!C17</f>
        <v>1349</v>
      </c>
      <c r="I15" s="30"/>
      <c r="J15" s="30">
        <f t="shared" si="3"/>
        <v>-0.53</v>
      </c>
      <c r="K15" s="28">
        <f t="shared" si="1"/>
        <v>-714.97</v>
      </c>
      <c r="L15" s="102">
        <v>2013</v>
      </c>
    </row>
    <row r="16" spans="1:12" x14ac:dyDescent="0.25">
      <c r="A16" s="94" t="s">
        <v>20</v>
      </c>
      <c r="B16" s="27">
        <f>+'Curbside Year 2013'!C18</f>
        <v>6064</v>
      </c>
      <c r="C16" s="27"/>
      <c r="D16" s="30">
        <f t="shared" si="2"/>
        <v>-0.3</v>
      </c>
      <c r="E16" s="28">
        <f t="shared" si="0"/>
        <v>-1819.2</v>
      </c>
      <c r="F16" s="96"/>
      <c r="G16" s="94" t="s">
        <v>20</v>
      </c>
      <c r="H16" s="28">
        <f>+'Multi-Family Year 2013'!C18</f>
        <v>1349</v>
      </c>
      <c r="I16" s="30"/>
      <c r="J16" s="30">
        <f t="shared" si="3"/>
        <v>-0.53</v>
      </c>
      <c r="K16" s="28">
        <f t="shared" si="1"/>
        <v>-714.97</v>
      </c>
      <c r="L16" s="102">
        <v>2013</v>
      </c>
    </row>
    <row r="17" spans="1:12" x14ac:dyDescent="0.25">
      <c r="A17" s="94" t="s">
        <v>34</v>
      </c>
      <c r="B17" s="27">
        <f>+'Curbside Year 2013'!C19</f>
        <v>6070</v>
      </c>
      <c r="C17" s="27"/>
      <c r="D17" s="30">
        <f t="shared" si="2"/>
        <v>-0.3</v>
      </c>
      <c r="E17" s="28">
        <f t="shared" si="0"/>
        <v>-1821</v>
      </c>
      <c r="F17" s="96"/>
      <c r="G17" s="94" t="s">
        <v>34</v>
      </c>
      <c r="H17" s="28">
        <f>+'Multi-Family Year 2013'!C19</f>
        <v>1349</v>
      </c>
      <c r="I17" s="30"/>
      <c r="J17" s="30">
        <f t="shared" si="3"/>
        <v>-0.53</v>
      </c>
      <c r="K17" s="28">
        <f t="shared" si="1"/>
        <v>-714.97</v>
      </c>
      <c r="L17" s="102">
        <v>2013</v>
      </c>
    </row>
    <row r="18" spans="1:12" x14ac:dyDescent="0.25">
      <c r="A18" s="94" t="s">
        <v>9</v>
      </c>
      <c r="B18" s="27">
        <f>+'Curbside Year 2013'!C20</f>
        <v>6093</v>
      </c>
      <c r="C18" s="27"/>
      <c r="D18" s="30">
        <f t="shared" si="2"/>
        <v>-0.3</v>
      </c>
      <c r="E18" s="28">
        <f t="shared" si="0"/>
        <v>-1827.8999999999999</v>
      </c>
      <c r="F18" s="96"/>
      <c r="G18" s="94" t="s">
        <v>9</v>
      </c>
      <c r="H18" s="28">
        <f>+'Multi-Family Year 2013'!C20</f>
        <v>1349</v>
      </c>
      <c r="I18" s="30"/>
      <c r="J18" s="30">
        <f t="shared" si="3"/>
        <v>-0.53</v>
      </c>
      <c r="K18" s="28">
        <f t="shared" si="1"/>
        <v>-714.97</v>
      </c>
      <c r="L18" s="102">
        <v>2013</v>
      </c>
    </row>
    <row r="19" spans="1:12" x14ac:dyDescent="0.25">
      <c r="A19" s="94" t="s">
        <v>10</v>
      </c>
      <c r="B19" s="27">
        <f>+'Curbside Year 2013'!C21</f>
        <v>6103</v>
      </c>
      <c r="C19" s="27"/>
      <c r="D19" s="30">
        <f t="shared" si="2"/>
        <v>-0.3</v>
      </c>
      <c r="E19" s="28">
        <f t="shared" si="0"/>
        <v>-1830.8999999999999</v>
      </c>
      <c r="F19" s="96"/>
      <c r="G19" s="94" t="s">
        <v>10</v>
      </c>
      <c r="H19" s="28">
        <f>+'Multi-Family Year 2013'!C21</f>
        <v>1349</v>
      </c>
      <c r="I19" s="30"/>
      <c r="J19" s="30">
        <f t="shared" si="3"/>
        <v>-0.53</v>
      </c>
      <c r="K19" s="28">
        <f t="shared" si="1"/>
        <v>-714.97</v>
      </c>
      <c r="L19" s="102">
        <v>2013</v>
      </c>
    </row>
    <row r="20" spans="1:12" x14ac:dyDescent="0.25">
      <c r="A20" s="94" t="s">
        <v>11</v>
      </c>
      <c r="B20" s="27">
        <f>+'Curbside Year 2013'!C22</f>
        <v>6101</v>
      </c>
      <c r="C20" s="27"/>
      <c r="D20" s="30">
        <f t="shared" si="2"/>
        <v>-0.3</v>
      </c>
      <c r="E20" s="28">
        <f t="shared" si="0"/>
        <v>-1830.3</v>
      </c>
      <c r="F20" s="96"/>
      <c r="G20" s="94" t="s">
        <v>11</v>
      </c>
      <c r="H20" s="28">
        <f>+'Multi-Family Year 2013'!C22</f>
        <v>1349</v>
      </c>
      <c r="I20" s="30"/>
      <c r="J20" s="30">
        <f t="shared" si="3"/>
        <v>-0.53</v>
      </c>
      <c r="K20" s="28">
        <f t="shared" si="1"/>
        <v>-714.97</v>
      </c>
      <c r="L20" s="102">
        <v>2013</v>
      </c>
    </row>
    <row r="21" spans="1:12" ht="15.75" thickBot="1" x14ac:dyDescent="0.3">
      <c r="A21" s="97" t="s">
        <v>51</v>
      </c>
      <c r="B21" s="34">
        <f>SUM(B9:B20)</f>
        <v>72281</v>
      </c>
      <c r="C21" s="98" t="s">
        <v>30</v>
      </c>
      <c r="D21" s="99"/>
      <c r="E21" s="105">
        <f>SUM(E9:E20)</f>
        <v>-33325.615000000005</v>
      </c>
      <c r="F21" s="100"/>
      <c r="G21" s="97" t="s">
        <v>51</v>
      </c>
      <c r="H21" s="34">
        <f>SUM(H9:H20)</f>
        <v>16188</v>
      </c>
      <c r="I21" s="103"/>
      <c r="J21" s="103"/>
      <c r="K21" s="106">
        <f>SUM(K9:K20)</f>
        <v>-20222.859000000004</v>
      </c>
      <c r="L21" s="104"/>
    </row>
    <row r="22" spans="1:12" ht="15.75" thickTop="1" x14ac:dyDescent="0.25"/>
  </sheetData>
  <mergeCells count="7">
    <mergeCell ref="A5:F5"/>
    <mergeCell ref="G5:L5"/>
    <mergeCell ref="A1:G1"/>
    <mergeCell ref="H1:K1"/>
    <mergeCell ref="A2:F2"/>
    <mergeCell ref="A3:F3"/>
    <mergeCell ref="A4:F4"/>
  </mergeCells>
  <phoneticPr fontId="9" type="noConversion"/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52"/>
  <sheetViews>
    <sheetView topLeftCell="A13" zoomScaleNormal="100" workbookViewId="0">
      <selection activeCell="G47" sqref="G47"/>
    </sheetView>
  </sheetViews>
  <sheetFormatPr defaultRowHeight="15" x14ac:dyDescent="0.25"/>
  <cols>
    <col min="1" max="2" width="10.85546875" customWidth="1"/>
    <col min="3" max="3" width="5.140625" customWidth="1"/>
    <col min="4" max="4" width="16.140625" customWidth="1"/>
    <col min="5" max="5" width="5.140625" customWidth="1"/>
    <col min="6" max="6" width="17.85546875" customWidth="1"/>
    <col min="9" max="9" width="15" customWidth="1"/>
    <col min="10" max="10" width="3.7109375" customWidth="1"/>
    <col min="11" max="11" width="4.42578125" customWidth="1"/>
  </cols>
  <sheetData>
    <row r="1" spans="1:12" x14ac:dyDescent="0.25">
      <c r="A1" s="266" t="s">
        <v>44</v>
      </c>
      <c r="B1" s="266"/>
      <c r="C1" s="266"/>
      <c r="D1" s="266"/>
      <c r="E1" s="266"/>
      <c r="F1" s="267"/>
      <c r="G1" s="267"/>
      <c r="H1" s="267"/>
      <c r="I1" s="267"/>
      <c r="J1" s="14"/>
      <c r="K1" s="15"/>
      <c r="L1" s="16"/>
    </row>
    <row r="2" spans="1:12" x14ac:dyDescent="0.25">
      <c r="A2" s="268" t="s">
        <v>46</v>
      </c>
      <c r="B2" s="268"/>
      <c r="C2" s="268"/>
      <c r="D2" s="268"/>
      <c r="E2" s="16"/>
      <c r="F2" s="17"/>
      <c r="G2" s="17"/>
      <c r="H2" s="16"/>
      <c r="I2" s="16"/>
      <c r="J2" s="18"/>
      <c r="K2" s="15"/>
      <c r="L2" s="16"/>
    </row>
    <row r="3" spans="1:12" x14ac:dyDescent="0.25">
      <c r="A3" s="268" t="s">
        <v>74</v>
      </c>
      <c r="B3" s="268"/>
      <c r="C3" s="268"/>
      <c r="D3" s="268"/>
      <c r="E3" s="16"/>
      <c r="F3" s="15"/>
      <c r="G3" s="15"/>
      <c r="H3" s="16"/>
      <c r="I3" s="16"/>
      <c r="J3" s="18"/>
      <c r="K3" s="15"/>
      <c r="L3" s="16"/>
    </row>
    <row r="4" spans="1:12" ht="15" customHeight="1" x14ac:dyDescent="0.25">
      <c r="A4" s="273" t="s">
        <v>75</v>
      </c>
      <c r="B4" s="273"/>
      <c r="C4" s="273"/>
      <c r="D4" s="273"/>
      <c r="E4" s="16"/>
      <c r="F4" s="15"/>
      <c r="G4" s="15"/>
      <c r="H4" s="16"/>
      <c r="I4" s="16"/>
      <c r="J4" s="18"/>
      <c r="K4" s="15"/>
      <c r="L4" s="16"/>
    </row>
    <row r="5" spans="1:12" ht="41.25" customHeight="1" thickBot="1" x14ac:dyDescent="0.3">
      <c r="A5" s="22" t="s">
        <v>21</v>
      </c>
      <c r="B5" s="22" t="s">
        <v>19</v>
      </c>
      <c r="C5" s="22" t="s">
        <v>54</v>
      </c>
      <c r="D5" s="23" t="s">
        <v>37</v>
      </c>
      <c r="E5" s="22"/>
      <c r="F5" s="23" t="s">
        <v>35</v>
      </c>
      <c r="G5" s="22"/>
      <c r="H5" s="22"/>
      <c r="I5" s="23" t="s">
        <v>40</v>
      </c>
      <c r="J5" s="24"/>
      <c r="K5" s="22" t="s">
        <v>36</v>
      </c>
      <c r="L5" s="25"/>
    </row>
    <row r="6" spans="1:12" x14ac:dyDescent="0.25">
      <c r="A6" s="26"/>
      <c r="B6" s="27"/>
      <c r="C6" s="27"/>
      <c r="D6" s="29"/>
      <c r="E6" s="28"/>
      <c r="F6" s="21"/>
      <c r="G6" s="30"/>
      <c r="H6" s="21"/>
      <c r="I6" s="28"/>
      <c r="J6" s="31"/>
      <c r="K6" s="32"/>
      <c r="L6" s="33"/>
    </row>
    <row r="7" spans="1:12" x14ac:dyDescent="0.25">
      <c r="A7" s="26"/>
      <c r="B7" s="27"/>
      <c r="C7" s="27"/>
      <c r="D7" s="29"/>
      <c r="E7" s="28"/>
      <c r="F7" s="21"/>
      <c r="G7" s="30"/>
      <c r="H7" s="21"/>
      <c r="I7" s="28"/>
      <c r="J7" s="31"/>
      <c r="K7" s="32"/>
      <c r="L7" s="33"/>
    </row>
    <row r="8" spans="1:12" x14ac:dyDescent="0.25">
      <c r="A8" s="26" t="s">
        <v>12</v>
      </c>
      <c r="B8" s="27">
        <f>+'Curbside Year 2013'!C11</f>
        <v>5772</v>
      </c>
      <c r="C8" s="27"/>
      <c r="D8" s="28">
        <f>+'Curbside Year 2013'!G11</f>
        <v>3407.2799999999997</v>
      </c>
      <c r="E8" s="28"/>
      <c r="F8" s="21">
        <f t="shared" ref="F8:F19" si="0">IF(D8=0, 0, ROUND(D8/B8,2))</f>
        <v>0.59</v>
      </c>
      <c r="G8" s="30"/>
      <c r="H8" s="21"/>
      <c r="I8" s="28">
        <f t="shared" ref="I8:I19" si="1">B8</f>
        <v>5772</v>
      </c>
      <c r="J8" s="31"/>
      <c r="K8" s="32">
        <v>2013</v>
      </c>
      <c r="L8" s="33"/>
    </row>
    <row r="9" spans="1:12" x14ac:dyDescent="0.25">
      <c r="A9" s="26" t="s">
        <v>13</v>
      </c>
      <c r="B9" s="27">
        <f>+'Curbside Year 2013'!C12</f>
        <v>6001</v>
      </c>
      <c r="C9" s="27"/>
      <c r="D9" s="28">
        <f>+'Curbside Year 2013'!G12</f>
        <v>2766</v>
      </c>
      <c r="E9" s="28"/>
      <c r="F9" s="21">
        <f t="shared" si="0"/>
        <v>0.46</v>
      </c>
      <c r="G9" s="30"/>
      <c r="H9" s="21"/>
      <c r="I9" s="28">
        <f t="shared" si="1"/>
        <v>6001</v>
      </c>
      <c r="J9" s="31"/>
      <c r="K9" s="32">
        <v>2013</v>
      </c>
      <c r="L9" s="33"/>
    </row>
    <row r="10" spans="1:12" x14ac:dyDescent="0.25">
      <c r="A10" s="26" t="s">
        <v>14</v>
      </c>
      <c r="B10" s="27">
        <f>+'Curbside Year 2013'!C13</f>
        <v>6000</v>
      </c>
      <c r="C10" s="27"/>
      <c r="D10" s="28">
        <f>+'Curbside Year 2013'!G13</f>
        <v>2448.36</v>
      </c>
      <c r="E10" s="28"/>
      <c r="F10" s="21">
        <f t="shared" si="0"/>
        <v>0.41</v>
      </c>
      <c r="G10" s="30"/>
      <c r="H10" s="21"/>
      <c r="I10" s="28">
        <f t="shared" si="1"/>
        <v>6000</v>
      </c>
      <c r="J10" s="31"/>
      <c r="K10" s="32">
        <v>2013</v>
      </c>
      <c r="L10" s="33"/>
    </row>
    <row r="11" spans="1:12" x14ac:dyDescent="0.25">
      <c r="A11" s="26" t="s">
        <v>15</v>
      </c>
      <c r="B11" s="27">
        <f>+'Curbside Year 2013'!C14</f>
        <v>6003</v>
      </c>
      <c r="C11" s="27"/>
      <c r="D11" s="28">
        <f>+'Curbside Year 2013'!G14</f>
        <v>1873</v>
      </c>
      <c r="E11" s="28"/>
      <c r="F11" s="21">
        <f t="shared" si="0"/>
        <v>0.31</v>
      </c>
      <c r="G11" s="30"/>
      <c r="H11" s="21"/>
      <c r="I11" s="28">
        <f t="shared" si="1"/>
        <v>6003</v>
      </c>
      <c r="J11" s="31"/>
      <c r="K11" s="32">
        <v>2013</v>
      </c>
      <c r="L11" s="33"/>
    </row>
    <row r="12" spans="1:12" x14ac:dyDescent="0.25">
      <c r="A12" s="26" t="s">
        <v>16</v>
      </c>
      <c r="B12" s="27">
        <f>+'Curbside Year 2013'!C15</f>
        <v>6010</v>
      </c>
      <c r="C12" s="27"/>
      <c r="D12" s="28">
        <f>+'Curbside Year 2013'!G15</f>
        <v>2105.0250000000001</v>
      </c>
      <c r="E12" s="28"/>
      <c r="F12" s="21">
        <f t="shared" si="0"/>
        <v>0.35</v>
      </c>
      <c r="G12" s="30"/>
      <c r="H12" s="21"/>
      <c r="I12" s="28">
        <f t="shared" si="1"/>
        <v>6010</v>
      </c>
      <c r="J12" s="31"/>
      <c r="K12" s="32">
        <v>2013</v>
      </c>
      <c r="L12" s="33"/>
    </row>
    <row r="13" spans="1:12" x14ac:dyDescent="0.25">
      <c r="A13" s="26" t="s">
        <v>17</v>
      </c>
      <c r="B13" s="27">
        <f>+'Curbside Year 2013'!C16</f>
        <v>6020</v>
      </c>
      <c r="C13" s="27"/>
      <c r="D13" s="28">
        <f>+'Curbside Year 2013'!G16</f>
        <v>1745.12</v>
      </c>
      <c r="E13" s="28"/>
      <c r="F13" s="21">
        <f t="shared" si="0"/>
        <v>0.28999999999999998</v>
      </c>
      <c r="G13" s="30"/>
      <c r="H13" s="21"/>
      <c r="I13" s="28">
        <f t="shared" si="1"/>
        <v>6020</v>
      </c>
      <c r="J13" s="31"/>
      <c r="K13" s="32">
        <v>2013</v>
      </c>
      <c r="L13" s="33"/>
    </row>
    <row r="14" spans="1:12" x14ac:dyDescent="0.25">
      <c r="A14" s="26" t="s">
        <v>18</v>
      </c>
      <c r="B14" s="27">
        <f>+'Curbside Year 2013'!C17</f>
        <v>6044</v>
      </c>
      <c r="C14" s="27"/>
      <c r="D14" s="28">
        <f>+'Curbside Year 2013'!G17</f>
        <v>1079</v>
      </c>
      <c r="E14" s="28"/>
      <c r="F14" s="21">
        <f t="shared" si="0"/>
        <v>0.18</v>
      </c>
      <c r="G14" s="30"/>
      <c r="H14" s="21"/>
      <c r="I14" s="28">
        <f t="shared" si="1"/>
        <v>6044</v>
      </c>
      <c r="J14" s="31"/>
      <c r="K14" s="32">
        <v>2013</v>
      </c>
      <c r="L14" s="33"/>
    </row>
    <row r="15" spans="1:12" x14ac:dyDescent="0.25">
      <c r="A15" s="26" t="s">
        <v>20</v>
      </c>
      <c r="B15" s="27">
        <f>+'Curbside Year 2013'!C18</f>
        <v>6064</v>
      </c>
      <c r="C15" s="27"/>
      <c r="D15" s="28">
        <f>+'Curbside Year 2013'!G18</f>
        <v>0</v>
      </c>
      <c r="E15" s="28"/>
      <c r="F15" s="21">
        <f t="shared" si="0"/>
        <v>0</v>
      </c>
      <c r="G15" s="30"/>
      <c r="H15" s="21"/>
      <c r="I15" s="28">
        <f t="shared" si="1"/>
        <v>6064</v>
      </c>
      <c r="J15" s="31"/>
      <c r="K15" s="32">
        <v>2013</v>
      </c>
      <c r="L15" s="33"/>
    </row>
    <row r="16" spans="1:12" x14ac:dyDescent="0.25">
      <c r="A16" s="26" t="s">
        <v>34</v>
      </c>
      <c r="B16" s="27">
        <f>+'Curbside Year 2013'!C19</f>
        <v>6070</v>
      </c>
      <c r="C16" s="27"/>
      <c r="D16" s="28">
        <f>+'Curbside Year 2013'!G19</f>
        <v>0</v>
      </c>
      <c r="E16" s="28"/>
      <c r="F16" s="21">
        <f t="shared" si="0"/>
        <v>0</v>
      </c>
      <c r="G16" s="30"/>
      <c r="H16" s="21"/>
      <c r="I16" s="28">
        <f t="shared" si="1"/>
        <v>6070</v>
      </c>
      <c r="J16" s="31"/>
      <c r="K16" s="32">
        <v>2013</v>
      </c>
      <c r="L16" s="33"/>
    </row>
    <row r="17" spans="1:12" x14ac:dyDescent="0.25">
      <c r="A17" s="26" t="s">
        <v>9</v>
      </c>
      <c r="B17" s="27">
        <f>+'Curbside Year 2013'!C20</f>
        <v>6093</v>
      </c>
      <c r="C17" s="27"/>
      <c r="D17" s="28">
        <f>+'Curbside Year 2013'!G20</f>
        <v>0</v>
      </c>
      <c r="E17" s="28"/>
      <c r="F17" s="21">
        <f t="shared" si="0"/>
        <v>0</v>
      </c>
      <c r="G17" s="30"/>
      <c r="H17" s="21"/>
      <c r="I17" s="28">
        <f t="shared" si="1"/>
        <v>6093</v>
      </c>
      <c r="J17" s="31"/>
      <c r="K17" s="32">
        <v>2013</v>
      </c>
      <c r="L17" s="33"/>
    </row>
    <row r="18" spans="1:12" x14ac:dyDescent="0.25">
      <c r="A18" s="26" t="s">
        <v>10</v>
      </c>
      <c r="B18" s="27">
        <f>+'Curbside Year 2013'!C21</f>
        <v>6103</v>
      </c>
      <c r="C18" s="27"/>
      <c r="D18" s="28">
        <f>+'Curbside Year 2013'!G21</f>
        <v>0</v>
      </c>
      <c r="E18" s="28"/>
      <c r="F18" s="21">
        <f t="shared" si="0"/>
        <v>0</v>
      </c>
      <c r="G18" s="30"/>
      <c r="H18" s="21"/>
      <c r="I18" s="28">
        <f t="shared" si="1"/>
        <v>6103</v>
      </c>
      <c r="J18" s="31"/>
      <c r="K18" s="32">
        <v>2013</v>
      </c>
      <c r="L18" s="33"/>
    </row>
    <row r="19" spans="1:12" x14ac:dyDescent="0.25">
      <c r="A19" s="26" t="s">
        <v>11</v>
      </c>
      <c r="B19" s="27">
        <f>+'Curbside Year 2013'!C22</f>
        <v>6101</v>
      </c>
      <c r="C19" s="27"/>
      <c r="D19" s="28">
        <f>+'Curbside Year 2013'!G22</f>
        <v>0</v>
      </c>
      <c r="E19" s="28"/>
      <c r="F19" s="21">
        <f t="shared" si="0"/>
        <v>0</v>
      </c>
      <c r="G19" s="30"/>
      <c r="H19" s="21"/>
      <c r="I19" s="28">
        <f t="shared" si="1"/>
        <v>6101</v>
      </c>
      <c r="J19" s="31"/>
      <c r="K19" s="32">
        <v>2013</v>
      </c>
      <c r="L19" s="33"/>
    </row>
    <row r="20" spans="1:12" x14ac:dyDescent="0.25">
      <c r="A20" s="26" t="s">
        <v>72</v>
      </c>
      <c r="B20" s="34">
        <f>SUM(B8:B19)</f>
        <v>72281</v>
      </c>
      <c r="C20" s="35" t="s">
        <v>30</v>
      </c>
      <c r="D20" s="34">
        <f>SUM(D8:D19)</f>
        <v>15423.785</v>
      </c>
      <c r="E20" s="28"/>
      <c r="F20" s="21"/>
      <c r="G20" s="28"/>
      <c r="H20" s="28"/>
      <c r="I20" s="28"/>
      <c r="J20" s="31"/>
      <c r="K20" s="32"/>
      <c r="L20" s="33"/>
    </row>
    <row r="21" spans="1:12" x14ac:dyDescent="0.25">
      <c r="A21" s="11"/>
      <c r="B21" s="11"/>
      <c r="C21" s="11"/>
      <c r="D21" s="36"/>
      <c r="E21" s="11"/>
      <c r="F21" s="11"/>
      <c r="G21" s="11"/>
      <c r="H21" s="11"/>
      <c r="I21" s="11"/>
      <c r="J21" s="12"/>
      <c r="K21" s="13"/>
      <c r="L21" s="11"/>
    </row>
    <row r="22" spans="1:12" ht="15.75" thickBot="1" x14ac:dyDescent="0.3">
      <c r="A22" s="26" t="s">
        <v>41</v>
      </c>
      <c r="B22" s="37">
        <f>+B20</f>
        <v>72281</v>
      </c>
      <c r="C22" s="28"/>
      <c r="D22" s="37">
        <f>+D20</f>
        <v>15423.785</v>
      </c>
      <c r="E22" s="35" t="s">
        <v>31</v>
      </c>
      <c r="F22" s="38">
        <f>ROUND(D22/B22,3)</f>
        <v>0.21299999999999999</v>
      </c>
      <c r="G22" s="35" t="s">
        <v>22</v>
      </c>
      <c r="H22" s="28"/>
      <c r="I22" s="37">
        <f>SUM(I6:I19)</f>
        <v>72281</v>
      </c>
      <c r="J22" s="35" t="s">
        <v>23</v>
      </c>
      <c r="K22" s="39"/>
      <c r="L22" s="35"/>
    </row>
    <row r="23" spans="1:12" ht="15.75" thickTop="1" x14ac:dyDescent="0.25">
      <c r="A23" s="21"/>
      <c r="B23" s="28"/>
      <c r="C23" s="28"/>
      <c r="D23" s="28"/>
      <c r="E23" s="28"/>
      <c r="F23" s="28"/>
      <c r="G23" s="28"/>
      <c r="H23" s="28"/>
      <c r="I23" s="28"/>
      <c r="J23" s="31"/>
      <c r="K23" s="40"/>
      <c r="L23" s="28"/>
    </row>
    <row r="24" spans="1:12" x14ac:dyDescent="0.25">
      <c r="A24" s="21"/>
      <c r="B24" s="28"/>
      <c r="C24" s="28"/>
      <c r="D24" s="28"/>
      <c r="E24" s="28"/>
      <c r="F24" s="28"/>
      <c r="G24" s="28"/>
      <c r="H24" s="28"/>
      <c r="I24" s="28"/>
      <c r="J24" s="31"/>
      <c r="K24" s="40"/>
      <c r="L24" s="28"/>
    </row>
    <row r="25" spans="1:12" ht="15.75" thickBot="1" x14ac:dyDescent="0.3">
      <c r="A25" s="272" t="s">
        <v>24</v>
      </c>
      <c r="B25" s="272"/>
      <c r="C25" s="272"/>
      <c r="D25" s="272"/>
      <c r="E25" s="272"/>
      <c r="F25" s="272"/>
      <c r="G25" s="272"/>
      <c r="H25" s="272"/>
      <c r="I25" s="272"/>
      <c r="J25" s="41"/>
      <c r="K25" s="40"/>
      <c r="L25" s="28"/>
    </row>
    <row r="26" spans="1:12" x14ac:dyDescent="0.25">
      <c r="A26" s="42"/>
      <c r="B26" s="43"/>
      <c r="C26" s="43"/>
      <c r="D26" s="28"/>
      <c r="E26" s="28"/>
      <c r="F26" s="28"/>
      <c r="G26" s="28"/>
      <c r="H26" s="28"/>
      <c r="I26" s="28"/>
      <c r="J26" s="31"/>
      <c r="K26" s="40"/>
      <c r="L26" s="28"/>
    </row>
    <row r="27" spans="1:12" x14ac:dyDescent="0.25">
      <c r="A27" s="19"/>
      <c r="B27" s="43"/>
      <c r="C27" s="43"/>
      <c r="D27" s="271" t="s">
        <v>25</v>
      </c>
      <c r="E27" s="271"/>
      <c r="F27" s="271"/>
      <c r="G27" s="271"/>
      <c r="H27" s="271"/>
      <c r="I27" s="28">
        <f>ROUND(D22,0)</f>
        <v>15424</v>
      </c>
      <c r="J27" s="35" t="s">
        <v>31</v>
      </c>
      <c r="K27" s="39"/>
      <c r="L27" s="35"/>
    </row>
    <row r="28" spans="1:12" x14ac:dyDescent="0.25">
      <c r="A28" s="45"/>
      <c r="B28" s="43"/>
      <c r="C28" s="43"/>
      <c r="D28" s="28"/>
      <c r="E28" s="28"/>
      <c r="F28" s="28"/>
      <c r="G28" s="28"/>
      <c r="H28" s="35"/>
      <c r="I28" s="28"/>
      <c r="J28" s="31"/>
      <c r="K28" s="40"/>
      <c r="L28" s="28"/>
    </row>
    <row r="29" spans="1:12" x14ac:dyDescent="0.25">
      <c r="A29" s="21"/>
      <c r="B29" s="28"/>
      <c r="C29" s="28"/>
      <c r="D29" s="28"/>
      <c r="E29" s="28"/>
      <c r="F29" s="46"/>
      <c r="G29" s="35"/>
      <c r="H29" s="28"/>
      <c r="I29" s="28"/>
      <c r="J29" s="31"/>
      <c r="K29" s="40"/>
      <c r="L29" s="28"/>
    </row>
    <row r="30" spans="1:12" x14ac:dyDescent="0.25">
      <c r="A30" s="21"/>
      <c r="B30" s="270" t="s">
        <v>38</v>
      </c>
      <c r="C30" s="270"/>
      <c r="D30" s="270"/>
      <c r="E30" s="270"/>
      <c r="F30" s="55">
        <f>+'Credit Calc-Single Family 2013'!I47</f>
        <v>0.61099999999999999</v>
      </c>
      <c r="G30" s="28"/>
      <c r="H30" s="28"/>
      <c r="I30" s="28"/>
      <c r="J30" s="31"/>
      <c r="K30" s="40"/>
      <c r="L30" s="28"/>
    </row>
    <row r="31" spans="1:12" x14ac:dyDescent="0.25">
      <c r="A31" s="21"/>
      <c r="B31" s="271" t="s">
        <v>73</v>
      </c>
      <c r="C31" s="271"/>
      <c r="D31" s="271"/>
      <c r="E31" s="271"/>
      <c r="F31" s="28">
        <f>+B20</f>
        <v>72281</v>
      </c>
      <c r="G31" s="35" t="s">
        <v>30</v>
      </c>
      <c r="H31" s="28"/>
      <c r="I31" s="28"/>
      <c r="J31" s="31"/>
      <c r="K31" s="40"/>
      <c r="L31" s="28"/>
    </row>
    <row r="32" spans="1:12" x14ac:dyDescent="0.25">
      <c r="A32" s="21"/>
      <c r="B32" s="28"/>
      <c r="C32" s="28"/>
      <c r="D32" s="271"/>
      <c r="E32" s="271"/>
      <c r="F32" s="34">
        <f>-'Tarriff Revenue Billed'!E21</f>
        <v>33325.615000000005</v>
      </c>
      <c r="G32" s="35"/>
      <c r="H32" s="28"/>
      <c r="I32" s="28"/>
      <c r="J32" s="31"/>
      <c r="K32" s="40"/>
      <c r="L32" s="28"/>
    </row>
    <row r="33" spans="1:14" x14ac:dyDescent="0.25">
      <c r="A33" s="21"/>
      <c r="B33" s="28"/>
      <c r="C33" s="28"/>
      <c r="D33" s="28"/>
      <c r="E33" s="28"/>
      <c r="F33" s="28"/>
      <c r="G33" s="35"/>
      <c r="H33" s="28"/>
      <c r="I33" s="28"/>
      <c r="J33" s="31"/>
      <c r="K33" s="40"/>
      <c r="L33" s="28"/>
    </row>
    <row r="34" spans="1:14" ht="15.75" thickBot="1" x14ac:dyDescent="0.3">
      <c r="A34" s="21"/>
      <c r="B34" s="28"/>
      <c r="C34" s="28"/>
      <c r="D34" s="271"/>
      <c r="E34" s="271"/>
      <c r="F34" s="37">
        <f>+F32</f>
        <v>33325.615000000005</v>
      </c>
      <c r="G34" s="21"/>
      <c r="H34" s="28"/>
      <c r="I34" s="28">
        <f>+F34</f>
        <v>33325.615000000005</v>
      </c>
      <c r="J34" s="31"/>
      <c r="K34" s="40"/>
      <c r="L34" s="28"/>
    </row>
    <row r="35" spans="1:14" ht="15.75" thickTop="1" x14ac:dyDescent="0.25">
      <c r="A35" s="21"/>
      <c r="B35" s="28"/>
      <c r="C35" s="28"/>
      <c r="D35" s="28"/>
      <c r="E35" s="28"/>
      <c r="F35" s="28"/>
      <c r="G35" s="28"/>
      <c r="H35" s="28"/>
      <c r="I35" s="28"/>
      <c r="J35" s="31"/>
      <c r="K35" s="40"/>
      <c r="L35" s="28"/>
    </row>
    <row r="36" spans="1:14" x14ac:dyDescent="0.25">
      <c r="A36" s="21"/>
      <c r="B36" s="28"/>
      <c r="C36" s="28"/>
      <c r="D36" s="28"/>
      <c r="E36" s="28"/>
      <c r="F36" s="28"/>
      <c r="G36" s="28"/>
      <c r="H36" s="28"/>
      <c r="I36" s="28"/>
      <c r="J36" s="31"/>
      <c r="K36" s="40"/>
      <c r="L36" s="28"/>
    </row>
    <row r="37" spans="1:14" ht="15.75" thickBot="1" x14ac:dyDescent="0.3">
      <c r="A37" s="21"/>
      <c r="B37" s="28"/>
      <c r="C37" s="28"/>
      <c r="D37" s="28"/>
      <c r="E37" s="28"/>
      <c r="F37" s="271" t="s">
        <v>28</v>
      </c>
      <c r="G37" s="271"/>
      <c r="H37" s="271"/>
      <c r="I37" s="47">
        <f>+I27-I34</f>
        <v>-17901.615000000005</v>
      </c>
      <c r="J37" s="31" t="s">
        <v>29</v>
      </c>
      <c r="K37" s="39"/>
      <c r="L37" s="28"/>
    </row>
    <row r="38" spans="1:14" ht="15.75" thickTop="1" x14ac:dyDescent="0.25">
      <c r="A38" s="21"/>
      <c r="B38" s="28"/>
      <c r="C38" s="28"/>
      <c r="D38" s="28"/>
      <c r="E38" s="28"/>
      <c r="F38" s="28"/>
      <c r="G38" s="28"/>
      <c r="H38" s="28"/>
      <c r="I38" s="28"/>
      <c r="J38" s="31"/>
      <c r="K38" s="40"/>
      <c r="L38" s="28"/>
    </row>
    <row r="39" spans="1:14" ht="15.75" thickBot="1" x14ac:dyDescent="0.3">
      <c r="A39" s="272" t="s">
        <v>49</v>
      </c>
      <c r="B39" s="272"/>
      <c r="C39" s="272"/>
      <c r="D39" s="272"/>
      <c r="E39" s="272"/>
      <c r="F39" s="272"/>
      <c r="G39" s="272"/>
      <c r="H39" s="272"/>
      <c r="I39" s="272"/>
      <c r="J39" s="41"/>
      <c r="K39" s="40"/>
      <c r="L39" s="28"/>
    </row>
    <row r="40" spans="1:14" x14ac:dyDescent="0.25">
      <c r="A40" s="21"/>
      <c r="B40" s="43"/>
      <c r="C40" s="43"/>
      <c r="D40" s="28"/>
      <c r="E40" s="28"/>
      <c r="F40" s="28"/>
      <c r="G40" s="28"/>
      <c r="H40" s="28"/>
      <c r="I40" s="28"/>
      <c r="J40" s="31"/>
      <c r="K40" s="40"/>
      <c r="L40" s="28"/>
    </row>
    <row r="41" spans="1:14" x14ac:dyDescent="0.25">
      <c r="A41" s="21"/>
      <c r="B41" s="270" t="s">
        <v>32</v>
      </c>
      <c r="C41" s="270"/>
      <c r="D41" s="270"/>
      <c r="E41" s="28"/>
      <c r="F41" s="28"/>
      <c r="G41" s="28"/>
      <c r="H41" s="28"/>
      <c r="I41" s="28"/>
      <c r="J41" s="31"/>
      <c r="K41" s="40"/>
      <c r="L41" s="28"/>
    </row>
    <row r="42" spans="1:14" x14ac:dyDescent="0.25">
      <c r="A42" s="21"/>
      <c r="B42" s="28"/>
      <c r="C42" s="28"/>
      <c r="D42" s="271" t="s">
        <v>39</v>
      </c>
      <c r="E42" s="271"/>
      <c r="F42" s="271"/>
      <c r="G42" s="28">
        <f>+I22</f>
        <v>72281</v>
      </c>
      <c r="H42" s="35" t="s">
        <v>23</v>
      </c>
      <c r="I42" s="28"/>
      <c r="J42" s="31"/>
      <c r="K42" s="40"/>
      <c r="L42" s="28"/>
    </row>
    <row r="43" spans="1:14" x14ac:dyDescent="0.25">
      <c r="A43" s="21"/>
      <c r="B43" s="28"/>
      <c r="C43" s="28"/>
      <c r="D43" s="271" t="s">
        <v>28</v>
      </c>
      <c r="E43" s="271"/>
      <c r="F43" s="271"/>
      <c r="G43" s="28">
        <f>+I37</f>
        <v>-17901.615000000005</v>
      </c>
      <c r="H43" s="28" t="s">
        <v>29</v>
      </c>
      <c r="I43" s="28"/>
      <c r="J43" s="31"/>
      <c r="K43" s="40"/>
      <c r="L43" s="28"/>
    </row>
    <row r="44" spans="1:14" ht="15.75" thickBot="1" x14ac:dyDescent="0.3">
      <c r="A44" s="21"/>
      <c r="B44" s="28"/>
      <c r="C44" s="28"/>
      <c r="D44" s="28"/>
      <c r="E44" s="271" t="s">
        <v>33</v>
      </c>
      <c r="F44" s="271"/>
      <c r="G44" s="38">
        <f>ROUND(G43/G42,3)</f>
        <v>-0.248</v>
      </c>
      <c r="H44" s="28"/>
      <c r="I44" s="30">
        <f>+G44</f>
        <v>-0.248</v>
      </c>
      <c r="J44" s="48"/>
      <c r="K44" s="40"/>
      <c r="L44" s="28"/>
    </row>
    <row r="45" spans="1:14" ht="15.75" thickTop="1" x14ac:dyDescent="0.25">
      <c r="A45" s="21"/>
      <c r="B45" s="28"/>
      <c r="C45" s="28"/>
      <c r="D45" s="28"/>
      <c r="E45" s="28"/>
      <c r="F45" s="44"/>
      <c r="G45" s="28"/>
      <c r="H45" s="28"/>
      <c r="I45" s="30"/>
      <c r="J45" s="48"/>
      <c r="K45" s="40"/>
      <c r="L45" s="28"/>
    </row>
    <row r="46" spans="1:14" x14ac:dyDescent="0.25">
      <c r="A46" s="21"/>
      <c r="B46" s="274" t="s">
        <v>48</v>
      </c>
      <c r="C46" s="274"/>
      <c r="D46" s="274"/>
      <c r="E46" s="274"/>
      <c r="F46" s="44"/>
      <c r="G46" s="28"/>
      <c r="H46" s="28"/>
      <c r="I46" s="30"/>
      <c r="J46" s="48"/>
      <c r="K46" s="40"/>
      <c r="L46" s="28"/>
    </row>
    <row r="47" spans="1:14" ht="15.75" thickBot="1" x14ac:dyDescent="0.3">
      <c r="A47" s="21"/>
      <c r="B47" s="271" t="s">
        <v>45</v>
      </c>
      <c r="C47" s="271"/>
      <c r="D47" s="271"/>
      <c r="E47" s="271"/>
      <c r="F47" s="271"/>
      <c r="G47" s="52">
        <f>+F22</f>
        <v>0.21299999999999999</v>
      </c>
      <c r="H47" s="53"/>
      <c r="I47" s="54">
        <f>+G47</f>
        <v>0.21299999999999999</v>
      </c>
      <c r="J47" s="35" t="s">
        <v>22</v>
      </c>
      <c r="K47" s="39"/>
      <c r="L47" s="35"/>
      <c r="N47" s="56"/>
    </row>
    <row r="48" spans="1:14" ht="15.75" thickTop="1" x14ac:dyDescent="0.25">
      <c r="A48" s="28"/>
      <c r="B48" s="43"/>
      <c r="C48" s="43"/>
      <c r="D48" s="28"/>
      <c r="E48" s="28"/>
      <c r="F48" s="28"/>
      <c r="G48" s="28"/>
      <c r="H48" s="28"/>
      <c r="I48" s="30"/>
      <c r="J48" s="48"/>
      <c r="K48" s="40"/>
      <c r="L48" s="28"/>
    </row>
    <row r="49" spans="1:12" ht="15.75" thickBot="1" x14ac:dyDescent="0.3">
      <c r="A49" s="21"/>
      <c r="B49" s="28"/>
      <c r="C49" s="28"/>
      <c r="D49" s="28"/>
      <c r="E49" s="271" t="s">
        <v>77</v>
      </c>
      <c r="F49" s="271"/>
      <c r="G49" s="271"/>
      <c r="H49" s="37"/>
      <c r="I49" s="110">
        <f>-I44-I47</f>
        <v>3.5000000000000003E-2</v>
      </c>
      <c r="J49" s="50"/>
      <c r="K49" s="40"/>
      <c r="L49" s="28"/>
    </row>
    <row r="50" spans="1:12" ht="15.75" thickTop="1" x14ac:dyDescent="0.25">
      <c r="A50" s="21"/>
      <c r="B50" s="21"/>
      <c r="C50" s="21"/>
      <c r="D50" s="21"/>
      <c r="E50" s="21"/>
      <c r="F50" s="21"/>
      <c r="G50" s="21"/>
      <c r="H50" s="21"/>
      <c r="I50" s="30"/>
      <c r="J50" s="48"/>
      <c r="K50" s="39"/>
      <c r="L50" s="21"/>
    </row>
    <row r="51" spans="1:12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51"/>
      <c r="K51" s="39"/>
      <c r="L51" s="21"/>
    </row>
    <row r="52" spans="1:12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51"/>
      <c r="K52" s="39"/>
      <c r="L52" s="21"/>
    </row>
  </sheetData>
  <mergeCells count="20">
    <mergeCell ref="B47:F47"/>
    <mergeCell ref="E49:G49"/>
    <mergeCell ref="B41:D41"/>
    <mergeCell ref="D32:E32"/>
    <mergeCell ref="D34:E34"/>
    <mergeCell ref="D42:F42"/>
    <mergeCell ref="D43:F43"/>
    <mergeCell ref="E44:F44"/>
    <mergeCell ref="B46:E46"/>
    <mergeCell ref="A39:I39"/>
    <mergeCell ref="F37:H37"/>
    <mergeCell ref="B30:E30"/>
    <mergeCell ref="B31:E31"/>
    <mergeCell ref="F1:I1"/>
    <mergeCell ref="D27:H27"/>
    <mergeCell ref="A1:E1"/>
    <mergeCell ref="A2:D2"/>
    <mergeCell ref="A3:D3"/>
    <mergeCell ref="A25:I25"/>
    <mergeCell ref="A4:D4"/>
  </mergeCells>
  <phoneticPr fontId="9" type="noConversion"/>
  <pageMargins left="0.5" right="0.5" top="1" bottom="1" header="0.5" footer="0.5"/>
  <pageSetup scale="84" orientation="portrait" r:id="rId1"/>
  <headerFooter alignWithMargins="0">
    <oddFooter xml:space="preserve">&amp;CPage &amp;P&amp;R&amp;A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52"/>
  <sheetViews>
    <sheetView topLeftCell="A16" zoomScaleNormal="100" workbookViewId="0">
      <selection activeCell="F50" sqref="F50"/>
    </sheetView>
  </sheetViews>
  <sheetFormatPr defaultRowHeight="15" x14ac:dyDescent="0.25"/>
  <cols>
    <col min="1" max="1" width="13.140625" customWidth="1"/>
    <col min="3" max="3" width="6.28515625" customWidth="1"/>
    <col min="4" max="4" width="15.85546875" customWidth="1"/>
    <col min="5" max="5" width="6.42578125" customWidth="1"/>
    <col min="6" max="6" width="18.28515625" customWidth="1"/>
    <col min="7" max="7" width="7.42578125" customWidth="1"/>
    <col min="8" max="8" width="4.28515625" customWidth="1"/>
    <col min="9" max="9" width="15.5703125" customWidth="1"/>
    <col min="10" max="10" width="3.7109375" customWidth="1"/>
    <col min="11" max="11" width="5.28515625" customWidth="1"/>
  </cols>
  <sheetData>
    <row r="1" spans="1:11" x14ac:dyDescent="0.25">
      <c r="A1" s="266" t="s">
        <v>44</v>
      </c>
      <c r="B1" s="266"/>
      <c r="C1" s="266"/>
      <c r="D1" s="266"/>
      <c r="E1" s="266"/>
      <c r="F1" s="267"/>
      <c r="G1" s="267"/>
      <c r="H1" s="267"/>
      <c r="I1" s="267"/>
      <c r="J1" s="14"/>
      <c r="K1" s="15"/>
    </row>
    <row r="2" spans="1:11" x14ac:dyDescent="0.25">
      <c r="A2" s="268" t="s">
        <v>46</v>
      </c>
      <c r="B2" s="268"/>
      <c r="C2" s="268"/>
      <c r="D2" s="268"/>
      <c r="E2" s="16"/>
      <c r="F2" s="17"/>
      <c r="G2" s="17"/>
      <c r="H2" s="16"/>
      <c r="I2" s="16"/>
      <c r="J2" s="18"/>
      <c r="K2" s="15"/>
    </row>
    <row r="3" spans="1:11" x14ac:dyDescent="0.25">
      <c r="A3" s="268" t="s">
        <v>74</v>
      </c>
      <c r="B3" s="268"/>
      <c r="C3" s="268"/>
      <c r="D3" s="268"/>
      <c r="E3" s="16"/>
      <c r="J3" s="18"/>
      <c r="K3" s="15"/>
    </row>
    <row r="4" spans="1:11" ht="12.75" customHeight="1" x14ac:dyDescent="0.25">
      <c r="A4" s="273" t="s">
        <v>76</v>
      </c>
      <c r="B4" s="273"/>
      <c r="C4" s="273"/>
      <c r="D4" s="273"/>
      <c r="E4" s="19"/>
      <c r="F4" s="19"/>
      <c r="G4" s="16"/>
      <c r="H4" s="19"/>
      <c r="I4" s="16"/>
      <c r="J4" s="18"/>
      <c r="K4" s="20"/>
    </row>
    <row r="5" spans="1:11" ht="35.25" customHeight="1" thickBot="1" x14ac:dyDescent="0.3">
      <c r="A5" s="22" t="s">
        <v>21</v>
      </c>
      <c r="B5" s="22" t="s">
        <v>19</v>
      </c>
      <c r="C5" s="22"/>
      <c r="D5" s="23" t="s">
        <v>37</v>
      </c>
      <c r="E5" s="22"/>
      <c r="F5" s="23" t="s">
        <v>35</v>
      </c>
      <c r="G5" s="22"/>
      <c r="H5" s="22"/>
      <c r="I5" s="23" t="s">
        <v>40</v>
      </c>
      <c r="J5" s="24"/>
      <c r="K5" s="22" t="s">
        <v>36</v>
      </c>
    </row>
    <row r="6" spans="1:11" x14ac:dyDescent="0.25">
      <c r="A6" s="26"/>
      <c r="B6" s="27"/>
      <c r="C6" s="28"/>
      <c r="D6" s="27"/>
      <c r="E6" s="28"/>
      <c r="F6" s="21"/>
      <c r="G6" s="30"/>
      <c r="H6" s="21"/>
      <c r="I6" s="28"/>
      <c r="J6" s="31"/>
      <c r="K6" s="32"/>
    </row>
    <row r="7" spans="1:11" x14ac:dyDescent="0.25">
      <c r="A7" s="26"/>
      <c r="B7" s="27"/>
      <c r="C7" s="28"/>
      <c r="D7" s="27"/>
      <c r="E7" s="28"/>
      <c r="F7" s="21"/>
      <c r="G7" s="30"/>
      <c r="H7" s="21"/>
      <c r="I7" s="28"/>
      <c r="J7" s="31"/>
      <c r="K7" s="32"/>
    </row>
    <row r="8" spans="1:11" x14ac:dyDescent="0.25">
      <c r="A8" s="26" t="s">
        <v>12</v>
      </c>
      <c r="B8" s="27">
        <f>+'Multi-Family Year 2013'!C11</f>
        <v>1349</v>
      </c>
      <c r="C8" s="28"/>
      <c r="D8" s="28">
        <f>+'Multi-Family Year 2013'!G11</f>
        <v>249.36</v>
      </c>
      <c r="E8" s="28"/>
      <c r="F8" s="21">
        <f t="shared" ref="F8:F19" si="0">IF(D8=0, 0, ROUND(D8/B8,2))</f>
        <v>0.18</v>
      </c>
      <c r="G8" s="30"/>
      <c r="H8" s="21"/>
      <c r="I8" s="28">
        <f t="shared" ref="I8:I19" si="1">B8</f>
        <v>1349</v>
      </c>
      <c r="J8" s="31"/>
      <c r="K8" s="32">
        <v>2012</v>
      </c>
    </row>
    <row r="9" spans="1:11" x14ac:dyDescent="0.25">
      <c r="A9" s="26" t="s">
        <v>13</v>
      </c>
      <c r="B9" s="27">
        <f>+'Multi-Family Year 2013'!C12</f>
        <v>1349</v>
      </c>
      <c r="C9" s="28"/>
      <c r="D9" s="28">
        <f>+'Multi-Family Year 2013'!G12</f>
        <v>343.08</v>
      </c>
      <c r="E9" s="28"/>
      <c r="F9" s="21">
        <f t="shared" si="0"/>
        <v>0.25</v>
      </c>
      <c r="G9" s="30"/>
      <c r="H9" s="21"/>
      <c r="I9" s="28">
        <f t="shared" si="1"/>
        <v>1349</v>
      </c>
      <c r="J9" s="31"/>
      <c r="K9" s="32">
        <v>2012</v>
      </c>
    </row>
    <row r="10" spans="1:11" x14ac:dyDescent="0.25">
      <c r="A10" s="26" t="s">
        <v>14</v>
      </c>
      <c r="B10" s="27">
        <f>+'Multi-Family Year 2013'!C13</f>
        <v>1349</v>
      </c>
      <c r="C10" s="28"/>
      <c r="D10" s="28">
        <f>+'Multi-Family Year 2013'!G13</f>
        <v>347.4</v>
      </c>
      <c r="E10" s="28"/>
      <c r="F10" s="21">
        <f t="shared" si="0"/>
        <v>0.26</v>
      </c>
      <c r="G10" s="30"/>
      <c r="H10" s="21"/>
      <c r="I10" s="28">
        <f t="shared" si="1"/>
        <v>1349</v>
      </c>
      <c r="J10" s="31"/>
      <c r="K10" s="32">
        <v>2012</v>
      </c>
    </row>
    <row r="11" spans="1:11" x14ac:dyDescent="0.25">
      <c r="A11" s="26" t="s">
        <v>15</v>
      </c>
      <c r="B11" s="27">
        <f>+'Multi-Family Year 2013'!C14</f>
        <v>1349</v>
      </c>
      <c r="C11" s="28"/>
      <c r="D11" s="28">
        <f>+'Multi-Family Year 2013'!G14</f>
        <v>246.29999999999998</v>
      </c>
      <c r="E11" s="28"/>
      <c r="F11" s="21">
        <f t="shared" si="0"/>
        <v>0.18</v>
      </c>
      <c r="G11" s="30"/>
      <c r="H11" s="21"/>
      <c r="I11" s="28">
        <f t="shared" si="1"/>
        <v>1349</v>
      </c>
      <c r="J11" s="31"/>
      <c r="K11" s="32">
        <v>2012</v>
      </c>
    </row>
    <row r="12" spans="1:11" x14ac:dyDescent="0.25">
      <c r="A12" s="26" t="s">
        <v>16</v>
      </c>
      <c r="B12" s="27">
        <f>+'Multi-Family Year 2013'!C15</f>
        <v>1349</v>
      </c>
      <c r="C12" s="28"/>
      <c r="D12" s="28">
        <f>+'Multi-Family Year 2013'!G15</f>
        <v>140.625</v>
      </c>
      <c r="E12" s="28"/>
      <c r="F12" s="21">
        <f t="shared" si="0"/>
        <v>0.1</v>
      </c>
      <c r="G12" s="30"/>
      <c r="H12" s="21"/>
      <c r="I12" s="28">
        <f t="shared" si="1"/>
        <v>1349</v>
      </c>
      <c r="J12" s="31"/>
      <c r="K12" s="32">
        <v>2012</v>
      </c>
    </row>
    <row r="13" spans="1:11" x14ac:dyDescent="0.25">
      <c r="A13" s="26" t="s">
        <v>17</v>
      </c>
      <c r="B13" s="27">
        <f>+'Multi-Family Year 2013'!C16</f>
        <v>1349</v>
      </c>
      <c r="C13" s="28"/>
      <c r="D13" s="28">
        <f>+'Multi-Family Year 2013'!G16</f>
        <v>164.88</v>
      </c>
      <c r="E13" s="28"/>
      <c r="F13" s="21">
        <f t="shared" si="0"/>
        <v>0.12</v>
      </c>
      <c r="G13" s="30"/>
      <c r="H13" s="21"/>
      <c r="I13" s="28">
        <f t="shared" si="1"/>
        <v>1349</v>
      </c>
      <c r="J13" s="31"/>
      <c r="K13" s="32">
        <v>2012</v>
      </c>
    </row>
    <row r="14" spans="1:11" x14ac:dyDescent="0.25">
      <c r="A14" s="26" t="s">
        <v>18</v>
      </c>
      <c r="B14" s="27">
        <f>+'Multi-Family Year 2013'!C17</f>
        <v>1349</v>
      </c>
      <c r="C14" s="28"/>
      <c r="D14" s="28">
        <f>+'Multi-Family Year 2013'!G17</f>
        <v>79.150000000000006</v>
      </c>
      <c r="E14" s="28"/>
      <c r="F14" s="21">
        <f t="shared" si="0"/>
        <v>0.06</v>
      </c>
      <c r="G14" s="30"/>
      <c r="H14" s="21"/>
      <c r="I14" s="28">
        <f t="shared" si="1"/>
        <v>1349</v>
      </c>
      <c r="J14" s="31"/>
      <c r="K14" s="32">
        <v>2012</v>
      </c>
    </row>
    <row r="15" spans="1:11" x14ac:dyDescent="0.25">
      <c r="A15" s="26" t="s">
        <v>20</v>
      </c>
      <c r="B15" s="27">
        <f>+'Multi-Family Year 2013'!C18</f>
        <v>1349</v>
      </c>
      <c r="C15" s="28"/>
      <c r="D15" s="28">
        <f>+'Multi-Family Year 2013'!G18</f>
        <v>0</v>
      </c>
      <c r="E15" s="28"/>
      <c r="F15" s="21">
        <f t="shared" si="0"/>
        <v>0</v>
      </c>
      <c r="G15" s="30"/>
      <c r="H15" s="21"/>
      <c r="I15" s="28">
        <f t="shared" si="1"/>
        <v>1349</v>
      </c>
      <c r="J15" s="31"/>
      <c r="K15" s="32">
        <v>2012</v>
      </c>
    </row>
    <row r="16" spans="1:11" x14ac:dyDescent="0.25">
      <c r="A16" s="26" t="s">
        <v>34</v>
      </c>
      <c r="B16" s="27">
        <f>+'Multi-Family Year 2013'!C19</f>
        <v>1349</v>
      </c>
      <c r="C16" s="28"/>
      <c r="D16" s="28">
        <f>+'Multi-Family Year 2013'!G19</f>
        <v>0</v>
      </c>
      <c r="E16" s="28"/>
      <c r="F16" s="21">
        <f t="shared" si="0"/>
        <v>0</v>
      </c>
      <c r="G16" s="30"/>
      <c r="H16" s="21"/>
      <c r="I16" s="28">
        <f t="shared" si="1"/>
        <v>1349</v>
      </c>
      <c r="J16" s="31"/>
      <c r="K16" s="32">
        <v>2012</v>
      </c>
    </row>
    <row r="17" spans="1:11" x14ac:dyDescent="0.25">
      <c r="A17" s="26" t="s">
        <v>9</v>
      </c>
      <c r="B17" s="27">
        <f>+'Multi-Family Year 2013'!C20</f>
        <v>1349</v>
      </c>
      <c r="C17" s="28"/>
      <c r="D17" s="28">
        <f>+'Multi-Family Year 2013'!G20</f>
        <v>0</v>
      </c>
      <c r="E17" s="28"/>
      <c r="F17" s="21">
        <f t="shared" si="0"/>
        <v>0</v>
      </c>
      <c r="G17" s="30"/>
      <c r="H17" s="21"/>
      <c r="I17" s="28">
        <f t="shared" si="1"/>
        <v>1349</v>
      </c>
      <c r="J17" s="31"/>
      <c r="K17" s="32">
        <v>2012</v>
      </c>
    </row>
    <row r="18" spans="1:11" x14ac:dyDescent="0.25">
      <c r="A18" s="26" t="s">
        <v>10</v>
      </c>
      <c r="B18" s="27">
        <f>+'Multi-Family Year 2013'!C21</f>
        <v>1349</v>
      </c>
      <c r="C18" s="28"/>
      <c r="D18" s="28">
        <f>+'Multi-Family Year 2013'!G21</f>
        <v>0</v>
      </c>
      <c r="E18" s="28"/>
      <c r="F18" s="21">
        <f t="shared" si="0"/>
        <v>0</v>
      </c>
      <c r="G18" s="30"/>
      <c r="H18" s="21"/>
      <c r="I18" s="28">
        <f t="shared" si="1"/>
        <v>1349</v>
      </c>
      <c r="J18" s="31"/>
      <c r="K18" s="32">
        <v>2012</v>
      </c>
    </row>
    <row r="19" spans="1:11" x14ac:dyDescent="0.25">
      <c r="A19" s="26" t="s">
        <v>11</v>
      </c>
      <c r="B19" s="27">
        <f>+'Multi-Family Year 2013'!C22</f>
        <v>1349</v>
      </c>
      <c r="C19" s="28"/>
      <c r="D19" s="28">
        <f>+'Multi-Family Year 2013'!G22</f>
        <v>0</v>
      </c>
      <c r="E19" s="28"/>
      <c r="F19" s="21">
        <f t="shared" si="0"/>
        <v>0</v>
      </c>
      <c r="G19" s="30"/>
      <c r="H19" s="21"/>
      <c r="I19" s="28">
        <f t="shared" si="1"/>
        <v>1349</v>
      </c>
      <c r="J19" s="31"/>
      <c r="K19" s="32">
        <v>2012</v>
      </c>
    </row>
    <row r="20" spans="1:11" x14ac:dyDescent="0.25">
      <c r="A20" s="26" t="s">
        <v>51</v>
      </c>
      <c r="B20" s="34">
        <f>SUM(B8:B19)</f>
        <v>16188</v>
      </c>
      <c r="C20" s="35" t="s">
        <v>30</v>
      </c>
      <c r="D20" s="34">
        <f>SUM(D8:D19)</f>
        <v>1570.7950000000001</v>
      </c>
      <c r="E20" s="28"/>
      <c r="F20" s="21"/>
      <c r="G20" s="28"/>
      <c r="H20" s="28"/>
      <c r="I20" s="28"/>
      <c r="J20" s="31"/>
      <c r="K20" s="32"/>
    </row>
    <row r="21" spans="1:11" x14ac:dyDescent="0.25">
      <c r="A21" s="11"/>
      <c r="B21" s="11"/>
      <c r="C21" s="11"/>
      <c r="D21" s="36"/>
      <c r="E21" s="11"/>
      <c r="F21" s="11"/>
      <c r="G21" s="11"/>
      <c r="H21" s="11"/>
      <c r="I21" s="11"/>
      <c r="J21" s="12"/>
      <c r="K21" s="13"/>
    </row>
    <row r="22" spans="1:11" ht="15.75" thickBot="1" x14ac:dyDescent="0.3">
      <c r="A22" s="26" t="s">
        <v>41</v>
      </c>
      <c r="B22" s="37">
        <f>+B20</f>
        <v>16188</v>
      </c>
      <c r="C22" s="35"/>
      <c r="D22" s="37">
        <f>+D20</f>
        <v>1570.7950000000001</v>
      </c>
      <c r="E22" s="35" t="s">
        <v>31</v>
      </c>
      <c r="F22" s="38">
        <f>ROUND(D22/B22,3)</f>
        <v>9.7000000000000003E-2</v>
      </c>
      <c r="G22" s="35" t="s">
        <v>22</v>
      </c>
      <c r="H22" s="28"/>
      <c r="I22" s="37">
        <f>SUM(I6:I19)</f>
        <v>16188</v>
      </c>
      <c r="J22" s="35" t="s">
        <v>23</v>
      </c>
      <c r="K22" s="39"/>
    </row>
    <row r="23" spans="1:11" ht="15.75" thickTop="1" x14ac:dyDescent="0.25">
      <c r="A23" s="21"/>
      <c r="B23" s="28"/>
      <c r="C23" s="28"/>
      <c r="D23" s="28"/>
      <c r="E23" s="28"/>
      <c r="F23" s="28"/>
      <c r="G23" s="28"/>
      <c r="H23" s="28"/>
      <c r="I23" s="28"/>
      <c r="J23" s="31"/>
      <c r="K23" s="40"/>
    </row>
    <row r="24" spans="1:11" x14ac:dyDescent="0.25">
      <c r="A24" s="21"/>
      <c r="B24" s="28"/>
      <c r="C24" s="28"/>
      <c r="D24" s="28"/>
      <c r="E24" s="28"/>
      <c r="F24" s="28"/>
      <c r="G24" s="28"/>
      <c r="H24" s="28"/>
      <c r="I24" s="28"/>
      <c r="J24" s="31"/>
      <c r="K24" s="40"/>
    </row>
    <row r="25" spans="1:11" ht="15.75" thickBot="1" x14ac:dyDescent="0.3">
      <c r="A25" s="272" t="s">
        <v>24</v>
      </c>
      <c r="B25" s="272"/>
      <c r="C25" s="272"/>
      <c r="D25" s="272"/>
      <c r="E25" s="272"/>
      <c r="F25" s="272"/>
      <c r="G25" s="272"/>
      <c r="H25" s="272"/>
      <c r="I25" s="272"/>
      <c r="J25" s="41"/>
      <c r="K25" s="40"/>
    </row>
    <row r="26" spans="1:11" x14ac:dyDescent="0.25">
      <c r="A26" s="42"/>
      <c r="B26" s="43"/>
      <c r="C26" s="28"/>
      <c r="D26" s="28"/>
      <c r="E26" s="28"/>
      <c r="F26" s="28"/>
      <c r="G26" s="28"/>
      <c r="H26" s="28"/>
      <c r="I26" s="28"/>
      <c r="J26" s="31"/>
      <c r="K26" s="40"/>
    </row>
    <row r="27" spans="1:11" x14ac:dyDescent="0.25">
      <c r="A27" s="19"/>
      <c r="B27" s="43"/>
      <c r="C27" s="28"/>
      <c r="D27" s="271" t="s">
        <v>25</v>
      </c>
      <c r="E27" s="271"/>
      <c r="F27" s="271"/>
      <c r="G27" s="271"/>
      <c r="H27" s="271"/>
      <c r="I27" s="28">
        <f>ROUND(D22,0)</f>
        <v>1571</v>
      </c>
      <c r="J27" s="35" t="s">
        <v>31</v>
      </c>
      <c r="K27" s="39"/>
    </row>
    <row r="28" spans="1:11" x14ac:dyDescent="0.25">
      <c r="A28" s="45"/>
      <c r="B28" s="43"/>
      <c r="C28" s="28"/>
      <c r="D28" s="28"/>
      <c r="E28" s="28"/>
      <c r="F28" s="28"/>
      <c r="G28" s="28"/>
      <c r="H28" s="35"/>
      <c r="I28" s="28"/>
      <c r="J28" s="31"/>
      <c r="K28" s="40"/>
    </row>
    <row r="29" spans="1:11" x14ac:dyDescent="0.25">
      <c r="A29" s="21"/>
      <c r="B29" s="28"/>
      <c r="C29" s="28"/>
      <c r="D29" s="28"/>
      <c r="E29" s="28"/>
      <c r="F29" s="46"/>
      <c r="G29" s="35"/>
      <c r="H29" s="28"/>
      <c r="I29" s="28"/>
      <c r="J29" s="31"/>
      <c r="K29" s="40"/>
    </row>
    <row r="30" spans="1:11" x14ac:dyDescent="0.25">
      <c r="A30" s="21"/>
      <c r="B30" s="270" t="s">
        <v>38</v>
      </c>
      <c r="C30" s="270"/>
      <c r="D30" s="270"/>
      <c r="E30" s="270"/>
      <c r="F30" s="55">
        <v>3.407</v>
      </c>
      <c r="G30" s="28"/>
      <c r="H30" s="28"/>
      <c r="I30" s="28"/>
      <c r="J30" s="31"/>
      <c r="K30" s="40"/>
    </row>
    <row r="31" spans="1:11" x14ac:dyDescent="0.25">
      <c r="A31" s="21"/>
      <c r="B31" s="271" t="s">
        <v>50</v>
      </c>
      <c r="C31" s="271"/>
      <c r="D31" s="271"/>
      <c r="E31" s="271"/>
      <c r="F31" s="28">
        <f>+B20</f>
        <v>16188</v>
      </c>
      <c r="G31" s="35" t="s">
        <v>30</v>
      </c>
      <c r="H31" s="28"/>
      <c r="I31" s="28"/>
      <c r="J31" s="31"/>
      <c r="K31" s="40"/>
    </row>
    <row r="32" spans="1:11" x14ac:dyDescent="0.25">
      <c r="A32" s="21"/>
      <c r="B32" s="28"/>
      <c r="C32" s="271" t="s">
        <v>26</v>
      </c>
      <c r="D32" s="271"/>
      <c r="E32" s="271"/>
      <c r="F32" s="34">
        <f>-'Tarriff Revenue Billed'!K21</f>
        <v>20222.859000000004</v>
      </c>
      <c r="G32" s="35"/>
      <c r="H32" s="28"/>
      <c r="I32" s="28"/>
      <c r="J32" s="31"/>
      <c r="K32" s="40"/>
    </row>
    <row r="33" spans="1:13" x14ac:dyDescent="0.25">
      <c r="A33" s="21"/>
      <c r="B33" s="28"/>
      <c r="C33" s="28"/>
      <c r="D33" s="28"/>
      <c r="E33" s="28"/>
      <c r="F33" s="28"/>
      <c r="G33" s="35"/>
      <c r="H33" s="28"/>
      <c r="I33" s="28"/>
      <c r="J33" s="31"/>
      <c r="K33" s="40"/>
    </row>
    <row r="34" spans="1:13" ht="15.75" thickBot="1" x14ac:dyDescent="0.3">
      <c r="A34" s="21"/>
      <c r="B34" s="28"/>
      <c r="C34" s="271" t="s">
        <v>27</v>
      </c>
      <c r="D34" s="271"/>
      <c r="E34" s="271"/>
      <c r="F34" s="37">
        <f>+F32</f>
        <v>20222.859000000004</v>
      </c>
      <c r="G34" s="21"/>
      <c r="H34" s="28"/>
      <c r="I34" s="28">
        <f>+F34</f>
        <v>20222.859000000004</v>
      </c>
      <c r="J34" s="31"/>
      <c r="K34" s="40"/>
    </row>
    <row r="35" spans="1:13" ht="15.75" thickTop="1" x14ac:dyDescent="0.25">
      <c r="A35" s="21"/>
      <c r="B35" s="28"/>
      <c r="C35" s="28"/>
      <c r="D35" s="28"/>
      <c r="E35" s="28"/>
      <c r="F35" s="28"/>
      <c r="G35" s="28"/>
      <c r="H35" s="28"/>
      <c r="I35" s="28"/>
      <c r="J35" s="31"/>
      <c r="K35" s="40"/>
    </row>
    <row r="36" spans="1:13" x14ac:dyDescent="0.25">
      <c r="A36" s="21"/>
      <c r="B36" s="28"/>
      <c r="C36" s="28"/>
      <c r="D36" s="28"/>
      <c r="E36" s="28"/>
      <c r="F36" s="28"/>
      <c r="G36" s="28"/>
      <c r="H36" s="28"/>
      <c r="I36" s="28"/>
      <c r="J36" s="31"/>
      <c r="K36" s="40"/>
    </row>
    <row r="37" spans="1:13" ht="15.75" thickBot="1" x14ac:dyDescent="0.3">
      <c r="A37" s="21"/>
      <c r="B37" s="28"/>
      <c r="C37" s="28"/>
      <c r="D37" s="28"/>
      <c r="E37" s="28"/>
      <c r="F37" s="271" t="s">
        <v>28</v>
      </c>
      <c r="G37" s="271"/>
      <c r="H37" s="271"/>
      <c r="I37" s="47">
        <f>+I27-I34</f>
        <v>-18651.859000000004</v>
      </c>
      <c r="J37" s="31" t="s">
        <v>29</v>
      </c>
      <c r="K37" s="39"/>
      <c r="M37" s="57"/>
    </row>
    <row r="38" spans="1:13" ht="15.75" thickTop="1" x14ac:dyDescent="0.25">
      <c r="A38" s="21"/>
      <c r="B38" s="28"/>
      <c r="C38" s="28"/>
      <c r="D38" s="28"/>
      <c r="E38" s="28"/>
      <c r="F38" s="28"/>
      <c r="G38" s="28"/>
      <c r="H38" s="28"/>
      <c r="I38" s="28"/>
      <c r="J38" s="31"/>
      <c r="K38" s="40"/>
    </row>
    <row r="39" spans="1:13" ht="15.75" thickBot="1" x14ac:dyDescent="0.3">
      <c r="A39" s="272" t="s">
        <v>49</v>
      </c>
      <c r="B39" s="272"/>
      <c r="C39" s="272"/>
      <c r="D39" s="272"/>
      <c r="E39" s="272"/>
      <c r="F39" s="272"/>
      <c r="G39" s="272"/>
      <c r="H39" s="272"/>
      <c r="I39" s="272"/>
      <c r="J39" s="41"/>
      <c r="K39" s="40"/>
    </row>
    <row r="40" spans="1:13" x14ac:dyDescent="0.25">
      <c r="A40" s="21"/>
      <c r="B40" s="43"/>
      <c r="C40" s="28"/>
      <c r="D40" s="28"/>
      <c r="E40" s="28"/>
      <c r="F40" s="28"/>
      <c r="G40" s="28"/>
      <c r="H40" s="28"/>
      <c r="I40" s="28"/>
      <c r="J40" s="31"/>
      <c r="K40" s="40"/>
    </row>
    <row r="41" spans="1:13" x14ac:dyDescent="0.25">
      <c r="A41" s="21"/>
      <c r="B41" s="270" t="s">
        <v>32</v>
      </c>
      <c r="C41" s="270"/>
      <c r="D41" s="270"/>
      <c r="E41" s="28"/>
      <c r="F41" s="28"/>
      <c r="G41" s="28"/>
      <c r="H41" s="28"/>
      <c r="I41" s="28"/>
      <c r="J41" s="31"/>
      <c r="K41" s="40"/>
    </row>
    <row r="42" spans="1:13" x14ac:dyDescent="0.25">
      <c r="A42" s="21"/>
      <c r="B42" s="28"/>
      <c r="C42" s="28"/>
      <c r="D42" s="271" t="s">
        <v>39</v>
      </c>
      <c r="E42" s="271"/>
      <c r="F42" s="271"/>
      <c r="G42" s="28">
        <f>+I22</f>
        <v>16188</v>
      </c>
      <c r="H42" s="35" t="s">
        <v>23</v>
      </c>
      <c r="I42" s="28"/>
      <c r="J42" s="31"/>
      <c r="K42" s="40"/>
    </row>
    <row r="43" spans="1:13" x14ac:dyDescent="0.25">
      <c r="A43" s="21"/>
      <c r="B43" s="28"/>
      <c r="C43" s="28"/>
      <c r="D43" s="271" t="s">
        <v>28</v>
      </c>
      <c r="E43" s="271"/>
      <c r="F43" s="271"/>
      <c r="G43" s="28">
        <f>+I37</f>
        <v>-18651.859000000004</v>
      </c>
      <c r="H43" s="28" t="s">
        <v>29</v>
      </c>
      <c r="I43" s="28"/>
      <c r="J43" s="31"/>
      <c r="K43" s="40"/>
    </row>
    <row r="44" spans="1:13" ht="15.75" thickBot="1" x14ac:dyDescent="0.3">
      <c r="A44" s="21"/>
      <c r="B44" s="28"/>
      <c r="C44" s="28"/>
      <c r="D44" s="28"/>
      <c r="E44" s="271" t="s">
        <v>33</v>
      </c>
      <c r="F44" s="271"/>
      <c r="G44" s="38">
        <f>ROUND(G43/G42,3)</f>
        <v>-1.1519999999999999</v>
      </c>
      <c r="H44" s="28"/>
      <c r="I44" s="30">
        <f>+G44</f>
        <v>-1.1519999999999999</v>
      </c>
      <c r="J44" s="48"/>
      <c r="K44" s="40"/>
    </row>
    <row r="45" spans="1:13" ht="15.75" thickTop="1" x14ac:dyDescent="0.25">
      <c r="A45" s="21"/>
      <c r="B45" s="28"/>
      <c r="C45" s="28"/>
      <c r="D45" s="28"/>
      <c r="E45" s="28"/>
      <c r="F45" s="44"/>
      <c r="G45" s="28"/>
      <c r="H45" s="28"/>
      <c r="I45" s="30"/>
      <c r="J45" s="48"/>
      <c r="K45" s="40"/>
    </row>
    <row r="46" spans="1:13" x14ac:dyDescent="0.25">
      <c r="A46" s="21"/>
      <c r="B46" s="274" t="s">
        <v>48</v>
      </c>
      <c r="C46" s="274"/>
      <c r="D46" s="274"/>
      <c r="E46" s="274"/>
      <c r="F46" s="44"/>
      <c r="G46" s="28"/>
      <c r="H46" s="28"/>
      <c r="I46" s="30"/>
      <c r="J46" s="48"/>
      <c r="K46" s="40"/>
    </row>
    <row r="47" spans="1:13" ht="15.75" thickBot="1" x14ac:dyDescent="0.3">
      <c r="A47" s="21"/>
      <c r="B47" s="271" t="s">
        <v>45</v>
      </c>
      <c r="C47" s="271"/>
      <c r="D47" s="271"/>
      <c r="E47" s="271"/>
      <c r="F47" s="271"/>
      <c r="G47" s="52">
        <f>+F22</f>
        <v>9.7000000000000003E-2</v>
      </c>
      <c r="H47" s="53"/>
      <c r="I47" s="54">
        <f>+G47</f>
        <v>9.7000000000000003E-2</v>
      </c>
      <c r="J47" s="35" t="s">
        <v>22</v>
      </c>
      <c r="K47" s="39"/>
    </row>
    <row r="48" spans="1:13" ht="15.75" thickTop="1" x14ac:dyDescent="0.25">
      <c r="A48" s="28"/>
      <c r="B48" s="43"/>
      <c r="C48" s="28"/>
      <c r="D48" s="28"/>
      <c r="E48" s="28"/>
      <c r="F48" s="28"/>
      <c r="G48" s="28"/>
      <c r="H48" s="28"/>
      <c r="I48" s="30"/>
      <c r="J48" s="48"/>
      <c r="K48" s="40"/>
    </row>
    <row r="49" spans="1:11" ht="15.75" thickBot="1" x14ac:dyDescent="0.3">
      <c r="A49" s="21"/>
      <c r="B49" s="28"/>
      <c r="C49" s="28"/>
      <c r="D49" s="28"/>
      <c r="E49" s="271" t="s">
        <v>78</v>
      </c>
      <c r="F49" s="271"/>
      <c r="G49" s="271"/>
      <c r="H49" s="37"/>
      <c r="I49" s="110">
        <f>-I44-I47</f>
        <v>1.0549999999999999</v>
      </c>
      <c r="J49" s="50"/>
      <c r="K49" s="40"/>
    </row>
    <row r="50" spans="1:11" ht="15.75" thickTop="1" x14ac:dyDescent="0.25">
      <c r="A50" s="21"/>
      <c r="B50" s="21"/>
      <c r="C50" s="21"/>
      <c r="D50" s="21"/>
      <c r="E50" s="21"/>
      <c r="F50" s="21"/>
      <c r="G50" s="21"/>
      <c r="H50" s="21"/>
      <c r="I50" s="30"/>
      <c r="J50" s="48"/>
      <c r="K50" s="39"/>
    </row>
    <row r="51" spans="1:11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51"/>
      <c r="K51" s="39"/>
    </row>
    <row r="52" spans="1:11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51"/>
      <c r="K52" s="39"/>
    </row>
  </sheetData>
  <mergeCells count="20">
    <mergeCell ref="A25:I25"/>
    <mergeCell ref="A1:E1"/>
    <mergeCell ref="F1:I1"/>
    <mergeCell ref="A2:D2"/>
    <mergeCell ref="A3:D3"/>
    <mergeCell ref="A4:D4"/>
    <mergeCell ref="F37:H37"/>
    <mergeCell ref="D27:H27"/>
    <mergeCell ref="B30:E30"/>
    <mergeCell ref="B31:E31"/>
    <mergeCell ref="C32:E32"/>
    <mergeCell ref="C34:E34"/>
    <mergeCell ref="B47:F47"/>
    <mergeCell ref="E49:G49"/>
    <mergeCell ref="A39:I39"/>
    <mergeCell ref="B41:D41"/>
    <mergeCell ref="D42:F42"/>
    <mergeCell ref="D43:F43"/>
    <mergeCell ref="E44:F44"/>
    <mergeCell ref="B46:E46"/>
  </mergeCells>
  <phoneticPr fontId="9" type="noConversion"/>
  <pageMargins left="0.45" right="0.45" top="0.75" bottom="0.75" header="0.3" footer="0.3"/>
  <pageSetup scale="91" orientation="portrait" r:id="rId1"/>
  <headerFooter>
    <oddFooter xml:space="preserve">&amp;CPage &amp;P&amp;R&amp;A 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0"/>
  <sheetViews>
    <sheetView topLeftCell="A31" zoomScaleNormal="100" workbookViewId="0">
      <selection activeCell="I47" sqref="I47"/>
    </sheetView>
  </sheetViews>
  <sheetFormatPr defaultRowHeight="15" x14ac:dyDescent="0.25"/>
  <cols>
    <col min="2" max="2" width="10.85546875" customWidth="1"/>
    <col min="3" max="3" width="5.140625" customWidth="1"/>
    <col min="4" max="4" width="14.5703125" customWidth="1"/>
    <col min="5" max="5" width="5.140625" customWidth="1"/>
    <col min="6" max="6" width="17.85546875" customWidth="1"/>
    <col min="9" max="9" width="15" customWidth="1"/>
    <col min="10" max="10" width="3.7109375" customWidth="1"/>
    <col min="11" max="11" width="4.42578125" customWidth="1"/>
  </cols>
  <sheetData>
    <row r="1" spans="1:12" x14ac:dyDescent="0.25">
      <c r="A1" s="266" t="s">
        <v>44</v>
      </c>
      <c r="B1" s="266"/>
      <c r="C1" s="266"/>
      <c r="D1" s="266"/>
      <c r="E1" s="266"/>
      <c r="F1" s="267"/>
      <c r="G1" s="267"/>
      <c r="H1" s="267"/>
      <c r="I1" s="267"/>
      <c r="J1" s="14"/>
      <c r="K1" s="15"/>
      <c r="L1" s="16"/>
    </row>
    <row r="2" spans="1:12" x14ac:dyDescent="0.25">
      <c r="A2" s="268" t="s">
        <v>46</v>
      </c>
      <c r="B2" s="268"/>
      <c r="C2" s="268"/>
      <c r="D2" s="268"/>
      <c r="E2" s="16"/>
      <c r="F2" s="17"/>
      <c r="G2" s="17"/>
      <c r="H2" s="16"/>
      <c r="I2" s="16"/>
      <c r="J2" s="18"/>
      <c r="K2" s="15"/>
      <c r="L2" s="16"/>
    </row>
    <row r="3" spans="1:12" x14ac:dyDescent="0.25">
      <c r="A3" s="268" t="s">
        <v>47</v>
      </c>
      <c r="B3" s="268"/>
      <c r="C3" s="268"/>
      <c r="D3" s="268"/>
      <c r="E3" s="16"/>
      <c r="F3" s="15"/>
      <c r="G3" s="15"/>
      <c r="H3" s="16"/>
      <c r="I3" s="16"/>
      <c r="J3" s="18"/>
      <c r="K3" s="15"/>
      <c r="L3" s="16"/>
    </row>
    <row r="4" spans="1:12" x14ac:dyDescent="0.25">
      <c r="A4" s="269" t="s">
        <v>55</v>
      </c>
      <c r="B4" s="269"/>
      <c r="C4" s="269"/>
      <c r="D4" s="269"/>
      <c r="E4" s="16"/>
      <c r="F4" s="15"/>
      <c r="G4" s="15"/>
      <c r="H4" s="16"/>
      <c r="I4" s="16"/>
      <c r="J4" s="18"/>
      <c r="K4" s="15"/>
      <c r="L4" s="16"/>
    </row>
    <row r="5" spans="1:12" ht="35.25" thickBot="1" x14ac:dyDescent="0.3">
      <c r="A5" s="22" t="s">
        <v>21</v>
      </c>
      <c r="B5" s="22" t="s">
        <v>19</v>
      </c>
      <c r="C5" s="22" t="s">
        <v>54</v>
      </c>
      <c r="D5" s="23" t="s">
        <v>37</v>
      </c>
      <c r="E5" s="22"/>
      <c r="F5" s="23" t="s">
        <v>35</v>
      </c>
      <c r="G5" s="22"/>
      <c r="H5" s="22"/>
      <c r="I5" s="23" t="s">
        <v>40</v>
      </c>
      <c r="J5" s="24"/>
      <c r="K5" s="22" t="s">
        <v>36</v>
      </c>
      <c r="L5" s="25"/>
    </row>
    <row r="6" spans="1:12" x14ac:dyDescent="0.25">
      <c r="A6" s="26"/>
      <c r="B6" s="27"/>
      <c r="C6" s="27"/>
      <c r="D6" s="29"/>
      <c r="E6" s="28"/>
      <c r="F6" s="21"/>
      <c r="G6" s="30"/>
      <c r="H6" s="21"/>
      <c r="I6" s="28"/>
      <c r="J6" s="31"/>
      <c r="K6" s="32"/>
      <c r="L6" s="33"/>
    </row>
    <row r="7" spans="1:12" x14ac:dyDescent="0.25">
      <c r="A7" s="26"/>
      <c r="B7" s="27"/>
      <c r="C7" s="27"/>
      <c r="D7" s="29"/>
      <c r="E7" s="28"/>
      <c r="F7" s="21"/>
      <c r="G7" s="30"/>
      <c r="H7" s="21"/>
      <c r="I7" s="28"/>
      <c r="J7" s="31"/>
      <c r="K7" s="32"/>
      <c r="L7" s="33"/>
    </row>
    <row r="8" spans="1:12" x14ac:dyDescent="0.25">
      <c r="A8" s="26" t="s">
        <v>12</v>
      </c>
      <c r="B8" s="27">
        <f>+'[3]BI Curbside 2012'!C11</f>
        <v>5940</v>
      </c>
      <c r="C8" s="27"/>
      <c r="D8" s="28">
        <f>+'[3]BI Curbside 2012'!G11</f>
        <v>4183.8</v>
      </c>
      <c r="E8" s="28"/>
      <c r="F8" s="21">
        <f t="shared" ref="F8:F19" si="0">IF(D8=0, 0, ROUND(D8/B8,2))</f>
        <v>0.7</v>
      </c>
      <c r="G8" s="30"/>
      <c r="H8" s="21"/>
      <c r="I8" s="28">
        <f t="shared" ref="I8:I19" si="1">B8</f>
        <v>5940</v>
      </c>
      <c r="J8" s="31"/>
      <c r="K8" s="32">
        <v>2012</v>
      </c>
      <c r="L8" s="33"/>
    </row>
    <row r="9" spans="1:12" x14ac:dyDescent="0.25">
      <c r="A9" s="26" t="s">
        <v>13</v>
      </c>
      <c r="B9" s="27">
        <f>+'[3]BI Curbside 2012'!C12</f>
        <v>5955</v>
      </c>
      <c r="C9" s="27"/>
      <c r="D9" s="28">
        <f>+'[3]BI Curbside 2012'!G12</f>
        <v>4857.6000000000004</v>
      </c>
      <c r="E9" s="28"/>
      <c r="F9" s="21">
        <f t="shared" si="0"/>
        <v>0.82</v>
      </c>
      <c r="G9" s="30"/>
      <c r="H9" s="21"/>
      <c r="I9" s="28">
        <f t="shared" si="1"/>
        <v>5955</v>
      </c>
      <c r="J9" s="31"/>
      <c r="K9" s="32">
        <v>2012</v>
      </c>
      <c r="L9" s="33"/>
    </row>
    <row r="10" spans="1:12" x14ac:dyDescent="0.25">
      <c r="A10" s="26" t="s">
        <v>14</v>
      </c>
      <c r="B10" s="27">
        <f>+'[3]BI Curbside 2012'!C13</f>
        <v>5949</v>
      </c>
      <c r="C10" s="27"/>
      <c r="D10" s="28">
        <f>+'[3]BI Curbside 2012'!G13</f>
        <v>5515</v>
      </c>
      <c r="E10" s="28"/>
      <c r="F10" s="21">
        <f t="shared" si="0"/>
        <v>0.93</v>
      </c>
      <c r="G10" s="30"/>
      <c r="H10" s="21"/>
      <c r="I10" s="28">
        <f t="shared" si="1"/>
        <v>5949</v>
      </c>
      <c r="J10" s="31"/>
      <c r="K10" s="32">
        <v>2012</v>
      </c>
      <c r="L10" s="33"/>
    </row>
    <row r="11" spans="1:12" x14ac:dyDescent="0.25">
      <c r="A11" s="26" t="s">
        <v>15</v>
      </c>
      <c r="B11" s="27">
        <f>+'[3]BI Curbside 2012'!C14</f>
        <v>5964</v>
      </c>
      <c r="C11" s="27"/>
      <c r="D11" s="28">
        <f>+'[3]BI Curbside 2012'!G14</f>
        <v>5198.2</v>
      </c>
      <c r="E11" s="28"/>
      <c r="F11" s="21">
        <f t="shared" si="0"/>
        <v>0.87</v>
      </c>
      <c r="G11" s="30"/>
      <c r="H11" s="21"/>
      <c r="I11" s="28">
        <f t="shared" si="1"/>
        <v>5964</v>
      </c>
      <c r="J11" s="31"/>
      <c r="K11" s="32">
        <v>2012</v>
      </c>
      <c r="L11" s="33"/>
    </row>
    <row r="12" spans="1:12" x14ac:dyDescent="0.25">
      <c r="A12" s="26" t="s">
        <v>16</v>
      </c>
      <c r="B12" s="27">
        <f>+'[3]BI Curbside 2012'!C15</f>
        <v>5970</v>
      </c>
      <c r="C12" s="27"/>
      <c r="D12" s="28">
        <f>+'[3]BI Curbside 2012'!G15</f>
        <v>5202.9000000000005</v>
      </c>
      <c r="E12" s="28"/>
      <c r="F12" s="21">
        <f t="shared" si="0"/>
        <v>0.87</v>
      </c>
      <c r="G12" s="30"/>
      <c r="H12" s="21"/>
      <c r="I12" s="28">
        <f t="shared" si="1"/>
        <v>5970</v>
      </c>
      <c r="J12" s="31"/>
      <c r="K12" s="32">
        <v>2012</v>
      </c>
      <c r="L12" s="33"/>
    </row>
    <row r="13" spans="1:12" x14ac:dyDescent="0.25">
      <c r="A13" s="26" t="s">
        <v>17</v>
      </c>
      <c r="B13" s="27">
        <f>+'[3]BI Curbside 2012'!C16</f>
        <v>5962</v>
      </c>
      <c r="C13" s="27"/>
      <c r="D13" s="28">
        <f>+'[3]BI Curbside 2012'!G16</f>
        <v>4972.5</v>
      </c>
      <c r="E13" s="28"/>
      <c r="F13" s="21">
        <f t="shared" si="0"/>
        <v>0.83</v>
      </c>
      <c r="G13" s="30"/>
      <c r="H13" s="21"/>
      <c r="I13" s="28">
        <f t="shared" si="1"/>
        <v>5962</v>
      </c>
      <c r="J13" s="31"/>
      <c r="K13" s="32">
        <v>2012</v>
      </c>
      <c r="L13" s="33"/>
    </row>
    <row r="14" spans="1:12" x14ac:dyDescent="0.25">
      <c r="A14" s="26" t="s">
        <v>18</v>
      </c>
      <c r="B14" s="27">
        <f>+'[3]BI Curbside 2012'!C17</f>
        <v>5958</v>
      </c>
      <c r="C14" s="27"/>
      <c r="D14" s="28">
        <f>+'[3]BI Curbside 2012'!G17</f>
        <v>4420</v>
      </c>
      <c r="E14" s="28"/>
      <c r="F14" s="21">
        <f t="shared" si="0"/>
        <v>0.74</v>
      </c>
      <c r="G14" s="30"/>
      <c r="H14" s="21"/>
      <c r="I14" s="28">
        <f t="shared" si="1"/>
        <v>5958</v>
      </c>
      <c r="J14" s="31"/>
      <c r="K14" s="32">
        <v>2012</v>
      </c>
      <c r="L14" s="33"/>
    </row>
    <row r="15" spans="1:12" x14ac:dyDescent="0.25">
      <c r="A15" s="26" t="s">
        <v>20</v>
      </c>
      <c r="B15" s="27">
        <f>+'[3]BI Curbside 2012'!C18</f>
        <v>5980</v>
      </c>
      <c r="C15" s="27"/>
      <c r="D15" s="28">
        <f>+'[3]BI Curbside 2012'!G18</f>
        <v>3327</v>
      </c>
      <c r="E15" s="28"/>
      <c r="F15" s="21">
        <f t="shared" si="0"/>
        <v>0.56000000000000005</v>
      </c>
      <c r="G15" s="30"/>
      <c r="H15" s="21"/>
      <c r="I15" s="28">
        <f t="shared" si="1"/>
        <v>5980</v>
      </c>
      <c r="J15" s="31"/>
      <c r="K15" s="32">
        <v>2012</v>
      </c>
      <c r="L15" s="33"/>
    </row>
    <row r="16" spans="1:12" x14ac:dyDescent="0.25">
      <c r="A16" s="26" t="s">
        <v>34</v>
      </c>
      <c r="B16" s="27">
        <f>+'[3]BI Curbside 2012'!C19</f>
        <v>5982</v>
      </c>
      <c r="C16" s="27"/>
      <c r="D16" s="28">
        <f>+'[3]BI Curbside 2012'!G19</f>
        <v>1109</v>
      </c>
      <c r="E16" s="28"/>
      <c r="F16" s="21">
        <f t="shared" si="0"/>
        <v>0.19</v>
      </c>
      <c r="G16" s="30"/>
      <c r="H16" s="21"/>
      <c r="I16" s="28">
        <f t="shared" si="1"/>
        <v>5982</v>
      </c>
      <c r="J16" s="31"/>
      <c r="K16" s="32">
        <v>2012</v>
      </c>
      <c r="L16" s="33"/>
    </row>
    <row r="17" spans="1:12" x14ac:dyDescent="0.25">
      <c r="A17" s="26" t="s">
        <v>9</v>
      </c>
      <c r="B17" s="27">
        <f>+'[3]BI Curbside 2012'!C20</f>
        <v>5977</v>
      </c>
      <c r="C17" s="27"/>
      <c r="D17" s="28">
        <f>+'[3]BI Curbside 2012'!G20</f>
        <v>1385</v>
      </c>
      <c r="E17" s="28"/>
      <c r="F17" s="21">
        <f t="shared" si="0"/>
        <v>0.23</v>
      </c>
      <c r="G17" s="30"/>
      <c r="H17" s="21"/>
      <c r="I17" s="28">
        <f t="shared" si="1"/>
        <v>5977</v>
      </c>
      <c r="J17" s="31"/>
      <c r="K17" s="32">
        <v>2012</v>
      </c>
      <c r="L17" s="33"/>
    </row>
    <row r="18" spans="1:12" x14ac:dyDescent="0.25">
      <c r="A18" s="26" t="s">
        <v>10</v>
      </c>
      <c r="B18" s="27">
        <f>+'[3]BI Curbside 2012'!C21</f>
        <v>5977</v>
      </c>
      <c r="C18" s="27"/>
      <c r="D18" s="28">
        <f>+'[3]BI Curbside 2012'!G21</f>
        <v>1939</v>
      </c>
      <c r="E18" s="28"/>
      <c r="F18" s="21">
        <f t="shared" si="0"/>
        <v>0.32</v>
      </c>
      <c r="G18" s="30"/>
      <c r="H18" s="21"/>
      <c r="I18" s="28">
        <f t="shared" si="1"/>
        <v>5977</v>
      </c>
      <c r="J18" s="31"/>
      <c r="K18" s="32">
        <v>2012</v>
      </c>
      <c r="L18" s="33"/>
    </row>
    <row r="19" spans="1:12" x14ac:dyDescent="0.25">
      <c r="A19" s="26" t="s">
        <v>11</v>
      </c>
      <c r="B19" s="27">
        <f>+'[3]BI Curbside 2012'!C22</f>
        <v>5985</v>
      </c>
      <c r="C19" s="27"/>
      <c r="D19" s="28">
        <f>+'[3]BI Curbside 2012'!G22</f>
        <v>1665</v>
      </c>
      <c r="E19" s="28"/>
      <c r="F19" s="21">
        <f t="shared" si="0"/>
        <v>0.28000000000000003</v>
      </c>
      <c r="G19" s="30"/>
      <c r="H19" s="21"/>
      <c r="I19" s="28">
        <f t="shared" si="1"/>
        <v>5985</v>
      </c>
      <c r="J19" s="31"/>
      <c r="K19" s="32">
        <v>2012</v>
      </c>
      <c r="L19" s="33"/>
    </row>
    <row r="20" spans="1:12" x14ac:dyDescent="0.25">
      <c r="A20" s="26" t="s">
        <v>51</v>
      </c>
      <c r="B20" s="34">
        <f>SUM(B8:B19)</f>
        <v>71599</v>
      </c>
      <c r="C20" s="35" t="s">
        <v>30</v>
      </c>
      <c r="D20" s="34">
        <f>SUM(D8:D19)</f>
        <v>43775</v>
      </c>
      <c r="E20" s="28"/>
      <c r="F20" s="21"/>
      <c r="G20" s="28"/>
      <c r="H20" s="28"/>
      <c r="I20" s="28"/>
      <c r="J20" s="31"/>
      <c r="K20" s="32"/>
      <c r="L20" s="33"/>
    </row>
    <row r="21" spans="1:12" x14ac:dyDescent="0.25">
      <c r="A21" s="11"/>
      <c r="B21" s="11"/>
      <c r="C21" s="11"/>
      <c r="D21" s="36"/>
      <c r="E21" s="11"/>
      <c r="F21" s="11"/>
      <c r="G21" s="11"/>
      <c r="H21" s="11"/>
      <c r="I21" s="11"/>
      <c r="J21" s="12"/>
      <c r="K21" s="13"/>
      <c r="L21" s="11"/>
    </row>
    <row r="22" spans="1:12" ht="15.75" thickBot="1" x14ac:dyDescent="0.3">
      <c r="A22" s="26" t="s">
        <v>41</v>
      </c>
      <c r="B22" s="37">
        <f>+B20</f>
        <v>71599</v>
      </c>
      <c r="C22" s="28"/>
      <c r="D22" s="37">
        <f>+D20</f>
        <v>43775</v>
      </c>
      <c r="E22" s="35" t="s">
        <v>31</v>
      </c>
      <c r="F22" s="38">
        <f>ROUND(D22/B22,3)</f>
        <v>0.61099999999999999</v>
      </c>
      <c r="G22" s="35" t="s">
        <v>22</v>
      </c>
      <c r="H22" s="28"/>
      <c r="I22" s="37">
        <f>SUM(I6:I19)</f>
        <v>71599</v>
      </c>
      <c r="J22" s="35" t="s">
        <v>23</v>
      </c>
      <c r="K22" s="39"/>
      <c r="L22" s="35"/>
    </row>
    <row r="23" spans="1:12" ht="15.75" thickTop="1" x14ac:dyDescent="0.25">
      <c r="A23" s="21"/>
      <c r="B23" s="28"/>
      <c r="C23" s="28"/>
      <c r="D23" s="28"/>
      <c r="E23" s="28"/>
      <c r="F23" s="28"/>
      <c r="G23" s="28"/>
      <c r="H23" s="28"/>
      <c r="I23" s="28"/>
      <c r="J23" s="31"/>
      <c r="K23" s="40"/>
      <c r="L23" s="28"/>
    </row>
    <row r="24" spans="1:12" x14ac:dyDescent="0.25">
      <c r="A24" s="21"/>
      <c r="B24" s="28"/>
      <c r="C24" s="28"/>
      <c r="D24" s="28"/>
      <c r="E24" s="28"/>
      <c r="F24" s="28"/>
      <c r="G24" s="28"/>
      <c r="H24" s="28"/>
      <c r="I24" s="28"/>
      <c r="J24" s="31"/>
      <c r="K24" s="40"/>
      <c r="L24" s="28"/>
    </row>
    <row r="25" spans="1:12" ht="15.75" thickBot="1" x14ac:dyDescent="0.3">
      <c r="A25" s="272" t="s">
        <v>24</v>
      </c>
      <c r="B25" s="272"/>
      <c r="C25" s="272"/>
      <c r="D25" s="272"/>
      <c r="E25" s="272"/>
      <c r="F25" s="272"/>
      <c r="G25" s="272"/>
      <c r="H25" s="272"/>
      <c r="I25" s="272"/>
      <c r="J25" s="41"/>
      <c r="K25" s="40"/>
      <c r="L25" s="28"/>
    </row>
    <row r="26" spans="1:12" x14ac:dyDescent="0.25">
      <c r="A26" s="42"/>
      <c r="B26" s="43"/>
      <c r="C26" s="43"/>
      <c r="D26" s="28"/>
      <c r="E26" s="28"/>
      <c r="F26" s="28"/>
      <c r="G26" s="28"/>
      <c r="H26" s="28"/>
      <c r="I26" s="28"/>
      <c r="J26" s="31"/>
      <c r="K26" s="40"/>
      <c r="L26" s="28"/>
    </row>
    <row r="27" spans="1:12" x14ac:dyDescent="0.25">
      <c r="A27" s="19"/>
      <c r="B27" s="43"/>
      <c r="C27" s="43"/>
      <c r="D27" s="271" t="s">
        <v>25</v>
      </c>
      <c r="E27" s="271"/>
      <c r="F27" s="271"/>
      <c r="G27" s="271"/>
      <c r="H27" s="271"/>
      <c r="I27" s="28">
        <f>ROUND(D22,0)</f>
        <v>43775</v>
      </c>
      <c r="J27" s="35" t="s">
        <v>31</v>
      </c>
      <c r="K27" s="39"/>
      <c r="L27" s="35"/>
    </row>
    <row r="28" spans="1:12" x14ac:dyDescent="0.25">
      <c r="A28" s="45"/>
      <c r="B28" s="43"/>
      <c r="C28" s="43"/>
      <c r="D28" s="28"/>
      <c r="E28" s="28"/>
      <c r="F28" s="28"/>
      <c r="G28" s="28"/>
      <c r="H28" s="35"/>
      <c r="I28" s="28"/>
      <c r="J28" s="31"/>
      <c r="K28" s="40"/>
      <c r="L28" s="28"/>
    </row>
    <row r="29" spans="1:12" x14ac:dyDescent="0.25">
      <c r="A29" s="21"/>
      <c r="B29" s="28"/>
      <c r="C29" s="28"/>
      <c r="D29" s="28"/>
      <c r="E29" s="28"/>
      <c r="F29" s="46"/>
      <c r="G29" s="35"/>
      <c r="H29" s="28"/>
      <c r="I29" s="28"/>
      <c r="J29" s="31"/>
      <c r="K29" s="40"/>
      <c r="L29" s="28"/>
    </row>
    <row r="30" spans="1:12" x14ac:dyDescent="0.25">
      <c r="A30" s="21"/>
      <c r="B30" s="270" t="s">
        <v>38</v>
      </c>
      <c r="C30" s="270"/>
      <c r="D30" s="270"/>
      <c r="E30" s="270"/>
      <c r="F30" s="55">
        <f>+'[3]Credit Calc-Single Family120217'!I47</f>
        <v>0.95499999999999996</v>
      </c>
      <c r="G30" s="28"/>
      <c r="H30" s="28"/>
      <c r="I30" s="28"/>
      <c r="J30" s="31"/>
      <c r="K30" s="40"/>
      <c r="L30" s="28"/>
    </row>
    <row r="31" spans="1:12" x14ac:dyDescent="0.25">
      <c r="A31" s="21"/>
      <c r="B31" s="271" t="s">
        <v>50</v>
      </c>
      <c r="C31" s="271"/>
      <c r="D31" s="271"/>
      <c r="E31" s="271"/>
      <c r="F31" s="28">
        <f>+B20</f>
        <v>71599</v>
      </c>
      <c r="G31" s="35" t="s">
        <v>30</v>
      </c>
      <c r="H31" s="28"/>
      <c r="I31" s="28"/>
      <c r="J31" s="31"/>
      <c r="K31" s="40"/>
      <c r="L31" s="28"/>
    </row>
    <row r="32" spans="1:12" x14ac:dyDescent="0.25">
      <c r="A32" s="21"/>
      <c r="B32" s="28"/>
      <c r="C32" s="28"/>
      <c r="D32" s="271"/>
      <c r="E32" s="271"/>
      <c r="F32" s="34">
        <f>-'[3]Tarriff Revenue Billed'!E21</f>
        <v>66396.361000000004</v>
      </c>
      <c r="G32" s="35"/>
      <c r="H32" s="28"/>
      <c r="I32" s="28"/>
      <c r="J32" s="31"/>
      <c r="K32" s="40"/>
      <c r="L32" s="28"/>
    </row>
    <row r="33" spans="1:12" x14ac:dyDescent="0.25">
      <c r="A33" s="21"/>
      <c r="B33" s="28"/>
      <c r="C33" s="28"/>
      <c r="D33" s="28"/>
      <c r="E33" s="28"/>
      <c r="F33" s="28"/>
      <c r="G33" s="35"/>
      <c r="H33" s="28"/>
      <c r="I33" s="28"/>
      <c r="J33" s="31"/>
      <c r="K33" s="40"/>
      <c r="L33" s="28"/>
    </row>
    <row r="34" spans="1:12" ht="15.75" thickBot="1" x14ac:dyDescent="0.3">
      <c r="A34" s="21"/>
      <c r="B34" s="28"/>
      <c r="C34" s="28"/>
      <c r="D34" s="271"/>
      <c r="E34" s="271"/>
      <c r="F34" s="37">
        <f>+F32</f>
        <v>66396.361000000004</v>
      </c>
      <c r="G34" s="21"/>
      <c r="H34" s="28"/>
      <c r="I34" s="28">
        <f>+F34</f>
        <v>66396.361000000004</v>
      </c>
      <c r="J34" s="31"/>
      <c r="K34" s="40"/>
      <c r="L34" s="28"/>
    </row>
    <row r="35" spans="1:12" ht="15.75" thickTop="1" x14ac:dyDescent="0.25">
      <c r="A35" s="21"/>
      <c r="B35" s="28"/>
      <c r="C35" s="28"/>
      <c r="D35" s="28"/>
      <c r="E35" s="28"/>
      <c r="F35" s="28"/>
      <c r="G35" s="28"/>
      <c r="H35" s="28"/>
      <c r="I35" s="28"/>
      <c r="J35" s="31"/>
      <c r="K35" s="40"/>
      <c r="L35" s="28"/>
    </row>
    <row r="36" spans="1:12" x14ac:dyDescent="0.25">
      <c r="A36" s="21"/>
      <c r="B36" s="28"/>
      <c r="C36" s="28"/>
      <c r="D36" s="28"/>
      <c r="E36" s="28"/>
      <c r="F36" s="28"/>
      <c r="G36" s="28"/>
      <c r="H36" s="28"/>
      <c r="I36" s="28"/>
      <c r="J36" s="31"/>
      <c r="K36" s="40"/>
      <c r="L36" s="28"/>
    </row>
    <row r="37" spans="1:12" ht="15.75" thickBot="1" x14ac:dyDescent="0.3">
      <c r="A37" s="21"/>
      <c r="B37" s="28"/>
      <c r="C37" s="28"/>
      <c r="D37" s="28"/>
      <c r="E37" s="28"/>
      <c r="F37" s="271" t="s">
        <v>28</v>
      </c>
      <c r="G37" s="271"/>
      <c r="H37" s="271"/>
      <c r="I37" s="47">
        <f>+I27-I34</f>
        <v>-22621.361000000004</v>
      </c>
      <c r="J37" s="31" t="s">
        <v>29</v>
      </c>
      <c r="K37" s="39"/>
      <c r="L37" s="28"/>
    </row>
    <row r="38" spans="1:12" ht="15.75" thickTop="1" x14ac:dyDescent="0.25">
      <c r="A38" s="21"/>
      <c r="B38" s="28"/>
      <c r="C38" s="28"/>
      <c r="D38" s="28"/>
      <c r="E38" s="28"/>
      <c r="F38" s="28"/>
      <c r="G38" s="28"/>
      <c r="H38" s="28"/>
      <c r="I38" s="28"/>
      <c r="J38" s="31"/>
      <c r="K38" s="40"/>
      <c r="L38" s="28"/>
    </row>
    <row r="39" spans="1:12" ht="15.75" thickBot="1" x14ac:dyDescent="0.3">
      <c r="A39" s="272" t="s">
        <v>49</v>
      </c>
      <c r="B39" s="272"/>
      <c r="C39" s="272"/>
      <c r="D39" s="272"/>
      <c r="E39" s="272"/>
      <c r="F39" s="272"/>
      <c r="G39" s="272"/>
      <c r="H39" s="272"/>
      <c r="I39" s="272"/>
      <c r="J39" s="41"/>
      <c r="K39" s="40"/>
      <c r="L39" s="28"/>
    </row>
    <row r="40" spans="1:12" x14ac:dyDescent="0.25">
      <c r="A40" s="21"/>
      <c r="B40" s="43"/>
      <c r="C40" s="43"/>
      <c r="D40" s="28"/>
      <c r="E40" s="28"/>
      <c r="F40" s="28"/>
      <c r="G40" s="28"/>
      <c r="H40" s="28"/>
      <c r="I40" s="28"/>
      <c r="J40" s="31"/>
      <c r="K40" s="40"/>
      <c r="L40" s="28"/>
    </row>
    <row r="41" spans="1:12" x14ac:dyDescent="0.25">
      <c r="A41" s="21"/>
      <c r="B41" s="270" t="s">
        <v>32</v>
      </c>
      <c r="C41" s="270"/>
      <c r="D41" s="270"/>
      <c r="E41" s="28"/>
      <c r="F41" s="28"/>
      <c r="G41" s="28"/>
      <c r="H41" s="28"/>
      <c r="I41" s="28"/>
      <c r="J41" s="31"/>
      <c r="K41" s="40"/>
      <c r="L41" s="28"/>
    </row>
    <row r="42" spans="1:12" x14ac:dyDescent="0.25">
      <c r="A42" s="21"/>
      <c r="B42" s="28"/>
      <c r="C42" s="28"/>
      <c r="D42" s="271" t="s">
        <v>39</v>
      </c>
      <c r="E42" s="271"/>
      <c r="F42" s="271"/>
      <c r="G42" s="28">
        <f>+I22</f>
        <v>71599</v>
      </c>
      <c r="H42" s="35" t="s">
        <v>23</v>
      </c>
      <c r="I42" s="28"/>
      <c r="J42" s="31"/>
      <c r="K42" s="40"/>
      <c r="L42" s="28"/>
    </row>
    <row r="43" spans="1:12" x14ac:dyDescent="0.25">
      <c r="A43" s="21"/>
      <c r="B43" s="28"/>
      <c r="C43" s="28"/>
      <c r="D43" s="271" t="s">
        <v>28</v>
      </c>
      <c r="E43" s="271"/>
      <c r="F43" s="271"/>
      <c r="G43" s="28">
        <f>+I37</f>
        <v>-22621.361000000004</v>
      </c>
      <c r="H43" s="28" t="s">
        <v>29</v>
      </c>
      <c r="I43" s="28"/>
      <c r="J43" s="31"/>
      <c r="K43" s="40"/>
      <c r="L43" s="28"/>
    </row>
    <row r="44" spans="1:12" ht="15.75" thickBot="1" x14ac:dyDescent="0.3">
      <c r="A44" s="21"/>
      <c r="B44" s="28"/>
      <c r="C44" s="28"/>
      <c r="D44" s="28"/>
      <c r="E44" s="271" t="s">
        <v>33</v>
      </c>
      <c r="F44" s="271"/>
      <c r="G44" s="38">
        <f>ROUND(G43/G42,3)</f>
        <v>-0.316</v>
      </c>
      <c r="H44" s="28"/>
      <c r="I44" s="30">
        <f>+G44</f>
        <v>-0.316</v>
      </c>
      <c r="J44" s="48"/>
      <c r="K44" s="40"/>
      <c r="L44" s="28"/>
    </row>
    <row r="45" spans="1:12" ht="15.75" thickTop="1" x14ac:dyDescent="0.25">
      <c r="A45" s="21"/>
      <c r="B45" s="28"/>
      <c r="C45" s="28"/>
      <c r="D45" s="28"/>
      <c r="E45" s="28"/>
      <c r="F45" s="44"/>
      <c r="G45" s="28"/>
      <c r="H45" s="28"/>
      <c r="I45" s="30"/>
      <c r="J45" s="48"/>
      <c r="K45" s="40"/>
      <c r="L45" s="28"/>
    </row>
    <row r="46" spans="1:12" x14ac:dyDescent="0.25">
      <c r="A46" s="21"/>
      <c r="B46" s="274" t="s">
        <v>48</v>
      </c>
      <c r="C46" s="274"/>
      <c r="D46" s="274"/>
      <c r="E46" s="274"/>
      <c r="F46" s="44"/>
      <c r="G46" s="28"/>
      <c r="H46" s="28"/>
      <c r="I46" s="30"/>
      <c r="J46" s="48"/>
      <c r="K46" s="40"/>
      <c r="L46" s="28"/>
    </row>
    <row r="47" spans="1:12" ht="15.75" thickBot="1" x14ac:dyDescent="0.3">
      <c r="A47" s="21"/>
      <c r="B47" s="271" t="s">
        <v>45</v>
      </c>
      <c r="C47" s="271"/>
      <c r="D47" s="271"/>
      <c r="E47" s="271"/>
      <c r="F47" s="271"/>
      <c r="G47" s="52">
        <f>+F22</f>
        <v>0.61099999999999999</v>
      </c>
      <c r="H47" s="53"/>
      <c r="I47" s="54">
        <f>+G47</f>
        <v>0.61099999999999999</v>
      </c>
      <c r="J47" s="35" t="s">
        <v>22</v>
      </c>
      <c r="K47" s="39"/>
      <c r="L47" s="35"/>
    </row>
    <row r="48" spans="1:12" ht="15.75" thickTop="1" x14ac:dyDescent="0.25">
      <c r="A48" s="28"/>
      <c r="B48" s="43"/>
      <c r="C48" s="43"/>
      <c r="D48" s="28"/>
      <c r="E48" s="28"/>
      <c r="F48" s="28"/>
      <c r="G48" s="28"/>
      <c r="H48" s="28"/>
      <c r="I48" s="30"/>
      <c r="J48" s="48"/>
      <c r="K48" s="40"/>
      <c r="L48" s="28"/>
    </row>
    <row r="49" spans="1:12" ht="15.75" thickBot="1" x14ac:dyDescent="0.3">
      <c r="A49" s="21"/>
      <c r="B49" s="28"/>
      <c r="C49" s="28"/>
      <c r="D49" s="28"/>
      <c r="E49" s="271" t="s">
        <v>79</v>
      </c>
      <c r="F49" s="271"/>
      <c r="G49" s="271"/>
      <c r="H49" s="37"/>
      <c r="I49" s="49">
        <f>-I44-I47</f>
        <v>-0.29499999999999998</v>
      </c>
      <c r="J49" s="50"/>
      <c r="K49" s="40"/>
      <c r="L49" s="28"/>
    </row>
    <row r="50" spans="1:12" ht="15.75" thickTop="1" x14ac:dyDescent="0.25">
      <c r="A50" s="21"/>
      <c r="B50" s="21"/>
      <c r="C50" s="21"/>
      <c r="D50" s="21"/>
      <c r="E50" s="21"/>
      <c r="F50" s="21"/>
      <c r="G50" s="21"/>
      <c r="H50" s="21"/>
      <c r="I50" s="30"/>
      <c r="J50" s="48"/>
      <c r="K50" s="39"/>
      <c r="L50" s="21"/>
    </row>
  </sheetData>
  <mergeCells count="20">
    <mergeCell ref="B47:F47"/>
    <mergeCell ref="E49:G49"/>
    <mergeCell ref="A39:I39"/>
    <mergeCell ref="B41:D41"/>
    <mergeCell ref="D42:F42"/>
    <mergeCell ref="D43:F43"/>
    <mergeCell ref="E44:F44"/>
    <mergeCell ref="B46:E46"/>
    <mergeCell ref="A1:E1"/>
    <mergeCell ref="F1:I1"/>
    <mergeCell ref="A2:D2"/>
    <mergeCell ref="A3:D3"/>
    <mergeCell ref="F37:H37"/>
    <mergeCell ref="A4:D4"/>
    <mergeCell ref="A25:I25"/>
    <mergeCell ref="D27:H27"/>
    <mergeCell ref="B30:E30"/>
    <mergeCell ref="B31:E31"/>
    <mergeCell ref="D34:E34"/>
    <mergeCell ref="D32:E32"/>
  </mergeCells>
  <phoneticPr fontId="9" type="noConversion"/>
  <pageMargins left="0.5" right="0.25" top="1" bottom="1" header="0.5" footer="0.5"/>
  <pageSetup scale="87" orientation="portrait" horizontalDpi="4294967293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52"/>
  <sheetViews>
    <sheetView topLeftCell="A25" zoomScaleNormal="100" workbookViewId="0">
      <selection activeCell="A2" sqref="A2:D2"/>
    </sheetView>
  </sheetViews>
  <sheetFormatPr defaultRowHeight="15" x14ac:dyDescent="0.25"/>
  <cols>
    <col min="1" max="1" width="13.140625" customWidth="1"/>
    <col min="3" max="3" width="6.28515625" customWidth="1"/>
    <col min="4" max="4" width="15.85546875" customWidth="1"/>
    <col min="5" max="5" width="6.42578125" customWidth="1"/>
    <col min="6" max="6" width="18.28515625" customWidth="1"/>
    <col min="7" max="7" width="7.42578125" customWidth="1"/>
    <col min="8" max="8" width="4.28515625" customWidth="1"/>
    <col min="9" max="9" width="15.5703125" customWidth="1"/>
    <col min="10" max="10" width="3.7109375" customWidth="1"/>
    <col min="11" max="11" width="5.28515625" customWidth="1"/>
    <col min="12" max="12" width="2.7109375" customWidth="1"/>
  </cols>
  <sheetData>
    <row r="1" spans="1:11" x14ac:dyDescent="0.25">
      <c r="A1" s="266" t="s">
        <v>44</v>
      </c>
      <c r="B1" s="266"/>
      <c r="C1" s="266"/>
      <c r="D1" s="266"/>
      <c r="E1" s="266"/>
      <c r="F1" s="267"/>
      <c r="G1" s="267"/>
      <c r="H1" s="267"/>
      <c r="I1" s="267"/>
      <c r="J1" s="14"/>
      <c r="K1" s="15"/>
    </row>
    <row r="2" spans="1:11" x14ac:dyDescent="0.25">
      <c r="A2" s="268" t="s">
        <v>46</v>
      </c>
      <c r="B2" s="268"/>
      <c r="C2" s="268"/>
      <c r="D2" s="268"/>
      <c r="E2" s="16"/>
      <c r="F2" s="17"/>
      <c r="G2" s="17"/>
      <c r="H2" s="16"/>
      <c r="I2" s="16"/>
      <c r="J2" s="18"/>
      <c r="K2" s="15"/>
    </row>
    <row r="3" spans="1:11" x14ac:dyDescent="0.25">
      <c r="A3" s="268" t="s">
        <v>47</v>
      </c>
      <c r="B3" s="268"/>
      <c r="C3" s="268"/>
      <c r="D3" s="268"/>
      <c r="E3" s="16"/>
      <c r="F3" s="15"/>
      <c r="G3" s="15"/>
      <c r="H3" s="16"/>
      <c r="I3" s="16"/>
      <c r="J3" s="18"/>
      <c r="K3" s="15"/>
    </row>
    <row r="4" spans="1:11" x14ac:dyDescent="0.25">
      <c r="A4" s="268" t="s">
        <v>42</v>
      </c>
      <c r="B4" s="268"/>
      <c r="C4" s="19"/>
      <c r="D4" s="19"/>
      <c r="E4" s="19"/>
      <c r="F4" s="19"/>
      <c r="G4" s="16"/>
      <c r="H4" s="19"/>
      <c r="I4" s="16"/>
      <c r="J4" s="18"/>
      <c r="K4" s="20"/>
    </row>
    <row r="5" spans="1:11" ht="24" thickBot="1" x14ac:dyDescent="0.3">
      <c r="A5" s="22" t="s">
        <v>21</v>
      </c>
      <c r="B5" s="22" t="s">
        <v>19</v>
      </c>
      <c r="C5" s="22"/>
      <c r="D5" s="23" t="s">
        <v>37</v>
      </c>
      <c r="E5" s="22"/>
      <c r="F5" s="23" t="s">
        <v>35</v>
      </c>
      <c r="G5" s="22"/>
      <c r="H5" s="22"/>
      <c r="I5" s="23" t="s">
        <v>40</v>
      </c>
      <c r="J5" s="24"/>
      <c r="K5" s="22" t="s">
        <v>36</v>
      </c>
    </row>
    <row r="6" spans="1:11" x14ac:dyDescent="0.25">
      <c r="A6" s="26"/>
      <c r="B6" s="27"/>
      <c r="C6" s="28"/>
      <c r="D6" s="27"/>
      <c r="E6" s="28"/>
      <c r="F6" s="21"/>
      <c r="G6" s="30"/>
      <c r="H6" s="21"/>
      <c r="I6" s="28"/>
      <c r="J6" s="31"/>
      <c r="K6" s="32"/>
    </row>
    <row r="7" spans="1:11" x14ac:dyDescent="0.25">
      <c r="A7" s="26"/>
      <c r="B7" s="27"/>
      <c r="C7" s="28"/>
      <c r="D7" s="27"/>
      <c r="E7" s="28"/>
      <c r="F7" s="21"/>
      <c r="G7" s="30"/>
      <c r="H7" s="21"/>
      <c r="I7" s="28"/>
      <c r="J7" s="31"/>
      <c r="K7" s="32"/>
    </row>
    <row r="8" spans="1:11" x14ac:dyDescent="0.25">
      <c r="A8" s="26" t="s">
        <v>12</v>
      </c>
      <c r="B8" s="27">
        <f>+'[3]BI Multi-Family 2012'!C11</f>
        <v>1337</v>
      </c>
      <c r="C8" s="28"/>
      <c r="D8" s="28">
        <f>+'[3]BI Multi-Family 2012'!G11</f>
        <v>2222.2399999999998</v>
      </c>
      <c r="E8" s="28"/>
      <c r="F8" s="21">
        <f t="shared" ref="F8:F19" si="0">IF(D8=0, 0, ROUND(D8/B8,2))</f>
        <v>1.66</v>
      </c>
      <c r="G8" s="30"/>
      <c r="H8" s="21"/>
      <c r="I8" s="28">
        <f t="shared" ref="I8:I19" si="1">B8</f>
        <v>1337</v>
      </c>
      <c r="J8" s="31"/>
      <c r="K8" s="32">
        <v>2012</v>
      </c>
    </row>
    <row r="9" spans="1:11" x14ac:dyDescent="0.25">
      <c r="A9" s="26" t="s">
        <v>13</v>
      </c>
      <c r="B9" s="27">
        <f>+'[3]BI Multi-Family 2012'!C12</f>
        <v>1337</v>
      </c>
      <c r="C9" s="28"/>
      <c r="D9" s="28">
        <f>+'[3]BI Multi-Family 2012'!G12</f>
        <v>3438.6000000000004</v>
      </c>
      <c r="E9" s="28"/>
      <c r="F9" s="21">
        <f t="shared" si="0"/>
        <v>2.57</v>
      </c>
      <c r="G9" s="30"/>
      <c r="H9" s="21"/>
      <c r="I9" s="28">
        <f t="shared" si="1"/>
        <v>1337</v>
      </c>
      <c r="J9" s="31"/>
      <c r="K9" s="32">
        <v>2012</v>
      </c>
    </row>
    <row r="10" spans="1:11" x14ac:dyDescent="0.25">
      <c r="A10" s="26" t="s">
        <v>14</v>
      </c>
      <c r="B10" s="27">
        <f>+'[3]BI Multi-Family 2012'!C13</f>
        <v>1337</v>
      </c>
      <c r="C10" s="28"/>
      <c r="D10" s="28">
        <f>+'[3]BI Multi-Family 2012'!G13</f>
        <v>3464</v>
      </c>
      <c r="E10" s="28"/>
      <c r="F10" s="21">
        <f t="shared" si="0"/>
        <v>2.59</v>
      </c>
      <c r="G10" s="30"/>
      <c r="H10" s="21"/>
      <c r="I10" s="28">
        <f t="shared" si="1"/>
        <v>1337</v>
      </c>
      <c r="J10" s="31"/>
      <c r="K10" s="32">
        <v>2012</v>
      </c>
    </row>
    <row r="11" spans="1:11" x14ac:dyDescent="0.25">
      <c r="A11" s="26" t="s">
        <v>15</v>
      </c>
      <c r="B11" s="27">
        <f>+'[3]BI Multi-Family 2012'!C14</f>
        <v>1337</v>
      </c>
      <c r="C11" s="28"/>
      <c r="D11" s="28">
        <f>+'[3]BI Multi-Family 2012'!G14</f>
        <v>3157.93</v>
      </c>
      <c r="E11" s="28"/>
      <c r="F11" s="21">
        <f t="shared" si="0"/>
        <v>2.36</v>
      </c>
      <c r="G11" s="30"/>
      <c r="H11" s="21"/>
      <c r="I11" s="28">
        <f t="shared" si="1"/>
        <v>1337</v>
      </c>
      <c r="J11" s="31"/>
      <c r="K11" s="32">
        <v>2012</v>
      </c>
    </row>
    <row r="12" spans="1:11" x14ac:dyDescent="0.25">
      <c r="A12" s="26" t="s">
        <v>16</v>
      </c>
      <c r="B12" s="27">
        <f>+'[3]BI Multi-Family 2012'!C15</f>
        <v>1337</v>
      </c>
      <c r="C12" s="28"/>
      <c r="D12" s="28">
        <f>+'[3]BI Multi-Family 2012'!G15</f>
        <v>4103.57</v>
      </c>
      <c r="E12" s="28"/>
      <c r="F12" s="21">
        <f t="shared" si="0"/>
        <v>3.07</v>
      </c>
      <c r="G12" s="30"/>
      <c r="H12" s="21"/>
      <c r="I12" s="28">
        <f t="shared" si="1"/>
        <v>1337</v>
      </c>
      <c r="J12" s="31"/>
      <c r="K12" s="32">
        <v>2012</v>
      </c>
    </row>
    <row r="13" spans="1:11" x14ac:dyDescent="0.25">
      <c r="A13" s="26" t="s">
        <v>17</v>
      </c>
      <c r="B13" s="27">
        <f>+'[3]BI Multi-Family 2012'!C16</f>
        <v>1337</v>
      </c>
      <c r="C13" s="28"/>
      <c r="D13" s="28">
        <f>+'[3]BI Multi-Family 2012'!G16</f>
        <v>3174.75</v>
      </c>
      <c r="E13" s="28"/>
      <c r="F13" s="21">
        <f t="shared" si="0"/>
        <v>2.37</v>
      </c>
      <c r="G13" s="30"/>
      <c r="H13" s="21"/>
      <c r="I13" s="28">
        <f t="shared" si="1"/>
        <v>1337</v>
      </c>
      <c r="J13" s="31"/>
      <c r="K13" s="32">
        <v>2012</v>
      </c>
    </row>
    <row r="14" spans="1:11" x14ac:dyDescent="0.25">
      <c r="A14" s="26" t="s">
        <v>18</v>
      </c>
      <c r="B14" s="27">
        <f>+'[3]BI Multi-Family 2012'!C17</f>
        <v>1337</v>
      </c>
      <c r="C14" s="28"/>
      <c r="D14" s="28">
        <f>+'[3]BI Multi-Family 2012'!G17</f>
        <v>2792.4</v>
      </c>
      <c r="E14" s="28"/>
      <c r="F14" s="21">
        <f t="shared" si="0"/>
        <v>2.09</v>
      </c>
      <c r="G14" s="30"/>
      <c r="H14" s="21"/>
      <c r="I14" s="28">
        <f t="shared" si="1"/>
        <v>1337</v>
      </c>
      <c r="J14" s="31"/>
      <c r="K14" s="32">
        <v>2012</v>
      </c>
    </row>
    <row r="15" spans="1:11" x14ac:dyDescent="0.25">
      <c r="A15" s="26" t="s">
        <v>20</v>
      </c>
      <c r="B15" s="27">
        <f>+'[3]BI Multi-Family 2012'!C18</f>
        <v>1337</v>
      </c>
      <c r="C15" s="28"/>
      <c r="D15" s="28">
        <f>+'[3]BI Multi-Family 2012'!G18</f>
        <v>2552.4</v>
      </c>
      <c r="E15" s="28"/>
      <c r="F15" s="21">
        <f t="shared" si="0"/>
        <v>1.91</v>
      </c>
      <c r="G15" s="30"/>
      <c r="H15" s="21"/>
      <c r="I15" s="28">
        <f t="shared" si="1"/>
        <v>1337</v>
      </c>
      <c r="J15" s="31"/>
      <c r="K15" s="32">
        <v>2012</v>
      </c>
    </row>
    <row r="16" spans="1:11" x14ac:dyDescent="0.25">
      <c r="A16" s="26" t="s">
        <v>34</v>
      </c>
      <c r="B16" s="27">
        <f>+'[3]BI Multi-Family 2012'!C19</f>
        <v>1337</v>
      </c>
      <c r="C16" s="28"/>
      <c r="D16" s="28">
        <f>+'[3]BI Multi-Family 2012'!G19</f>
        <v>680.19999999999993</v>
      </c>
      <c r="E16" s="28"/>
      <c r="F16" s="21">
        <f t="shared" si="0"/>
        <v>0.51</v>
      </c>
      <c r="G16" s="30"/>
      <c r="H16" s="21"/>
      <c r="I16" s="28">
        <f t="shared" si="1"/>
        <v>1337</v>
      </c>
      <c r="J16" s="31"/>
      <c r="K16" s="32">
        <v>2012</v>
      </c>
    </row>
    <row r="17" spans="1:11" x14ac:dyDescent="0.25">
      <c r="A17" s="26" t="s">
        <v>9</v>
      </c>
      <c r="B17" s="27">
        <f>+'[3]BI Multi-Family 2012'!C20</f>
        <v>1337</v>
      </c>
      <c r="C17" s="28"/>
      <c r="D17" s="28">
        <f>+'[3]BI Multi-Family 2012'!G20</f>
        <v>1066.25</v>
      </c>
      <c r="E17" s="28"/>
      <c r="F17" s="21">
        <f t="shared" si="0"/>
        <v>0.8</v>
      </c>
      <c r="G17" s="30"/>
      <c r="H17" s="21"/>
      <c r="I17" s="28">
        <f t="shared" si="1"/>
        <v>1337</v>
      </c>
      <c r="J17" s="31"/>
      <c r="K17" s="32">
        <v>2012</v>
      </c>
    </row>
    <row r="18" spans="1:11" x14ac:dyDescent="0.25">
      <c r="A18" s="26" t="s">
        <v>10</v>
      </c>
      <c r="B18" s="27">
        <f>+'[3]BI Multi-Family 2012'!C21</f>
        <v>1337</v>
      </c>
      <c r="C18" s="28"/>
      <c r="D18" s="28">
        <f>+'[3]BI Multi-Family 2012'!G21</f>
        <v>1246.3499999999999</v>
      </c>
      <c r="E18" s="28"/>
      <c r="F18" s="21">
        <f t="shared" si="0"/>
        <v>0.93</v>
      </c>
      <c r="G18" s="30"/>
      <c r="H18" s="21"/>
      <c r="I18" s="28">
        <f t="shared" si="1"/>
        <v>1337</v>
      </c>
      <c r="J18" s="31"/>
      <c r="K18" s="32">
        <v>2012</v>
      </c>
    </row>
    <row r="19" spans="1:11" x14ac:dyDescent="0.25">
      <c r="A19" s="26" t="s">
        <v>11</v>
      </c>
      <c r="B19" s="27">
        <f>+'[3]BI Multi-Family 2012'!C22</f>
        <v>1349</v>
      </c>
      <c r="C19" s="28"/>
      <c r="D19" s="28">
        <f>+'[3]BI Multi-Family 2012'!G22</f>
        <v>1004.7</v>
      </c>
      <c r="E19" s="28"/>
      <c r="F19" s="21">
        <f t="shared" si="0"/>
        <v>0.74</v>
      </c>
      <c r="G19" s="30"/>
      <c r="H19" s="21"/>
      <c r="I19" s="28">
        <f t="shared" si="1"/>
        <v>1349</v>
      </c>
      <c r="J19" s="31"/>
      <c r="K19" s="32">
        <v>2012</v>
      </c>
    </row>
    <row r="20" spans="1:11" x14ac:dyDescent="0.25">
      <c r="A20" s="26" t="s">
        <v>51</v>
      </c>
      <c r="B20" s="34">
        <f>SUM(B8:B19)</f>
        <v>16056</v>
      </c>
      <c r="C20" s="35" t="s">
        <v>30</v>
      </c>
      <c r="D20" s="34">
        <f>SUM(D8:D19)</f>
        <v>28903.390000000003</v>
      </c>
      <c r="E20" s="28"/>
      <c r="F20" s="21"/>
      <c r="G20" s="28"/>
      <c r="H20" s="28"/>
      <c r="I20" s="28"/>
      <c r="J20" s="31"/>
      <c r="K20" s="32"/>
    </row>
    <row r="21" spans="1:11" x14ac:dyDescent="0.25">
      <c r="A21" s="11"/>
      <c r="B21" s="11"/>
      <c r="C21" s="11"/>
      <c r="D21" s="36"/>
      <c r="E21" s="11"/>
      <c r="F21" s="11"/>
      <c r="G21" s="11"/>
      <c r="H21" s="11"/>
      <c r="I21" s="11"/>
      <c r="J21" s="12"/>
      <c r="K21" s="13"/>
    </row>
    <row r="22" spans="1:11" ht="15.75" thickBot="1" x14ac:dyDescent="0.3">
      <c r="A22" s="26" t="s">
        <v>41</v>
      </c>
      <c r="B22" s="37">
        <f>+B20</f>
        <v>16056</v>
      </c>
      <c r="C22" s="35"/>
      <c r="D22" s="37">
        <f>+D20</f>
        <v>28903.390000000003</v>
      </c>
      <c r="E22" s="35" t="s">
        <v>31</v>
      </c>
      <c r="F22" s="38">
        <f>ROUND(D22/B22,3)</f>
        <v>1.8</v>
      </c>
      <c r="G22" s="35" t="s">
        <v>22</v>
      </c>
      <c r="H22" s="28"/>
      <c r="I22" s="37">
        <f>SUM(I6:I19)</f>
        <v>16056</v>
      </c>
      <c r="J22" s="35" t="s">
        <v>23</v>
      </c>
      <c r="K22" s="39"/>
    </row>
    <row r="23" spans="1:11" ht="15.75" thickTop="1" x14ac:dyDescent="0.25">
      <c r="A23" s="21"/>
      <c r="B23" s="28"/>
      <c r="C23" s="28"/>
      <c r="D23" s="28"/>
      <c r="E23" s="28"/>
      <c r="F23" s="28"/>
      <c r="G23" s="28"/>
      <c r="H23" s="28"/>
      <c r="I23" s="28"/>
      <c r="J23" s="31"/>
      <c r="K23" s="40"/>
    </row>
    <row r="24" spans="1:11" x14ac:dyDescent="0.25">
      <c r="A24" s="21"/>
      <c r="B24" s="28"/>
      <c r="C24" s="28"/>
      <c r="D24" s="28"/>
      <c r="E24" s="28"/>
      <c r="F24" s="28"/>
      <c r="G24" s="28"/>
      <c r="H24" s="28"/>
      <c r="I24" s="28"/>
      <c r="J24" s="31"/>
      <c r="K24" s="40"/>
    </row>
    <row r="25" spans="1:11" ht="15.75" thickBot="1" x14ac:dyDescent="0.3">
      <c r="A25" s="272" t="s">
        <v>24</v>
      </c>
      <c r="B25" s="272"/>
      <c r="C25" s="272"/>
      <c r="D25" s="272"/>
      <c r="E25" s="272"/>
      <c r="F25" s="272"/>
      <c r="G25" s="272"/>
      <c r="H25" s="272"/>
      <c r="I25" s="272"/>
      <c r="J25" s="41"/>
      <c r="K25" s="40"/>
    </row>
    <row r="26" spans="1:11" x14ac:dyDescent="0.25">
      <c r="A26" s="42"/>
      <c r="B26" s="43"/>
      <c r="C26" s="28"/>
      <c r="D26" s="28"/>
      <c r="E26" s="28"/>
      <c r="F26" s="28"/>
      <c r="G26" s="28"/>
      <c r="H26" s="28"/>
      <c r="I26" s="28"/>
      <c r="J26" s="31"/>
      <c r="K26" s="40"/>
    </row>
    <row r="27" spans="1:11" x14ac:dyDescent="0.25">
      <c r="A27" s="19"/>
      <c r="B27" s="43"/>
      <c r="C27" s="28"/>
      <c r="D27" s="271" t="s">
        <v>25</v>
      </c>
      <c r="E27" s="271"/>
      <c r="F27" s="271"/>
      <c r="G27" s="271"/>
      <c r="H27" s="271"/>
      <c r="I27" s="28">
        <f>ROUND(D22,0)</f>
        <v>28903</v>
      </c>
      <c r="J27" s="35" t="s">
        <v>31</v>
      </c>
      <c r="K27" s="39"/>
    </row>
    <row r="28" spans="1:11" x14ac:dyDescent="0.25">
      <c r="A28" s="45"/>
      <c r="B28" s="43"/>
      <c r="C28" s="28"/>
      <c r="D28" s="28"/>
      <c r="E28" s="28"/>
      <c r="F28" s="28"/>
      <c r="G28" s="28"/>
      <c r="H28" s="35"/>
      <c r="I28" s="28"/>
      <c r="J28" s="31"/>
      <c r="K28" s="40"/>
    </row>
    <row r="29" spans="1:11" x14ac:dyDescent="0.25">
      <c r="A29" s="21"/>
      <c r="B29" s="28"/>
      <c r="C29" s="28"/>
      <c r="D29" s="28"/>
      <c r="E29" s="28"/>
      <c r="F29" s="46"/>
      <c r="G29" s="35"/>
      <c r="H29" s="28"/>
      <c r="I29" s="28"/>
      <c r="J29" s="31"/>
      <c r="K29" s="40"/>
    </row>
    <row r="30" spans="1:11" x14ac:dyDescent="0.25">
      <c r="A30" s="21"/>
      <c r="B30" s="270" t="s">
        <v>38</v>
      </c>
      <c r="C30" s="270"/>
      <c r="D30" s="270"/>
      <c r="E30" s="270"/>
      <c r="F30" s="55">
        <f>+'[3]Credit Calc-Multi Family 120217'!I47</f>
        <v>3.407</v>
      </c>
      <c r="G30" s="28"/>
      <c r="H30" s="28"/>
      <c r="I30" s="28"/>
      <c r="J30" s="31"/>
      <c r="K30" s="40"/>
    </row>
    <row r="31" spans="1:11" x14ac:dyDescent="0.25">
      <c r="A31" s="21"/>
      <c r="B31" s="271" t="s">
        <v>50</v>
      </c>
      <c r="C31" s="271"/>
      <c r="D31" s="271"/>
      <c r="E31" s="271"/>
      <c r="F31" s="28">
        <f>+B20</f>
        <v>16056</v>
      </c>
      <c r="G31" s="35" t="s">
        <v>30</v>
      </c>
      <c r="H31" s="28"/>
      <c r="I31" s="28"/>
      <c r="J31" s="31"/>
      <c r="K31" s="40"/>
    </row>
    <row r="32" spans="1:11" x14ac:dyDescent="0.25">
      <c r="A32" s="21"/>
      <c r="B32" s="28"/>
      <c r="C32" s="271" t="s">
        <v>26</v>
      </c>
      <c r="D32" s="271"/>
      <c r="E32" s="271"/>
      <c r="F32" s="34">
        <f>-'[3]Tarriff Revenue Billed'!K21</f>
        <v>49243.820999999996</v>
      </c>
      <c r="G32" s="35"/>
      <c r="H32" s="28"/>
      <c r="I32" s="28"/>
      <c r="J32" s="31"/>
      <c r="K32" s="40"/>
    </row>
    <row r="33" spans="1:11" x14ac:dyDescent="0.25">
      <c r="A33" s="21"/>
      <c r="B33" s="28"/>
      <c r="C33" s="28"/>
      <c r="D33" s="28"/>
      <c r="E33" s="28"/>
      <c r="F33" s="28"/>
      <c r="G33" s="35"/>
      <c r="H33" s="28"/>
      <c r="I33" s="28"/>
      <c r="J33" s="31"/>
      <c r="K33" s="40"/>
    </row>
    <row r="34" spans="1:11" ht="15.75" thickBot="1" x14ac:dyDescent="0.3">
      <c r="A34" s="21"/>
      <c r="B34" s="28"/>
      <c r="C34" s="271" t="s">
        <v>27</v>
      </c>
      <c r="D34" s="271"/>
      <c r="E34" s="271"/>
      <c r="F34" s="37">
        <f>+F32</f>
        <v>49243.820999999996</v>
      </c>
      <c r="G34" s="21"/>
      <c r="H34" s="28"/>
      <c r="I34" s="28">
        <f>+F34</f>
        <v>49243.820999999996</v>
      </c>
      <c r="J34" s="31"/>
      <c r="K34" s="40"/>
    </row>
    <row r="35" spans="1:11" ht="15.75" thickTop="1" x14ac:dyDescent="0.25">
      <c r="A35" s="21"/>
      <c r="B35" s="28"/>
      <c r="C35" s="28"/>
      <c r="D35" s="28"/>
      <c r="E35" s="28"/>
      <c r="F35" s="28"/>
      <c r="G35" s="28"/>
      <c r="H35" s="28"/>
      <c r="I35" s="28"/>
      <c r="J35" s="31"/>
      <c r="K35" s="40"/>
    </row>
    <row r="36" spans="1:11" x14ac:dyDescent="0.25">
      <c r="A36" s="21"/>
      <c r="B36" s="28"/>
      <c r="C36" s="28"/>
      <c r="D36" s="28"/>
      <c r="E36" s="28"/>
      <c r="F36" s="28"/>
      <c r="G36" s="28"/>
      <c r="H36" s="28"/>
      <c r="I36" s="28"/>
      <c r="J36" s="31"/>
      <c r="K36" s="40"/>
    </row>
    <row r="37" spans="1:11" ht="15.75" thickBot="1" x14ac:dyDescent="0.3">
      <c r="A37" s="21"/>
      <c r="B37" s="28"/>
      <c r="C37" s="28"/>
      <c r="D37" s="28"/>
      <c r="E37" s="28"/>
      <c r="F37" s="271" t="s">
        <v>28</v>
      </c>
      <c r="G37" s="271"/>
      <c r="H37" s="271"/>
      <c r="I37" s="47">
        <f>+I27-I34</f>
        <v>-20340.820999999996</v>
      </c>
      <c r="J37" s="31" t="s">
        <v>29</v>
      </c>
      <c r="K37" s="39"/>
    </row>
    <row r="38" spans="1:11" ht="15.75" thickTop="1" x14ac:dyDescent="0.25">
      <c r="A38" s="21"/>
      <c r="B38" s="28"/>
      <c r="C38" s="28"/>
      <c r="D38" s="28"/>
      <c r="E38" s="28"/>
      <c r="F38" s="28"/>
      <c r="G38" s="28"/>
      <c r="H38" s="28"/>
      <c r="I38" s="28"/>
      <c r="J38" s="31"/>
      <c r="K38" s="40"/>
    </row>
    <row r="39" spans="1:11" ht="15.75" thickBot="1" x14ac:dyDescent="0.3">
      <c r="A39" s="272" t="s">
        <v>49</v>
      </c>
      <c r="B39" s="272"/>
      <c r="C39" s="272"/>
      <c r="D39" s="272"/>
      <c r="E39" s="272"/>
      <c r="F39" s="272"/>
      <c r="G39" s="272"/>
      <c r="H39" s="272"/>
      <c r="I39" s="272"/>
      <c r="J39" s="41"/>
      <c r="K39" s="40"/>
    </row>
    <row r="40" spans="1:11" x14ac:dyDescent="0.25">
      <c r="A40" s="21"/>
      <c r="B40" s="43"/>
      <c r="C40" s="28"/>
      <c r="D40" s="28"/>
      <c r="E40" s="28"/>
      <c r="F40" s="28"/>
      <c r="G40" s="28"/>
      <c r="H40" s="28"/>
      <c r="I40" s="28"/>
      <c r="J40" s="31"/>
      <c r="K40" s="40"/>
    </row>
    <row r="41" spans="1:11" x14ac:dyDescent="0.25">
      <c r="A41" s="21"/>
      <c r="B41" s="270" t="s">
        <v>32</v>
      </c>
      <c r="C41" s="270"/>
      <c r="D41" s="270"/>
      <c r="E41" s="28"/>
      <c r="F41" s="28"/>
      <c r="G41" s="28"/>
      <c r="H41" s="28"/>
      <c r="I41" s="28"/>
      <c r="J41" s="31"/>
      <c r="K41" s="40"/>
    </row>
    <row r="42" spans="1:11" x14ac:dyDescent="0.25">
      <c r="A42" s="21"/>
      <c r="B42" s="28"/>
      <c r="C42" s="28"/>
      <c r="D42" s="271" t="s">
        <v>39</v>
      </c>
      <c r="E42" s="271"/>
      <c r="F42" s="271"/>
      <c r="G42" s="28">
        <f>+I22</f>
        <v>16056</v>
      </c>
      <c r="H42" s="35" t="s">
        <v>23</v>
      </c>
      <c r="I42" s="28"/>
      <c r="J42" s="31"/>
      <c r="K42" s="40"/>
    </row>
    <row r="43" spans="1:11" x14ac:dyDescent="0.25">
      <c r="A43" s="21"/>
      <c r="B43" s="28"/>
      <c r="C43" s="28"/>
      <c r="D43" s="271" t="s">
        <v>28</v>
      </c>
      <c r="E43" s="271"/>
      <c r="F43" s="271"/>
      <c r="G43" s="28">
        <f>+I37</f>
        <v>-20340.820999999996</v>
      </c>
      <c r="H43" s="28" t="s">
        <v>29</v>
      </c>
      <c r="I43" s="28"/>
      <c r="J43" s="31"/>
      <c r="K43" s="40"/>
    </row>
    <row r="44" spans="1:11" ht="15.75" thickBot="1" x14ac:dyDescent="0.3">
      <c r="A44" s="21"/>
      <c r="B44" s="28"/>
      <c r="C44" s="28"/>
      <c r="D44" s="28"/>
      <c r="E44" s="271" t="s">
        <v>33</v>
      </c>
      <c r="F44" s="271"/>
      <c r="G44" s="38">
        <f>ROUND(G43/G42,3)</f>
        <v>-1.2669999999999999</v>
      </c>
      <c r="H44" s="28"/>
      <c r="I44" s="30">
        <f>+G44</f>
        <v>-1.2669999999999999</v>
      </c>
      <c r="J44" s="48"/>
      <c r="K44" s="40"/>
    </row>
    <row r="45" spans="1:11" ht="15.75" thickTop="1" x14ac:dyDescent="0.25">
      <c r="A45" s="21"/>
      <c r="B45" s="28"/>
      <c r="C45" s="28"/>
      <c r="D45" s="28"/>
      <c r="E45" s="28"/>
      <c r="F45" s="44"/>
      <c r="G45" s="28"/>
      <c r="H45" s="28"/>
      <c r="I45" s="30"/>
      <c r="J45" s="48"/>
      <c r="K45" s="40"/>
    </row>
    <row r="46" spans="1:11" x14ac:dyDescent="0.25">
      <c r="A46" s="21"/>
      <c r="B46" s="274" t="s">
        <v>48</v>
      </c>
      <c r="C46" s="274"/>
      <c r="D46" s="274"/>
      <c r="E46" s="274"/>
      <c r="F46" s="44"/>
      <c r="G46" s="28"/>
      <c r="H46" s="28"/>
      <c r="I46" s="30"/>
      <c r="J46" s="48"/>
      <c r="K46" s="40"/>
    </row>
    <row r="47" spans="1:11" ht="15.75" thickBot="1" x14ac:dyDescent="0.3">
      <c r="A47" s="21"/>
      <c r="B47" s="271" t="s">
        <v>45</v>
      </c>
      <c r="C47" s="271"/>
      <c r="D47" s="271"/>
      <c r="E47" s="271"/>
      <c r="F47" s="271"/>
      <c r="G47" s="52">
        <f>+F22</f>
        <v>1.8</v>
      </c>
      <c r="H47" s="53"/>
      <c r="I47" s="54">
        <f>+G47</f>
        <v>1.8</v>
      </c>
      <c r="J47" s="35" t="s">
        <v>22</v>
      </c>
      <c r="K47" s="39"/>
    </row>
    <row r="48" spans="1:11" ht="15.75" thickTop="1" x14ac:dyDescent="0.25">
      <c r="A48" s="28"/>
      <c r="B48" s="43"/>
      <c r="C48" s="28"/>
      <c r="D48" s="28"/>
      <c r="E48" s="28"/>
      <c r="F48" s="28"/>
      <c r="G48" s="28"/>
      <c r="H48" s="28"/>
      <c r="I48" s="30"/>
      <c r="J48" s="48"/>
      <c r="K48" s="40"/>
    </row>
    <row r="49" spans="1:11" ht="15.75" thickBot="1" x14ac:dyDescent="0.3">
      <c r="A49" s="21"/>
      <c r="B49" s="28"/>
      <c r="C49" s="28"/>
      <c r="D49" s="28"/>
      <c r="E49" s="271" t="s">
        <v>80</v>
      </c>
      <c r="F49" s="271"/>
      <c r="G49" s="271"/>
      <c r="H49" s="37"/>
      <c r="I49" s="49">
        <f>-I44-I47</f>
        <v>-0.53300000000000014</v>
      </c>
      <c r="J49" s="50"/>
      <c r="K49" s="40"/>
    </row>
    <row r="50" spans="1:11" ht="15.75" thickTop="1" x14ac:dyDescent="0.25">
      <c r="A50" s="21"/>
      <c r="B50" s="21"/>
      <c r="C50" s="21"/>
      <c r="D50" s="21"/>
      <c r="E50" s="21"/>
      <c r="F50" s="21"/>
      <c r="G50" s="21"/>
      <c r="H50" s="21"/>
      <c r="I50" s="30"/>
      <c r="J50" s="48"/>
      <c r="K50" s="39"/>
    </row>
    <row r="51" spans="1:11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51"/>
      <c r="K51" s="39"/>
    </row>
    <row r="52" spans="1:11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51"/>
      <c r="K52" s="39"/>
    </row>
  </sheetData>
  <mergeCells count="20">
    <mergeCell ref="B47:F47"/>
    <mergeCell ref="E49:G49"/>
    <mergeCell ref="A39:I39"/>
    <mergeCell ref="B41:D41"/>
    <mergeCell ref="D42:F42"/>
    <mergeCell ref="D43:F43"/>
    <mergeCell ref="E44:F44"/>
    <mergeCell ref="B46:E46"/>
    <mergeCell ref="A1:E1"/>
    <mergeCell ref="F1:I1"/>
    <mergeCell ref="A2:D2"/>
    <mergeCell ref="A3:D3"/>
    <mergeCell ref="F37:H37"/>
    <mergeCell ref="A4:B4"/>
    <mergeCell ref="A25:I25"/>
    <mergeCell ref="D27:H27"/>
    <mergeCell ref="B30:E30"/>
    <mergeCell ref="B31:E31"/>
    <mergeCell ref="C34:E34"/>
    <mergeCell ref="C32:E32"/>
  </mergeCells>
  <phoneticPr fontId="9" type="noConversion"/>
  <pageMargins left="0.5" right="0.25" top="1" bottom="1" header="0.5" footer="0.5"/>
  <pageSetup scale="88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1D7A9-641B-4374-9746-19B5B93FCFCA}">
  <dimension ref="A4:S61"/>
  <sheetViews>
    <sheetView topLeftCell="A28" workbookViewId="0">
      <selection activeCell="O50" sqref="O50"/>
    </sheetView>
  </sheetViews>
  <sheetFormatPr defaultRowHeight="15" x14ac:dyDescent="0.25"/>
  <cols>
    <col min="4" max="4" width="9.5703125" bestFit="1" customWidth="1"/>
    <col min="9" max="9" width="10.42578125" customWidth="1"/>
    <col min="16" max="16" width="16" customWidth="1"/>
    <col min="17" max="17" width="9.7109375" bestFit="1" customWidth="1"/>
  </cols>
  <sheetData>
    <row r="4" spans="1:17" x14ac:dyDescent="0.25">
      <c r="D4" s="256" t="s">
        <v>85</v>
      </c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</row>
    <row r="5" spans="1:17" x14ac:dyDescent="0.25">
      <c r="D5" s="255" t="s">
        <v>214</v>
      </c>
      <c r="E5" s="255"/>
      <c r="F5" s="255"/>
      <c r="G5" s="255"/>
      <c r="H5" s="255"/>
      <c r="I5" s="255" t="s">
        <v>213</v>
      </c>
      <c r="J5" s="255"/>
      <c r="K5" s="255"/>
    </row>
    <row r="6" spans="1:17" x14ac:dyDescent="0.25">
      <c r="A6" s="230"/>
      <c r="B6" s="230"/>
      <c r="C6" s="230"/>
      <c r="D6" s="231">
        <v>42978</v>
      </c>
      <c r="E6" s="231">
        <v>43008</v>
      </c>
      <c r="F6" s="231">
        <v>43039</v>
      </c>
      <c r="G6" s="231">
        <v>43069</v>
      </c>
      <c r="H6" s="231">
        <v>43100</v>
      </c>
      <c r="I6" s="231">
        <v>43131</v>
      </c>
      <c r="J6" s="231">
        <v>43159</v>
      </c>
      <c r="K6" s="231">
        <v>43190</v>
      </c>
      <c r="L6" s="231">
        <v>43191</v>
      </c>
      <c r="M6" s="231">
        <v>43251</v>
      </c>
      <c r="N6" s="231">
        <v>43281</v>
      </c>
      <c r="O6" s="231">
        <v>43312</v>
      </c>
      <c r="P6" s="247" t="s">
        <v>221</v>
      </c>
      <c r="Q6" s="248" t="s">
        <v>218</v>
      </c>
    </row>
    <row r="7" spans="1:17" x14ac:dyDescent="0.25">
      <c r="A7" s="232"/>
      <c r="B7" s="232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3"/>
    </row>
    <row r="8" spans="1:17" x14ac:dyDescent="0.25">
      <c r="A8" s="234" t="s">
        <v>200</v>
      </c>
      <c r="B8" s="234"/>
      <c r="C8" s="234"/>
      <c r="D8" s="235">
        <f>+'Single Family 2018 '!E11</f>
        <v>228.88</v>
      </c>
      <c r="E8" s="235">
        <f>+'Single Family 2018 '!E12</f>
        <v>214.01</v>
      </c>
      <c r="F8" s="235">
        <f>+'Single Family 2018 '!E13</f>
        <v>212.16</v>
      </c>
      <c r="G8" s="235">
        <f>+'Single Family 2018 '!E14</f>
        <v>212.87</v>
      </c>
      <c r="H8" s="235">
        <f>+'Single Family 2018 '!E15</f>
        <v>236.3</v>
      </c>
      <c r="I8" s="235">
        <f>+'Single Family 2018 '!E16</f>
        <v>254.83</v>
      </c>
      <c r="J8" s="235">
        <f>+'Single Family 2018 '!E17</f>
        <v>178.41</v>
      </c>
      <c r="K8" s="235">
        <f>+'Single Family 2018 '!E18</f>
        <v>233.84</v>
      </c>
      <c r="L8" s="235">
        <f>+'Single Family 2018 '!E19</f>
        <v>191.15</v>
      </c>
      <c r="M8" s="235">
        <f>+'Single Family 2018 '!E20</f>
        <v>179.69</v>
      </c>
      <c r="N8" s="235">
        <f>+'Single Family 2018 '!E21</f>
        <v>202.43</v>
      </c>
      <c r="O8" s="235">
        <f>+'Single Family 2018 '!E22</f>
        <v>226.63</v>
      </c>
      <c r="P8" s="235">
        <f>SUM(D8:O8)</f>
        <v>2571.1999999999998</v>
      </c>
      <c r="Q8" s="233"/>
    </row>
    <row r="9" spans="1:17" x14ac:dyDescent="0.25">
      <c r="A9" s="234"/>
      <c r="B9" s="234"/>
      <c r="C9" s="234"/>
      <c r="D9" s="234"/>
      <c r="E9" s="234"/>
      <c r="F9" s="234"/>
      <c r="G9" s="234"/>
      <c r="H9" s="234"/>
      <c r="I9" s="232"/>
      <c r="J9" s="232"/>
      <c r="K9" s="232"/>
      <c r="L9" s="232"/>
      <c r="M9" s="232"/>
      <c r="N9" s="232"/>
      <c r="O9" s="232"/>
      <c r="P9" s="232"/>
      <c r="Q9" s="233"/>
    </row>
    <row r="10" spans="1:17" x14ac:dyDescent="0.25">
      <c r="A10" s="234" t="s">
        <v>19</v>
      </c>
      <c r="B10" s="234"/>
      <c r="C10" s="234"/>
      <c r="D10" s="236">
        <f>+'Single Family 2018 '!C11</f>
        <v>6443</v>
      </c>
      <c r="E10" s="236">
        <f>+'Single Family 2018 '!C12</f>
        <v>6446</v>
      </c>
      <c r="F10" s="236">
        <f>+'Single Family 2018 '!C13</f>
        <v>6460</v>
      </c>
      <c r="G10" s="236">
        <f>+'Single Family 2018 '!C14</f>
        <v>6467</v>
      </c>
      <c r="H10" s="236">
        <f>+'Single Family 2018 '!C15</f>
        <v>6480</v>
      </c>
      <c r="I10" s="236">
        <f>+'Single Family 2018 '!C16</f>
        <v>6496</v>
      </c>
      <c r="J10" s="236">
        <f>+'Single Family 2018 '!C17</f>
        <v>6508</v>
      </c>
      <c r="K10" s="236">
        <f>+'Single Family 2018 '!C18</f>
        <v>6509</v>
      </c>
      <c r="L10" s="236">
        <f>+'Single Family 2018 '!C19</f>
        <v>6508</v>
      </c>
      <c r="M10" s="236">
        <f>+'Single Family 2018 '!C20</f>
        <v>6529</v>
      </c>
      <c r="N10" s="236">
        <f>+'Single Family 2018 '!C21</f>
        <v>6552</v>
      </c>
      <c r="O10" s="236">
        <f>+'Single Family 2018 '!C22</f>
        <v>6554</v>
      </c>
      <c r="P10" s="236">
        <f>SUM(D10:O10)</f>
        <v>77952</v>
      </c>
      <c r="Q10" s="246">
        <f>SUM(J10:O10)</f>
        <v>39160</v>
      </c>
    </row>
    <row r="11" spans="1:17" x14ac:dyDescent="0.25">
      <c r="A11" s="234"/>
      <c r="B11" s="234"/>
      <c r="C11" s="234"/>
      <c r="D11" s="234"/>
      <c r="E11" s="234"/>
      <c r="F11" s="234"/>
      <c r="G11" s="234"/>
      <c r="H11" s="234"/>
      <c r="I11" s="232"/>
      <c r="J11" s="232"/>
      <c r="K11" s="232"/>
      <c r="L11" s="232"/>
      <c r="M11" s="232"/>
      <c r="N11" s="232"/>
      <c r="O11" s="232"/>
      <c r="P11" s="232"/>
      <c r="Q11" s="233"/>
    </row>
    <row r="12" spans="1:17" x14ac:dyDescent="0.25">
      <c r="A12" s="234" t="s">
        <v>201</v>
      </c>
      <c r="B12" s="234"/>
      <c r="C12" s="234"/>
      <c r="D12" s="237">
        <f t="shared" ref="D12:H12" si="0">D8/D10</f>
        <v>3.5523824305447774E-2</v>
      </c>
      <c r="E12" s="237">
        <f t="shared" si="0"/>
        <v>3.3200434377908782E-2</v>
      </c>
      <c r="F12" s="237">
        <f t="shared" si="0"/>
        <v>3.2842105263157895E-2</v>
      </c>
      <c r="G12" s="237">
        <f t="shared" si="0"/>
        <v>3.2916344518323801E-2</v>
      </c>
      <c r="H12" s="237">
        <f t="shared" si="0"/>
        <v>3.6466049382716054E-2</v>
      </c>
      <c r="I12" s="237">
        <f t="shared" ref="I12:K12" si="1">I8/I10</f>
        <v>3.9228756157635471E-2</v>
      </c>
      <c r="J12" s="237">
        <f t="shared" si="1"/>
        <v>2.7413952059004303E-2</v>
      </c>
      <c r="K12" s="237">
        <f t="shared" si="1"/>
        <v>3.5925641419572898E-2</v>
      </c>
      <c r="L12" s="237">
        <f t="shared" ref="L12:O12" si="2">L8/L10</f>
        <v>2.9371542716656422E-2</v>
      </c>
      <c r="M12" s="237">
        <f t="shared" si="2"/>
        <v>2.7521825700719864E-2</v>
      </c>
      <c r="N12" s="237">
        <f t="shared" si="2"/>
        <v>3.0895909645909648E-2</v>
      </c>
      <c r="O12" s="237">
        <f t="shared" si="2"/>
        <v>3.4578883124809279E-2</v>
      </c>
      <c r="P12" s="244">
        <f>SUM(D12:O12)/12</f>
        <v>3.2990439055988516E-2</v>
      </c>
      <c r="Q12" s="233"/>
    </row>
    <row r="13" spans="1:17" x14ac:dyDescent="0.25">
      <c r="A13" s="234"/>
      <c r="B13" s="234"/>
      <c r="C13" s="234"/>
      <c r="D13" s="234"/>
      <c r="E13" s="234"/>
      <c r="F13" s="234"/>
      <c r="G13" s="234"/>
      <c r="H13" s="234"/>
      <c r="I13" s="232"/>
      <c r="J13" s="232"/>
      <c r="K13" s="232"/>
      <c r="L13" s="232"/>
      <c r="M13" s="232"/>
      <c r="N13" s="232"/>
      <c r="O13" s="232"/>
      <c r="P13" s="232"/>
      <c r="Q13" s="233"/>
    </row>
    <row r="14" spans="1:17" x14ac:dyDescent="0.25">
      <c r="A14" s="234" t="s">
        <v>202</v>
      </c>
      <c r="B14" s="234"/>
      <c r="C14" s="234"/>
      <c r="D14" s="235">
        <f>+'Single Family 2018 '!F11</f>
        <v>-19.47</v>
      </c>
      <c r="E14" s="235">
        <f>+'Single Family 2018 '!F12</f>
        <v>-45.47</v>
      </c>
      <c r="F14" s="235">
        <f>+'Single Family 2018 '!F13</f>
        <v>-84.97</v>
      </c>
      <c r="G14" s="235">
        <f>+'Single Family 2018 '!F14</f>
        <v>-61.97</v>
      </c>
      <c r="H14" s="235">
        <f>+'Single Family 2018 '!F15</f>
        <v>-64.47</v>
      </c>
      <c r="I14" s="235">
        <f>+'Single Family 2018 '!F16</f>
        <v>-70.27</v>
      </c>
      <c r="J14" s="235">
        <f>+'Single Family 2018 '!F17</f>
        <v>-98.77</v>
      </c>
      <c r="K14" s="235">
        <f>+'Single Family 2018 '!F18</f>
        <v>-133.27000000000001</v>
      </c>
      <c r="L14" s="235">
        <f>+'Single Family 2018 '!F19</f>
        <v>-137.30000000000001</v>
      </c>
      <c r="M14" s="235">
        <f>+'Single Family 2018 '!F20</f>
        <v>-147.35</v>
      </c>
      <c r="N14" s="235">
        <f>+'Single Family 2018 '!F21</f>
        <v>-141.75</v>
      </c>
      <c r="O14" s="235">
        <f>+'Single Family 2018 '!F22</f>
        <v>-140.19999999999999</v>
      </c>
      <c r="P14" s="232"/>
      <c r="Q14" s="233"/>
    </row>
    <row r="15" spans="1:17" x14ac:dyDescent="0.25">
      <c r="A15" s="234"/>
      <c r="B15" s="234"/>
      <c r="C15" s="234"/>
      <c r="D15" s="234"/>
      <c r="E15" s="234"/>
      <c r="F15" s="234"/>
      <c r="G15" s="234"/>
      <c r="H15" s="234"/>
      <c r="I15" s="235"/>
      <c r="J15" s="235"/>
      <c r="K15" s="235"/>
      <c r="L15" s="235"/>
      <c r="M15" s="235"/>
      <c r="N15" s="235"/>
      <c r="O15" s="235"/>
      <c r="P15" s="232"/>
      <c r="Q15" s="233"/>
    </row>
    <row r="16" spans="1:17" x14ac:dyDescent="0.25">
      <c r="A16" s="234" t="s">
        <v>203</v>
      </c>
      <c r="B16" s="234"/>
      <c r="C16" s="234"/>
      <c r="D16" s="235">
        <f t="shared" ref="D16:H16" si="3">D12*D14</f>
        <v>-0.69164885922706809</v>
      </c>
      <c r="E16" s="235">
        <f t="shared" si="3"/>
        <v>-1.5096237511635122</v>
      </c>
      <c r="F16" s="235">
        <f t="shared" si="3"/>
        <v>-2.7905936842105263</v>
      </c>
      <c r="G16" s="235">
        <f t="shared" si="3"/>
        <v>-2.0398258698005258</v>
      </c>
      <c r="H16" s="235">
        <f t="shared" si="3"/>
        <v>-2.3509662037037038</v>
      </c>
      <c r="I16" s="235">
        <f t="shared" ref="I16:K16" si="4">I12*I14</f>
        <v>-2.7566046951970442</v>
      </c>
      <c r="J16" s="235">
        <f t="shared" si="4"/>
        <v>-2.707676044867855</v>
      </c>
      <c r="K16" s="235">
        <f t="shared" si="4"/>
        <v>-4.7878102319864801</v>
      </c>
      <c r="L16" s="235">
        <f t="shared" ref="L16:O16" si="5">L12*L14</f>
        <v>-4.0327128149969269</v>
      </c>
      <c r="M16" s="235">
        <f t="shared" si="5"/>
        <v>-4.055341017001072</v>
      </c>
      <c r="N16" s="235">
        <f t="shared" si="5"/>
        <v>-4.3794951923076928</v>
      </c>
      <c r="O16" s="235">
        <f t="shared" si="5"/>
        <v>-4.8479594140982609</v>
      </c>
      <c r="P16" s="232"/>
      <c r="Q16" s="233"/>
    </row>
    <row r="17" spans="1:19" x14ac:dyDescent="0.25">
      <c r="A17" s="234" t="s">
        <v>204</v>
      </c>
      <c r="B17" s="234"/>
      <c r="C17" s="234"/>
      <c r="D17" s="235">
        <v>-0.34</v>
      </c>
      <c r="E17" s="235">
        <v>-0.34</v>
      </c>
      <c r="F17" s="235">
        <v>-0.34</v>
      </c>
      <c r="G17" s="235">
        <v>-0.34</v>
      </c>
      <c r="H17" s="235">
        <v>-0.34</v>
      </c>
      <c r="I17" s="235">
        <v>-0.34</v>
      </c>
      <c r="J17" s="235">
        <v>-0.34</v>
      </c>
      <c r="K17" s="235">
        <v>-0.34</v>
      </c>
      <c r="L17" s="235">
        <v>-0.99</v>
      </c>
      <c r="M17" s="235">
        <v>-0.99</v>
      </c>
      <c r="N17" s="235">
        <v>-0.99</v>
      </c>
      <c r="O17" s="235">
        <v>-0.99</v>
      </c>
      <c r="P17" s="232"/>
      <c r="Q17" s="233"/>
    </row>
    <row r="18" spans="1:19" x14ac:dyDescent="0.25">
      <c r="A18" s="232"/>
      <c r="B18" s="232"/>
      <c r="C18" s="232"/>
      <c r="D18" s="232"/>
      <c r="E18" s="232"/>
      <c r="F18" s="232"/>
      <c r="G18" s="232"/>
      <c r="H18" s="232"/>
      <c r="I18" s="235"/>
      <c r="J18" s="235"/>
      <c r="K18" s="235"/>
      <c r="L18" s="235"/>
      <c r="M18" s="235"/>
      <c r="N18" s="235"/>
      <c r="O18" s="235"/>
      <c r="P18" s="232"/>
      <c r="Q18" s="233"/>
    </row>
    <row r="19" spans="1:19" x14ac:dyDescent="0.25">
      <c r="A19" s="234" t="s">
        <v>205</v>
      </c>
      <c r="B19" s="234"/>
      <c r="C19" s="234"/>
      <c r="D19" s="238">
        <f t="shared" ref="D19:H19" si="6">+D17*D10</f>
        <v>-2190.6200000000003</v>
      </c>
      <c r="E19" s="238">
        <f t="shared" si="6"/>
        <v>-2191.6400000000003</v>
      </c>
      <c r="F19" s="238">
        <f t="shared" si="6"/>
        <v>-2196.4</v>
      </c>
      <c r="G19" s="238">
        <f t="shared" si="6"/>
        <v>-2198.7800000000002</v>
      </c>
      <c r="H19" s="238">
        <f t="shared" si="6"/>
        <v>-2203.2000000000003</v>
      </c>
      <c r="I19" s="238">
        <f t="shared" ref="I19:K19" si="7">+I17*I10</f>
        <v>-2208.6400000000003</v>
      </c>
      <c r="J19" s="238">
        <f t="shared" si="7"/>
        <v>-2212.7200000000003</v>
      </c>
      <c r="K19" s="238">
        <f t="shared" si="7"/>
        <v>-2213.06</v>
      </c>
      <c r="L19" s="238">
        <f t="shared" ref="L19:O19" si="8">+L17*L10</f>
        <v>-6442.92</v>
      </c>
      <c r="M19" s="238">
        <f t="shared" si="8"/>
        <v>-6463.71</v>
      </c>
      <c r="N19" s="238">
        <f t="shared" si="8"/>
        <v>-6486.48</v>
      </c>
      <c r="O19" s="238">
        <f t="shared" si="8"/>
        <v>-6488.46</v>
      </c>
      <c r="P19" s="239">
        <f>SUM(D19:O19)</f>
        <v>-43496.63</v>
      </c>
      <c r="Q19" s="233"/>
      <c r="S19" t="s">
        <v>219</v>
      </c>
    </row>
    <row r="20" spans="1:19" x14ac:dyDescent="0.25">
      <c r="A20" s="234" t="s">
        <v>206</v>
      </c>
      <c r="B20" s="234"/>
      <c r="C20" s="234"/>
      <c r="D20" s="238">
        <f>+D14*D8+'Multi-Family 2018 '!$F32/12</f>
        <v>-1815.9914635878254</v>
      </c>
      <c r="E20" s="238">
        <f>+E14*E8+'Multi-Family 2018 '!$F32/12</f>
        <v>-7090.732563587826</v>
      </c>
      <c r="F20" s="238">
        <f>+F14*F8+'Multi-Family 2018 '!$F32/12</f>
        <v>-15386.933063587825</v>
      </c>
      <c r="G20" s="238">
        <f>+G14*G8+'Multi-Family 2018 '!$F32/12</f>
        <v>-10551.251763587827</v>
      </c>
      <c r="H20" s="238">
        <f>+H14*H8+'Multi-Family 2018 '!$F32/12</f>
        <v>-12593.958863587826</v>
      </c>
      <c r="I20" s="238">
        <f>+I14*I8+'Multi-Family 2018 '!$F32/12</f>
        <v>-15266.601963587826</v>
      </c>
      <c r="J20" s="238">
        <f>+J14*J8+'Multi-Family 2018 '!$F32/12</f>
        <v>-14981.253563587823</v>
      </c>
      <c r="K20" s="238">
        <f>+K14*K8+'Multi-Family 2018 '!$F32/12</f>
        <v>-28523.554663587827</v>
      </c>
      <c r="L20" s="238">
        <f>+L14*L8+'Multi-Family 2018 '!$F32/12</f>
        <v>-23604.59286358783</v>
      </c>
      <c r="M20" s="238">
        <f>+M14*M8+'Multi-Family 2018 '!$F32/12</f>
        <v>-23837.019363587824</v>
      </c>
      <c r="N20" s="238">
        <f>+N14*N8+'Multi-Family 2018 '!$F32/12</f>
        <v>-26054.150363587825</v>
      </c>
      <c r="O20" s="238">
        <f>+O14*O8+'Multi-Family 2018 '!$F32/12</f>
        <v>-29133.223863587824</v>
      </c>
      <c r="P20" s="239">
        <f>SUM(D20:O20)</f>
        <v>-208839.2643630539</v>
      </c>
      <c r="Q20" s="240">
        <f>SUM(J20:O20)</f>
        <v>-146133.79468152695</v>
      </c>
      <c r="S20">
        <f>+'Multi-Family 2018 '!F32</f>
        <v>31683.625636946097</v>
      </c>
    </row>
    <row r="21" spans="1:19" x14ac:dyDescent="0.25">
      <c r="A21" s="234" t="s">
        <v>207</v>
      </c>
      <c r="B21" s="234"/>
      <c r="C21" s="234"/>
      <c r="D21" s="238">
        <f t="shared" ref="D21:H21" si="9">+D19-D20</f>
        <v>-374.62853641217498</v>
      </c>
      <c r="E21" s="238">
        <f t="shared" si="9"/>
        <v>4899.0925635878257</v>
      </c>
      <c r="F21" s="238">
        <f t="shared" si="9"/>
        <v>13190.533063587825</v>
      </c>
      <c r="G21" s="238">
        <f t="shared" si="9"/>
        <v>8352.471763587826</v>
      </c>
      <c r="H21" s="238">
        <f t="shared" si="9"/>
        <v>10390.758863587826</v>
      </c>
      <c r="I21" s="238">
        <f t="shared" ref="I21:K21" si="10">+I19-I20</f>
        <v>13057.961963587826</v>
      </c>
      <c r="J21" s="238">
        <f t="shared" si="10"/>
        <v>12768.533563587822</v>
      </c>
      <c r="K21" s="238">
        <f t="shared" si="10"/>
        <v>26310.494663587826</v>
      </c>
      <c r="L21" s="238">
        <f t="shared" ref="L21:O21" si="11">+L19-L20</f>
        <v>17161.672863587832</v>
      </c>
      <c r="M21" s="238">
        <f t="shared" si="11"/>
        <v>17373.309363587825</v>
      </c>
      <c r="N21" s="238">
        <f t="shared" si="11"/>
        <v>19567.670363587826</v>
      </c>
      <c r="O21" s="238">
        <f t="shared" si="11"/>
        <v>22644.763863587825</v>
      </c>
      <c r="P21" s="239">
        <f>SUM(D21:O21)</f>
        <v>165342.63436305389</v>
      </c>
      <c r="Q21" s="233"/>
      <c r="S21">
        <f>+'Single Family 2018 '!G28</f>
        <v>-240522.89</v>
      </c>
    </row>
    <row r="22" spans="1:19" x14ac:dyDescent="0.25">
      <c r="A22" s="232"/>
      <c r="B22" s="232"/>
      <c r="C22" s="232"/>
      <c r="D22" s="232"/>
      <c r="E22" s="232"/>
      <c r="F22" s="232"/>
      <c r="G22" s="232"/>
      <c r="H22" s="232"/>
      <c r="I22" s="232"/>
      <c r="J22" s="232"/>
      <c r="K22" s="232"/>
      <c r="L22" s="238"/>
      <c r="M22" s="238"/>
      <c r="N22" s="238"/>
      <c r="O22" s="238"/>
      <c r="P22" s="232"/>
      <c r="Q22" s="240"/>
      <c r="S22">
        <f>SUM(S20:S21)</f>
        <v>-208839.26436305392</v>
      </c>
    </row>
    <row r="23" spans="1:19" x14ac:dyDescent="0.25">
      <c r="A23" s="234" t="s">
        <v>208</v>
      </c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5"/>
      <c r="M23" s="235"/>
      <c r="N23" s="235"/>
      <c r="O23" s="235"/>
      <c r="P23" s="235">
        <f>(Q20/Q10)</f>
        <v>-3.7317107937059997</v>
      </c>
      <c r="Q23" s="233"/>
    </row>
    <row r="24" spans="1:19" x14ac:dyDescent="0.25">
      <c r="A24" s="234" t="s">
        <v>209</v>
      </c>
      <c r="B24" s="234"/>
      <c r="C24" s="234"/>
      <c r="D24" s="234"/>
      <c r="E24" s="234"/>
      <c r="F24" s="234"/>
      <c r="G24" s="234"/>
      <c r="H24" s="234"/>
      <c r="I24" s="234"/>
      <c r="J24" s="234"/>
      <c r="K24" s="234"/>
      <c r="L24" s="235"/>
      <c r="M24" s="235"/>
      <c r="N24" s="235"/>
      <c r="O24" s="235"/>
      <c r="P24" s="235">
        <f>+(P21/12/O10)</f>
        <v>2.1023120023783681</v>
      </c>
      <c r="Q24" s="233"/>
    </row>
    <row r="25" spans="1:19" x14ac:dyDescent="0.25">
      <c r="A25" s="232"/>
      <c r="B25" s="232"/>
      <c r="C25" s="232"/>
      <c r="D25" s="232"/>
      <c r="E25" s="232"/>
      <c r="F25" s="232"/>
      <c r="G25" s="232"/>
      <c r="H25" s="232"/>
      <c r="I25" s="232"/>
      <c r="J25" s="232"/>
      <c r="K25" s="232"/>
      <c r="L25" s="238"/>
      <c r="M25" s="238"/>
      <c r="N25" s="238"/>
      <c r="O25" s="238"/>
      <c r="P25" s="232"/>
      <c r="Q25" s="233"/>
    </row>
    <row r="26" spans="1:19" x14ac:dyDescent="0.25">
      <c r="A26" s="234" t="s">
        <v>210</v>
      </c>
      <c r="B26" s="234"/>
      <c r="C26" s="234"/>
      <c r="D26" s="234"/>
      <c r="E26" s="234"/>
      <c r="F26" s="234"/>
      <c r="G26" s="234"/>
      <c r="H26" s="234"/>
      <c r="I26" s="234"/>
      <c r="J26" s="234"/>
      <c r="K26" s="234"/>
      <c r="L26" s="232"/>
      <c r="M26" s="232"/>
      <c r="N26" s="232"/>
      <c r="O26" s="232"/>
      <c r="P26" s="241">
        <f>+P23-P24</f>
        <v>-5.8340227960843674</v>
      </c>
      <c r="Q26" s="245" t="s">
        <v>220</v>
      </c>
    </row>
    <row r="27" spans="1:19" x14ac:dyDescent="0.25">
      <c r="A27" s="232"/>
      <c r="B27" s="232"/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3"/>
    </row>
    <row r="28" spans="1:19" x14ac:dyDescent="0.25">
      <c r="A28" s="242" t="s">
        <v>211</v>
      </c>
      <c r="B28" s="242"/>
      <c r="C28" s="242"/>
      <c r="D28" s="242"/>
      <c r="E28" s="242"/>
      <c r="F28" s="242"/>
      <c r="G28" s="242"/>
      <c r="H28" s="242"/>
      <c r="I28" s="242"/>
      <c r="J28" s="242"/>
      <c r="K28" s="242"/>
      <c r="L28" s="232"/>
      <c r="M28" s="232"/>
      <c r="N28" s="232"/>
      <c r="O28" s="232"/>
      <c r="P28" s="241">
        <v>-1.3</v>
      </c>
      <c r="Q28" s="233"/>
    </row>
    <row r="29" spans="1:19" x14ac:dyDescent="0.25">
      <c r="A29" s="232"/>
      <c r="B29" s="232"/>
      <c r="C29" s="232"/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3"/>
    </row>
    <row r="30" spans="1:19" x14ac:dyDescent="0.25">
      <c r="A30" s="242" t="s">
        <v>212</v>
      </c>
      <c r="B30" s="242"/>
      <c r="C30" s="242"/>
      <c r="D30" s="242"/>
      <c r="E30" s="242"/>
      <c r="F30" s="242"/>
      <c r="G30" s="242"/>
      <c r="H30" s="242"/>
      <c r="I30" s="242"/>
      <c r="J30" s="242"/>
      <c r="K30" s="242"/>
      <c r="L30" s="232"/>
      <c r="M30" s="232"/>
      <c r="N30" s="232"/>
      <c r="O30" s="232"/>
      <c r="P30" s="243">
        <f>+(P26-P28)*P10</f>
        <v>-353436.14500036859</v>
      </c>
      <c r="Q30" s="233"/>
    </row>
    <row r="31" spans="1:19" x14ac:dyDescent="0.25">
      <c r="A31" s="233"/>
      <c r="B31" s="233"/>
      <c r="C31" s="233"/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</row>
    <row r="32" spans="1:19" x14ac:dyDescent="0.25">
      <c r="A32" s="233"/>
      <c r="B32" s="233"/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3"/>
    </row>
    <row r="34" spans="1:17" x14ac:dyDescent="0.25">
      <c r="D34" s="256" t="s">
        <v>222</v>
      </c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</row>
    <row r="35" spans="1:17" x14ac:dyDescent="0.25">
      <c r="D35" s="255" t="s">
        <v>214</v>
      </c>
      <c r="E35" s="255"/>
      <c r="F35" s="255"/>
      <c r="G35" s="255"/>
      <c r="H35" s="255"/>
      <c r="I35" s="255" t="s">
        <v>213</v>
      </c>
      <c r="J35" s="255"/>
      <c r="K35" s="255"/>
    </row>
    <row r="36" spans="1:17" x14ac:dyDescent="0.25">
      <c r="A36" s="230"/>
      <c r="B36" s="230"/>
      <c r="C36" s="230"/>
      <c r="D36" s="231">
        <v>42978</v>
      </c>
      <c r="E36" s="231">
        <v>43008</v>
      </c>
      <c r="F36" s="231">
        <v>43039</v>
      </c>
      <c r="G36" s="231">
        <v>43069</v>
      </c>
      <c r="H36" s="231">
        <v>43100</v>
      </c>
      <c r="I36" s="231">
        <v>43131</v>
      </c>
      <c r="J36" s="231">
        <v>43159</v>
      </c>
      <c r="K36" s="231">
        <v>43190</v>
      </c>
      <c r="L36" s="231">
        <v>43191</v>
      </c>
      <c r="M36" s="231">
        <v>43251</v>
      </c>
      <c r="N36" s="231">
        <v>43281</v>
      </c>
      <c r="O36" s="231">
        <v>43312</v>
      </c>
      <c r="P36" s="247" t="s">
        <v>221</v>
      </c>
      <c r="Q36" s="248" t="s">
        <v>218</v>
      </c>
    </row>
    <row r="37" spans="1:17" x14ac:dyDescent="0.25">
      <c r="A37" s="232"/>
      <c r="B37" s="232"/>
      <c r="C37" s="232"/>
      <c r="D37" s="23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3"/>
    </row>
    <row r="38" spans="1:17" ht="15.75" x14ac:dyDescent="0.25">
      <c r="A38" s="234" t="s">
        <v>200</v>
      </c>
      <c r="B38" s="234"/>
      <c r="C38" s="234"/>
      <c r="D38" s="235">
        <v>9.19</v>
      </c>
      <c r="E38" s="235">
        <v>17.91</v>
      </c>
      <c r="F38" s="235">
        <v>15.39</v>
      </c>
      <c r="G38" s="235">
        <v>28.58</v>
      </c>
      <c r="H38" s="235">
        <v>22.9</v>
      </c>
      <c r="I38" s="235">
        <v>7.04</v>
      </c>
      <c r="J38" s="235">
        <v>8.6300000000000008</v>
      </c>
      <c r="K38" s="235">
        <v>15.05</v>
      </c>
      <c r="L38" s="235">
        <v>10.47</v>
      </c>
      <c r="M38" s="235">
        <v>16.649999999999999</v>
      </c>
      <c r="N38" s="235">
        <v>12.79</v>
      </c>
      <c r="O38" s="235">
        <v>15.08</v>
      </c>
      <c r="P38" s="71">
        <f>SUM(D38:O38)</f>
        <v>179.68</v>
      </c>
      <c r="Q38" s="233"/>
    </row>
    <row r="39" spans="1:17" x14ac:dyDescent="0.25">
      <c r="A39" s="234"/>
      <c r="B39" s="234"/>
      <c r="C39" s="234"/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2"/>
      <c r="Q39" s="233"/>
    </row>
    <row r="40" spans="1:17" ht="15.75" x14ac:dyDescent="0.25">
      <c r="A40" s="234" t="s">
        <v>19</v>
      </c>
      <c r="B40" s="234"/>
      <c r="C40" s="234"/>
      <c r="D40" s="236">
        <v>1561</v>
      </c>
      <c r="E40" s="236">
        <v>1561</v>
      </c>
      <c r="F40" s="236">
        <v>1561</v>
      </c>
      <c r="G40" s="236">
        <v>1561</v>
      </c>
      <c r="H40" s="236">
        <v>1561</v>
      </c>
      <c r="I40" s="236">
        <v>1561</v>
      </c>
      <c r="J40" s="236">
        <v>1561</v>
      </c>
      <c r="K40" s="236">
        <v>1561</v>
      </c>
      <c r="L40" s="236">
        <v>1561</v>
      </c>
      <c r="M40" s="236">
        <v>1561</v>
      </c>
      <c r="N40" s="236">
        <v>1561</v>
      </c>
      <c r="O40" s="236">
        <v>1561</v>
      </c>
      <c r="P40" s="186">
        <f>SUM(D40:O40)</f>
        <v>18732</v>
      </c>
      <c r="Q40" s="246">
        <f>SUM(J40:O40)</f>
        <v>9366</v>
      </c>
    </row>
    <row r="41" spans="1:17" x14ac:dyDescent="0.25">
      <c r="A41" s="234"/>
      <c r="B41" s="234"/>
      <c r="C41" s="234"/>
      <c r="D41" s="234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2"/>
      <c r="Q41" s="233"/>
    </row>
    <row r="42" spans="1:17" x14ac:dyDescent="0.25">
      <c r="A42" s="234" t="s">
        <v>201</v>
      </c>
      <c r="B42" s="234"/>
      <c r="C42" s="234"/>
      <c r="D42" s="237">
        <f t="shared" ref="D42:O42" si="12">D38/D40</f>
        <v>5.8872517616912236E-3</v>
      </c>
      <c r="E42" s="237">
        <f t="shared" si="12"/>
        <v>1.1473414477898783E-2</v>
      </c>
      <c r="F42" s="237">
        <f t="shared" si="12"/>
        <v>9.8590647021140291E-3</v>
      </c>
      <c r="G42" s="237">
        <f t="shared" si="12"/>
        <v>1.8308776425368354E-2</v>
      </c>
      <c r="H42" s="237">
        <f t="shared" si="12"/>
        <v>1.467008327994875E-2</v>
      </c>
      <c r="I42" s="237">
        <f t="shared" si="12"/>
        <v>4.5099295323510567E-3</v>
      </c>
      <c r="J42" s="237">
        <f t="shared" si="12"/>
        <v>5.5285073670723901E-3</v>
      </c>
      <c r="K42" s="237">
        <f t="shared" si="12"/>
        <v>9.6412556053811667E-3</v>
      </c>
      <c r="L42" s="237">
        <f t="shared" si="12"/>
        <v>6.7072389493914161E-3</v>
      </c>
      <c r="M42" s="237">
        <f t="shared" si="12"/>
        <v>1.0666239590006406E-2</v>
      </c>
      <c r="N42" s="237">
        <f t="shared" si="12"/>
        <v>8.1934657270980142E-3</v>
      </c>
      <c r="O42" s="237">
        <f t="shared" si="12"/>
        <v>9.6604740550928891E-3</v>
      </c>
      <c r="P42" s="244">
        <f>SUM(D42:O42)/12</f>
        <v>9.592141789451206E-3</v>
      </c>
      <c r="Q42" s="233"/>
    </row>
    <row r="43" spans="1:17" x14ac:dyDescent="0.25">
      <c r="A43" s="234"/>
      <c r="B43" s="234"/>
      <c r="C43" s="234"/>
      <c r="D43" s="234"/>
      <c r="E43" s="234"/>
      <c r="F43" s="234"/>
      <c r="G43" s="234"/>
      <c r="H43" s="234"/>
      <c r="I43" s="232"/>
      <c r="J43" s="232"/>
      <c r="K43" s="232"/>
      <c r="L43" s="232"/>
      <c r="M43" s="232"/>
      <c r="N43" s="232"/>
      <c r="O43" s="232"/>
      <c r="P43" s="232"/>
      <c r="Q43" s="233"/>
    </row>
    <row r="44" spans="1:17" x14ac:dyDescent="0.25">
      <c r="A44" s="234" t="s">
        <v>202</v>
      </c>
      <c r="B44" s="234"/>
      <c r="C44" s="234"/>
      <c r="D44" s="235">
        <v>-19.47</v>
      </c>
      <c r="E44" s="235">
        <v>-45.47</v>
      </c>
      <c r="F44" s="235">
        <v>-84.97</v>
      </c>
      <c r="G44" s="235">
        <v>-61.97</v>
      </c>
      <c r="H44" s="235">
        <v>-64.47</v>
      </c>
      <c r="I44" s="235">
        <v>-70.27</v>
      </c>
      <c r="J44" s="235">
        <v>-98.77</v>
      </c>
      <c r="K44" s="235">
        <v>-133.27000000000001</v>
      </c>
      <c r="L44" s="235">
        <v>-137.30000000000001</v>
      </c>
      <c r="M44" s="235">
        <v>-147.35</v>
      </c>
      <c r="N44" s="235">
        <v>-141.75</v>
      </c>
      <c r="O44" s="235">
        <v>-140.19999999999999</v>
      </c>
      <c r="P44" s="232"/>
      <c r="Q44" s="233"/>
    </row>
    <row r="45" spans="1:17" x14ac:dyDescent="0.25">
      <c r="A45" s="234"/>
      <c r="B45" s="234"/>
      <c r="C45" s="234"/>
      <c r="D45" s="234"/>
      <c r="E45" s="234"/>
      <c r="F45" s="234"/>
      <c r="G45" s="234"/>
      <c r="H45" s="234"/>
      <c r="I45" s="235"/>
      <c r="J45" s="235"/>
      <c r="K45" s="235"/>
      <c r="L45" s="235"/>
      <c r="M45" s="235"/>
      <c r="N45" s="235"/>
      <c r="O45" s="235"/>
      <c r="P45" s="232"/>
      <c r="Q45" s="233"/>
    </row>
    <row r="46" spans="1:17" x14ac:dyDescent="0.25">
      <c r="A46" s="234" t="s">
        <v>203</v>
      </c>
      <c r="B46" s="234"/>
      <c r="C46" s="234"/>
      <c r="D46" s="235">
        <f t="shared" ref="D46:O46" si="13">D42*D44</f>
        <v>-0.11462479180012812</v>
      </c>
      <c r="E46" s="235">
        <f t="shared" si="13"/>
        <v>-0.52169615631005761</v>
      </c>
      <c r="F46" s="235">
        <f t="shared" si="13"/>
        <v>-0.83772472773862905</v>
      </c>
      <c r="G46" s="235">
        <f t="shared" si="13"/>
        <v>-1.1345948750800769</v>
      </c>
      <c r="H46" s="235">
        <f t="shared" si="13"/>
        <v>-0.94578026905829593</v>
      </c>
      <c r="I46" s="235">
        <f t="shared" si="13"/>
        <v>-0.31691274823830873</v>
      </c>
      <c r="J46" s="235">
        <f t="shared" si="13"/>
        <v>-0.54605067264573992</v>
      </c>
      <c r="K46" s="235">
        <f t="shared" si="13"/>
        <v>-1.2848901345291481</v>
      </c>
      <c r="L46" s="235">
        <f t="shared" si="13"/>
        <v>-0.92090390775144149</v>
      </c>
      <c r="M46" s="235">
        <f t="shared" si="13"/>
        <v>-1.5716704035874438</v>
      </c>
      <c r="N46" s="235">
        <f t="shared" si="13"/>
        <v>-1.1614237668161436</v>
      </c>
      <c r="O46" s="235">
        <f t="shared" si="13"/>
        <v>-1.3543984625240229</v>
      </c>
      <c r="P46" s="232"/>
      <c r="Q46" s="233"/>
    </row>
    <row r="47" spans="1:17" x14ac:dyDescent="0.25">
      <c r="A47" s="234" t="s">
        <v>204</v>
      </c>
      <c r="B47" s="234"/>
      <c r="C47" s="234"/>
      <c r="D47" s="235">
        <v>-0.16</v>
      </c>
      <c r="E47" s="235">
        <v>-0.16</v>
      </c>
      <c r="F47" s="235">
        <v>-0.16</v>
      </c>
      <c r="G47" s="235">
        <v>-0.16</v>
      </c>
      <c r="H47" s="235">
        <v>-0.16</v>
      </c>
      <c r="I47" s="235">
        <v>-0.16</v>
      </c>
      <c r="J47" s="235">
        <v>-0.16</v>
      </c>
      <c r="K47" s="235">
        <v>-0.16</v>
      </c>
      <c r="L47" s="235">
        <v>-0.28000000000000003</v>
      </c>
      <c r="M47" s="235">
        <v>-0.28000000000000003</v>
      </c>
      <c r="N47" s="235">
        <v>-0.28000000000000003</v>
      </c>
      <c r="O47" s="235">
        <v>-0.28000000000000003</v>
      </c>
      <c r="P47" s="232"/>
      <c r="Q47" s="233"/>
    </row>
    <row r="48" spans="1:17" x14ac:dyDescent="0.25">
      <c r="A48" s="232"/>
      <c r="B48" s="232"/>
      <c r="C48" s="232"/>
      <c r="D48" s="232"/>
      <c r="E48" s="232"/>
      <c r="F48" s="232"/>
      <c r="G48" s="232"/>
      <c r="H48" s="232"/>
      <c r="I48" s="235"/>
      <c r="J48" s="235"/>
      <c r="K48" s="235"/>
      <c r="L48" s="235"/>
      <c r="M48" s="235"/>
      <c r="N48" s="235"/>
      <c r="O48" s="235"/>
      <c r="P48" s="232"/>
      <c r="Q48" s="233"/>
    </row>
    <row r="49" spans="1:19" x14ac:dyDescent="0.25">
      <c r="A49" s="234" t="s">
        <v>205</v>
      </c>
      <c r="B49" s="234"/>
      <c r="C49" s="234"/>
      <c r="D49" s="238">
        <f t="shared" ref="D49:O49" si="14">+D47*D40</f>
        <v>-249.76000000000002</v>
      </c>
      <c r="E49" s="238">
        <f t="shared" si="14"/>
        <v>-249.76000000000002</v>
      </c>
      <c r="F49" s="238">
        <f t="shared" si="14"/>
        <v>-249.76000000000002</v>
      </c>
      <c r="G49" s="238">
        <f t="shared" si="14"/>
        <v>-249.76000000000002</v>
      </c>
      <c r="H49" s="238">
        <f t="shared" si="14"/>
        <v>-249.76000000000002</v>
      </c>
      <c r="I49" s="238">
        <f t="shared" si="14"/>
        <v>-249.76000000000002</v>
      </c>
      <c r="J49" s="238">
        <f t="shared" si="14"/>
        <v>-249.76000000000002</v>
      </c>
      <c r="K49" s="238">
        <f t="shared" si="14"/>
        <v>-249.76000000000002</v>
      </c>
      <c r="L49" s="238">
        <f t="shared" si="14"/>
        <v>-437.08000000000004</v>
      </c>
      <c r="M49" s="238">
        <f t="shared" si="14"/>
        <v>-437.08000000000004</v>
      </c>
      <c r="N49" s="238">
        <f t="shared" si="14"/>
        <v>-437.08000000000004</v>
      </c>
      <c r="O49" s="238">
        <f t="shared" si="14"/>
        <v>-437.08000000000004</v>
      </c>
      <c r="P49" s="239">
        <f>SUM(D49:O49)</f>
        <v>-3746.4</v>
      </c>
      <c r="Q49" s="233"/>
      <c r="S49" t="s">
        <v>219</v>
      </c>
    </row>
    <row r="50" spans="1:19" x14ac:dyDescent="0.25">
      <c r="A50" s="234" t="s">
        <v>206</v>
      </c>
      <c r="B50" s="234"/>
      <c r="C50" s="234"/>
      <c r="D50" s="238">
        <f>+D44*D38+'Multi-Family 2018 '!$F33/12</f>
        <v>2.7685635878250991</v>
      </c>
      <c r="E50" s="238">
        <f>+E44*E38+'Multi-Family 2018 '!$F33/12</f>
        <v>-632.66983641217496</v>
      </c>
      <c r="F50" s="238">
        <f>+F44*F38+'Multi-Family 2018 '!$F33/12</f>
        <v>-1125.9904364121749</v>
      </c>
      <c r="G50" s="238">
        <f>+G44*G38+'Multi-Family 2018 '!$F33/12</f>
        <v>-1589.4047364121748</v>
      </c>
      <c r="H50" s="238">
        <f>+H44*H38+'Multi-Family 2018 '!$F33/12</f>
        <v>-1294.6651364121747</v>
      </c>
      <c r="I50" s="238">
        <f>+I44*I38+'Multi-Family 2018 '!$F33/12</f>
        <v>-313.0029364121749</v>
      </c>
      <c r="J50" s="238">
        <f>+J44*J38+'Multi-Family 2018 '!$F33/12</f>
        <v>-670.68723641217503</v>
      </c>
      <c r="K50" s="238">
        <f>+K44*K38+'Multi-Family 2018 '!$F33/12</f>
        <v>-1824.0156364121751</v>
      </c>
      <c r="L50" s="238">
        <f>+L44*L38+'Multi-Family 2018 '!$F33/12</f>
        <v>-1255.833136412175</v>
      </c>
      <c r="M50" s="238">
        <f>+M44*M38+'Multi-Family 2018 '!$F33/12</f>
        <v>-2271.6796364121747</v>
      </c>
      <c r="N50" s="238">
        <f>+N44*N38+'Multi-Family 2018 '!$F33/12</f>
        <v>-1631.2846364121747</v>
      </c>
      <c r="O50" s="238">
        <f>+O44*O38+'Multi-Family 2018 '!$F33/12</f>
        <v>-1932.5181364121747</v>
      </c>
      <c r="P50" s="239">
        <f>SUM(D50:O50)</f>
        <v>-14538.982936946097</v>
      </c>
      <c r="Q50" s="240">
        <f>SUM(J50:O50)</f>
        <v>-9586.0184184730497</v>
      </c>
      <c r="S50" s="239">
        <f>+'Multi-Family 2018 '!G28</f>
        <v>-16719.3573</v>
      </c>
    </row>
    <row r="51" spans="1:19" x14ac:dyDescent="0.25">
      <c r="A51" s="234" t="s">
        <v>207</v>
      </c>
      <c r="B51" s="234"/>
      <c r="C51" s="234"/>
      <c r="D51" s="238">
        <f t="shared" ref="D51:O51" si="15">+D49-D50</f>
        <v>-252.52856358782512</v>
      </c>
      <c r="E51" s="238">
        <f t="shared" si="15"/>
        <v>382.90983641217497</v>
      </c>
      <c r="F51" s="238">
        <f t="shared" si="15"/>
        <v>876.23043641217487</v>
      </c>
      <c r="G51" s="238">
        <f t="shared" si="15"/>
        <v>1339.6447364121748</v>
      </c>
      <c r="H51" s="238">
        <f t="shared" si="15"/>
        <v>1044.9051364121747</v>
      </c>
      <c r="I51" s="238">
        <f t="shared" si="15"/>
        <v>63.242936412174885</v>
      </c>
      <c r="J51" s="238">
        <f t="shared" si="15"/>
        <v>420.92723641217503</v>
      </c>
      <c r="K51" s="238">
        <f t="shared" si="15"/>
        <v>1574.2556364121751</v>
      </c>
      <c r="L51" s="238">
        <f t="shared" si="15"/>
        <v>818.75313641217497</v>
      </c>
      <c r="M51" s="238">
        <f t="shared" si="15"/>
        <v>1834.5996364121747</v>
      </c>
      <c r="N51" s="238">
        <f t="shared" si="15"/>
        <v>1194.2046364121748</v>
      </c>
      <c r="O51" s="238">
        <f t="shared" si="15"/>
        <v>1495.4381364121746</v>
      </c>
      <c r="P51" s="239">
        <f>SUM(D51:O51)</f>
        <v>10792.582936946097</v>
      </c>
      <c r="Q51" s="233"/>
      <c r="S51" s="239">
        <f>+'Multi-Family 2018 '!F33</f>
        <v>2180.3743630539011</v>
      </c>
    </row>
    <row r="52" spans="1:19" x14ac:dyDescent="0.25">
      <c r="A52" s="232"/>
      <c r="B52" s="232"/>
      <c r="C52" s="232"/>
      <c r="D52" s="232"/>
      <c r="E52" s="232"/>
      <c r="F52" s="232"/>
      <c r="G52" s="232"/>
      <c r="H52" s="232"/>
      <c r="I52" s="232"/>
      <c r="J52" s="232"/>
      <c r="K52" s="232"/>
      <c r="L52" s="238"/>
      <c r="M52" s="238"/>
      <c r="N52" s="238"/>
      <c r="O52" s="238"/>
      <c r="P52" s="232"/>
      <c r="Q52" s="240"/>
      <c r="S52" s="239">
        <f>SUM(S50:S51)</f>
        <v>-14538.982936946099</v>
      </c>
    </row>
    <row r="53" spans="1:19" x14ac:dyDescent="0.25">
      <c r="A53" s="234" t="s">
        <v>208</v>
      </c>
      <c r="B53" s="234"/>
      <c r="C53" s="234"/>
      <c r="D53" s="234"/>
      <c r="E53" s="234"/>
      <c r="F53" s="234"/>
      <c r="G53" s="234"/>
      <c r="H53" s="234"/>
      <c r="I53" s="234"/>
      <c r="J53" s="234"/>
      <c r="K53" s="234"/>
      <c r="L53" s="235"/>
      <c r="M53" s="235"/>
      <c r="N53" s="235"/>
      <c r="O53" s="235"/>
      <c r="P53" s="235">
        <f>(Q50/Q40)</f>
        <v>-1.0234911828393176</v>
      </c>
      <c r="Q53" s="233"/>
    </row>
    <row r="54" spans="1:19" x14ac:dyDescent="0.25">
      <c r="A54" s="234" t="s">
        <v>209</v>
      </c>
      <c r="B54" s="234"/>
      <c r="C54" s="234"/>
      <c r="D54" s="234"/>
      <c r="E54" s="234"/>
      <c r="F54" s="234"/>
      <c r="G54" s="234"/>
      <c r="H54" s="234"/>
      <c r="I54" s="234"/>
      <c r="J54" s="234"/>
      <c r="K54" s="234"/>
      <c r="L54" s="235"/>
      <c r="M54" s="235"/>
      <c r="N54" s="235"/>
      <c r="O54" s="235"/>
      <c r="P54" s="235">
        <f>+(P51/12/O40)</f>
        <v>0.57615753453694729</v>
      </c>
      <c r="Q54" s="233"/>
    </row>
    <row r="55" spans="1:19" x14ac:dyDescent="0.25">
      <c r="A55" s="232"/>
      <c r="B55" s="232"/>
      <c r="C55" s="232"/>
      <c r="D55" s="232"/>
      <c r="E55" s="232"/>
      <c r="F55" s="232"/>
      <c r="G55" s="232"/>
      <c r="H55" s="232"/>
      <c r="I55" s="232"/>
      <c r="J55" s="232"/>
      <c r="K55" s="232"/>
      <c r="L55" s="238"/>
      <c r="M55" s="238"/>
      <c r="N55" s="238"/>
      <c r="O55" s="238"/>
      <c r="P55" s="232"/>
      <c r="Q55" s="233"/>
    </row>
    <row r="56" spans="1:19" x14ac:dyDescent="0.25">
      <c r="A56" s="234" t="s">
        <v>210</v>
      </c>
      <c r="B56" s="234"/>
      <c r="C56" s="234"/>
      <c r="D56" s="234"/>
      <c r="E56" s="234"/>
      <c r="F56" s="234"/>
      <c r="G56" s="234"/>
      <c r="H56" s="234"/>
      <c r="I56" s="234"/>
      <c r="J56" s="234"/>
      <c r="K56" s="234"/>
      <c r="L56" s="232"/>
      <c r="M56" s="232"/>
      <c r="N56" s="232"/>
      <c r="O56" s="232"/>
      <c r="P56" s="241">
        <f>+P53-P54</f>
        <v>-1.5996487173762648</v>
      </c>
      <c r="Q56" s="245" t="s">
        <v>220</v>
      </c>
    </row>
    <row r="57" spans="1:19" x14ac:dyDescent="0.25">
      <c r="A57" s="232"/>
      <c r="B57" s="232"/>
      <c r="C57" s="232"/>
      <c r="D57" s="232"/>
      <c r="E57" s="232"/>
      <c r="F57" s="232"/>
      <c r="G57" s="232"/>
      <c r="H57" s="232"/>
      <c r="I57" s="232"/>
      <c r="J57" s="232"/>
      <c r="K57" s="232"/>
      <c r="L57" s="232"/>
      <c r="M57" s="232"/>
      <c r="N57" s="232"/>
      <c r="O57" s="232"/>
      <c r="P57" s="232"/>
      <c r="Q57" s="233"/>
    </row>
    <row r="58" spans="1:19" x14ac:dyDescent="0.25">
      <c r="A58" s="242" t="s">
        <v>211</v>
      </c>
      <c r="B58" s="242"/>
      <c r="C58" s="242"/>
      <c r="D58" s="242"/>
      <c r="E58" s="242"/>
      <c r="F58" s="242"/>
      <c r="G58" s="242"/>
      <c r="H58" s="242"/>
      <c r="I58" s="242"/>
      <c r="J58" s="242"/>
      <c r="K58" s="242"/>
      <c r="L58" s="232"/>
      <c r="M58" s="232"/>
      <c r="N58" s="232"/>
      <c r="O58" s="232"/>
      <c r="P58" s="241">
        <v>-1.3</v>
      </c>
      <c r="Q58" s="233"/>
    </row>
    <row r="59" spans="1:19" x14ac:dyDescent="0.25">
      <c r="A59" s="232"/>
      <c r="B59" s="232"/>
      <c r="C59" s="232"/>
      <c r="D59" s="232"/>
      <c r="E59" s="232"/>
      <c r="F59" s="232"/>
      <c r="G59" s="232"/>
      <c r="H59" s="232"/>
      <c r="I59" s="232"/>
      <c r="J59" s="232"/>
      <c r="K59" s="232"/>
      <c r="L59" s="232"/>
      <c r="M59" s="232"/>
      <c r="N59" s="232"/>
      <c r="O59" s="232"/>
      <c r="P59" s="232"/>
      <c r="Q59" s="233"/>
    </row>
    <row r="60" spans="1:19" x14ac:dyDescent="0.25">
      <c r="A60" s="242" t="s">
        <v>212</v>
      </c>
      <c r="B60" s="242"/>
      <c r="C60" s="242"/>
      <c r="D60" s="242"/>
      <c r="E60" s="242"/>
      <c r="F60" s="242"/>
      <c r="G60" s="242"/>
      <c r="H60" s="242"/>
      <c r="I60" s="242"/>
      <c r="J60" s="242"/>
      <c r="K60" s="242"/>
      <c r="L60" s="232"/>
      <c r="M60" s="232"/>
      <c r="N60" s="232"/>
      <c r="O60" s="232"/>
      <c r="P60" s="243">
        <f>+(P56-P58)*P40</f>
        <v>-5613.0197738921916</v>
      </c>
      <c r="Q60" s="233"/>
    </row>
    <row r="61" spans="1:19" x14ac:dyDescent="0.25">
      <c r="A61" s="233"/>
      <c r="B61" s="233"/>
      <c r="C61" s="233"/>
      <c r="D61" s="233"/>
      <c r="E61" s="233"/>
      <c r="F61" s="233"/>
      <c r="G61" s="233"/>
      <c r="H61" s="233"/>
      <c r="I61" s="233"/>
      <c r="J61" s="233"/>
      <c r="K61" s="233"/>
      <c r="L61" s="233"/>
      <c r="M61" s="233"/>
      <c r="N61" s="233"/>
      <c r="O61" s="233"/>
      <c r="P61" s="233"/>
      <c r="Q61" s="233"/>
    </row>
  </sheetData>
  <mergeCells count="6">
    <mergeCell ref="D35:H35"/>
    <mergeCell ref="I35:K35"/>
    <mergeCell ref="I5:K5"/>
    <mergeCell ref="D5:H5"/>
    <mergeCell ref="D4:O4"/>
    <mergeCell ref="D34:O3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FAC7A-17CE-4137-BCC0-6B88EA71D75C}">
  <dimension ref="A1:K40"/>
  <sheetViews>
    <sheetView topLeftCell="A4" workbookViewId="0">
      <selection activeCell="G22" sqref="G17:G22"/>
    </sheetView>
  </sheetViews>
  <sheetFormatPr defaultRowHeight="15" x14ac:dyDescent="0.25"/>
  <cols>
    <col min="1" max="1" width="3.28515625" customWidth="1"/>
    <col min="3" max="3" width="16.42578125" customWidth="1"/>
    <col min="4" max="7" width="12.7109375" customWidth="1"/>
    <col min="9" max="9" width="11.85546875" bestFit="1" customWidth="1"/>
    <col min="10" max="10" width="10.85546875" bestFit="1" customWidth="1"/>
  </cols>
  <sheetData>
    <row r="1" spans="1:10" ht="23.25" x14ac:dyDescent="0.35">
      <c r="A1" s="257" t="s">
        <v>1</v>
      </c>
      <c r="B1" s="257"/>
      <c r="C1" s="257"/>
      <c r="D1" s="257"/>
      <c r="E1" s="257"/>
      <c r="F1" s="257"/>
      <c r="G1" s="257"/>
    </row>
    <row r="2" spans="1:10" ht="18" x14ac:dyDescent="0.25">
      <c r="A2" s="258" t="s">
        <v>3</v>
      </c>
      <c r="B2" s="258"/>
      <c r="C2" s="258"/>
      <c r="D2" s="258"/>
      <c r="E2" s="258"/>
      <c r="F2" s="258"/>
      <c r="G2" s="258"/>
    </row>
    <row r="3" spans="1:10" ht="15.75" x14ac:dyDescent="0.25">
      <c r="A3" s="259" t="s">
        <v>180</v>
      </c>
      <c r="B3" s="259"/>
      <c r="C3" s="259"/>
      <c r="D3" s="259"/>
      <c r="E3" s="259"/>
      <c r="F3" s="259"/>
      <c r="G3" s="259"/>
    </row>
    <row r="4" spans="1:10" x14ac:dyDescent="0.25">
      <c r="A4" s="1"/>
      <c r="B4" s="1"/>
      <c r="C4" s="2"/>
      <c r="D4" s="1"/>
      <c r="E4" s="1"/>
      <c r="F4" s="3"/>
      <c r="G4" s="1"/>
    </row>
    <row r="5" spans="1:10" x14ac:dyDescent="0.25">
      <c r="A5" s="1"/>
      <c r="B5" s="1"/>
      <c r="C5" s="2"/>
      <c r="D5" s="1"/>
      <c r="E5" s="1"/>
      <c r="F5" s="3"/>
      <c r="G5" s="1"/>
    </row>
    <row r="6" spans="1:10" x14ac:dyDescent="0.25">
      <c r="A6" s="1"/>
      <c r="B6" s="1"/>
      <c r="C6" s="2"/>
      <c r="D6" s="1"/>
      <c r="E6" s="1"/>
      <c r="F6" s="3"/>
      <c r="G6" s="1"/>
    </row>
    <row r="7" spans="1:10" x14ac:dyDescent="0.25">
      <c r="A7" s="1"/>
      <c r="B7" s="1"/>
      <c r="C7" s="2"/>
      <c r="D7" s="1"/>
      <c r="E7" s="1"/>
      <c r="F7" s="3"/>
      <c r="G7" s="1"/>
    </row>
    <row r="8" spans="1:10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0" ht="16.5" thickBot="1" x14ac:dyDescent="0.3">
      <c r="B9" s="60"/>
      <c r="C9" s="61"/>
      <c r="D9" s="60"/>
      <c r="E9" s="62"/>
      <c r="F9" s="60" t="s">
        <v>8</v>
      </c>
      <c r="G9" s="60"/>
    </row>
    <row r="10" spans="1:10" ht="16.5" thickTop="1" x14ac:dyDescent="0.25">
      <c r="B10" s="63"/>
      <c r="C10" s="64"/>
      <c r="D10" s="64"/>
      <c r="E10" s="63"/>
      <c r="F10" s="65"/>
      <c r="G10" s="63"/>
    </row>
    <row r="11" spans="1:10" ht="15.75" x14ac:dyDescent="0.25">
      <c r="B11" s="87" t="s">
        <v>171</v>
      </c>
      <c r="C11" s="186">
        <v>1561</v>
      </c>
      <c r="D11" s="67">
        <f t="shared" ref="D11:D15" si="0">SUM(E11*2000)</f>
        <v>18380</v>
      </c>
      <c r="E11" s="71">
        <v>9.19</v>
      </c>
      <c r="F11" s="191">
        <v>-19.47</v>
      </c>
      <c r="G11" s="69">
        <f t="shared" ref="G11:G27" si="1">SUM(E11*F11)</f>
        <v>-178.92929999999998</v>
      </c>
      <c r="I11" s="211"/>
      <c r="J11" s="211"/>
    </row>
    <row r="12" spans="1:10" ht="15.75" x14ac:dyDescent="0.25">
      <c r="B12" s="87" t="s">
        <v>172</v>
      </c>
      <c r="C12" s="186">
        <v>1561</v>
      </c>
      <c r="D12" s="67">
        <f t="shared" si="0"/>
        <v>35820</v>
      </c>
      <c r="E12" s="71">
        <v>17.91</v>
      </c>
      <c r="F12" s="191">
        <v>-45.47</v>
      </c>
      <c r="G12" s="69">
        <f t="shared" si="1"/>
        <v>-814.36770000000001</v>
      </c>
      <c r="I12" s="211"/>
      <c r="J12" s="211"/>
    </row>
    <row r="13" spans="1:10" ht="15.75" x14ac:dyDescent="0.25">
      <c r="B13" s="87" t="s">
        <v>173</v>
      </c>
      <c r="C13" s="186">
        <v>1561</v>
      </c>
      <c r="D13" s="67">
        <f t="shared" si="0"/>
        <v>30780</v>
      </c>
      <c r="E13" s="71">
        <v>15.39</v>
      </c>
      <c r="F13" s="191">
        <v>-84.97</v>
      </c>
      <c r="G13" s="69">
        <f t="shared" si="1"/>
        <v>-1307.6883</v>
      </c>
      <c r="I13" s="211"/>
      <c r="J13" s="211"/>
    </row>
    <row r="14" spans="1:10" ht="15.75" x14ac:dyDescent="0.25">
      <c r="B14" s="87" t="s">
        <v>174</v>
      </c>
      <c r="C14" s="186">
        <v>1561</v>
      </c>
      <c r="D14" s="67">
        <f t="shared" si="0"/>
        <v>57160</v>
      </c>
      <c r="E14" s="71">
        <v>28.58</v>
      </c>
      <c r="F14" s="191">
        <v>-61.97</v>
      </c>
      <c r="G14" s="69">
        <f t="shared" si="1"/>
        <v>-1771.1025999999999</v>
      </c>
      <c r="I14" s="211"/>
      <c r="J14" s="211"/>
    </row>
    <row r="15" spans="1:10" ht="15.75" x14ac:dyDescent="0.25">
      <c r="B15" s="87" t="s">
        <v>175</v>
      </c>
      <c r="C15" s="227">
        <v>1561</v>
      </c>
      <c r="D15" s="220">
        <f t="shared" si="0"/>
        <v>45800</v>
      </c>
      <c r="E15" s="221">
        <v>22.9</v>
      </c>
      <c r="F15" s="224">
        <v>-64.47</v>
      </c>
      <c r="G15" s="229">
        <f t="shared" si="1"/>
        <v>-1476.3629999999998</v>
      </c>
      <c r="I15" s="211"/>
      <c r="J15" s="211"/>
    </row>
    <row r="16" spans="1:10" ht="15.75" x14ac:dyDescent="0.25">
      <c r="B16" s="85" t="s">
        <v>181</v>
      </c>
      <c r="C16" s="186">
        <v>1561</v>
      </c>
      <c r="D16" s="67">
        <f t="shared" ref="D16:D27" si="2">SUM(E16*2000)</f>
        <v>14080</v>
      </c>
      <c r="E16" s="68">
        <v>7.04</v>
      </c>
      <c r="F16" s="190">
        <v>-70.27</v>
      </c>
      <c r="G16" s="69">
        <f t="shared" si="1"/>
        <v>-494.70079999999996</v>
      </c>
      <c r="I16" s="211"/>
      <c r="J16" s="211"/>
    </row>
    <row r="17" spans="1:11" ht="15.75" x14ac:dyDescent="0.25">
      <c r="B17" s="86" t="s">
        <v>182</v>
      </c>
      <c r="C17" s="186">
        <v>1561</v>
      </c>
      <c r="D17" s="67">
        <f t="shared" si="2"/>
        <v>17260</v>
      </c>
      <c r="E17" s="71">
        <v>8.6300000000000008</v>
      </c>
      <c r="F17" s="191">
        <v>-98.77</v>
      </c>
      <c r="G17" s="69">
        <f t="shared" si="1"/>
        <v>-852.38510000000008</v>
      </c>
      <c r="I17" s="211" t="s">
        <v>196</v>
      </c>
      <c r="J17" s="211"/>
    </row>
    <row r="18" spans="1:11" ht="15.75" x14ac:dyDescent="0.25">
      <c r="B18" s="86" t="s">
        <v>183</v>
      </c>
      <c r="C18" s="186">
        <v>1561</v>
      </c>
      <c r="D18" s="67">
        <f t="shared" si="2"/>
        <v>30100</v>
      </c>
      <c r="E18" s="71">
        <v>15.05</v>
      </c>
      <c r="F18" s="191">
        <v>-133.27000000000001</v>
      </c>
      <c r="G18" s="69">
        <f t="shared" si="1"/>
        <v>-2005.7135000000003</v>
      </c>
      <c r="H18">
        <v>436.97</v>
      </c>
      <c r="I18" s="211">
        <v>58235.06</v>
      </c>
      <c r="J18" s="211"/>
      <c r="K18">
        <f>+I18/H18</f>
        <v>133.27015584593906</v>
      </c>
    </row>
    <row r="19" spans="1:11" ht="15.75" x14ac:dyDescent="0.25">
      <c r="B19" s="86" t="s">
        <v>184</v>
      </c>
      <c r="C19" s="186">
        <v>1561</v>
      </c>
      <c r="D19" s="67">
        <f t="shared" si="2"/>
        <v>20940</v>
      </c>
      <c r="E19" s="71">
        <v>10.47</v>
      </c>
      <c r="F19" s="191">
        <v>-137.30000000000001</v>
      </c>
      <c r="G19" s="69">
        <f t="shared" si="1"/>
        <v>-1437.5310000000002</v>
      </c>
      <c r="H19">
        <v>370.46</v>
      </c>
      <c r="I19" s="211">
        <v>50864.18</v>
      </c>
      <c r="J19" s="211"/>
      <c r="K19">
        <f>+I19/H19</f>
        <v>137.30005938562869</v>
      </c>
    </row>
    <row r="20" spans="1:11" ht="15.75" x14ac:dyDescent="0.25">
      <c r="B20" s="86" t="s">
        <v>185</v>
      </c>
      <c r="C20" s="186">
        <v>1561</v>
      </c>
      <c r="D20" s="67">
        <f t="shared" si="2"/>
        <v>33300</v>
      </c>
      <c r="E20" s="71">
        <v>16.649999999999999</v>
      </c>
      <c r="F20" s="191">
        <v>-147.35</v>
      </c>
      <c r="G20" s="69">
        <f t="shared" si="1"/>
        <v>-2453.3774999999996</v>
      </c>
      <c r="H20">
        <v>415.62</v>
      </c>
      <c r="I20" s="211">
        <v>61241.84</v>
      </c>
      <c r="J20" s="211"/>
      <c r="K20">
        <f>+I20/H20</f>
        <v>147.35056060824792</v>
      </c>
    </row>
    <row r="21" spans="1:11" ht="15.75" x14ac:dyDescent="0.25">
      <c r="B21" s="87" t="s">
        <v>186</v>
      </c>
      <c r="C21" s="186">
        <v>1561</v>
      </c>
      <c r="D21" s="67">
        <f t="shared" si="2"/>
        <v>25580</v>
      </c>
      <c r="E21" s="71">
        <v>12.79</v>
      </c>
      <c r="F21" s="191">
        <v>-141.75</v>
      </c>
      <c r="G21" s="69">
        <f t="shared" si="1"/>
        <v>-1812.9824999999998</v>
      </c>
      <c r="H21">
        <v>379.66</v>
      </c>
      <c r="I21" s="211">
        <v>53817.09</v>
      </c>
      <c r="J21" s="211"/>
      <c r="K21">
        <f>+I21/H21</f>
        <v>141.75075067165358</v>
      </c>
    </row>
    <row r="22" spans="1:11" ht="15.75" x14ac:dyDescent="0.25">
      <c r="B22" s="87" t="s">
        <v>187</v>
      </c>
      <c r="C22" s="186">
        <v>1561</v>
      </c>
      <c r="D22" s="67">
        <f t="shared" si="2"/>
        <v>30160</v>
      </c>
      <c r="E22" s="71">
        <v>15.08</v>
      </c>
      <c r="F22" s="191">
        <v>-140.19999999999999</v>
      </c>
      <c r="G22" s="69">
        <f t="shared" si="1"/>
        <v>-2114.2159999999999</v>
      </c>
      <c r="H22">
        <v>446.02</v>
      </c>
      <c r="I22" s="211">
        <v>62531.01</v>
      </c>
      <c r="J22" s="211"/>
      <c r="K22">
        <f>+I22/H22</f>
        <v>140.19777140038565</v>
      </c>
    </row>
    <row r="23" spans="1:11" ht="15.75" x14ac:dyDescent="0.25">
      <c r="B23" s="87" t="s">
        <v>188</v>
      </c>
      <c r="C23" s="186">
        <v>1561</v>
      </c>
      <c r="D23" s="67">
        <f t="shared" si="2"/>
        <v>41720</v>
      </c>
      <c r="E23" s="71">
        <v>20.86</v>
      </c>
      <c r="F23" s="191"/>
      <c r="G23" s="69">
        <f t="shared" si="1"/>
        <v>0</v>
      </c>
      <c r="I23" s="211"/>
      <c r="J23" s="211"/>
    </row>
    <row r="24" spans="1:11" ht="15.75" x14ac:dyDescent="0.25">
      <c r="B24" s="87" t="s">
        <v>189</v>
      </c>
      <c r="C24" s="186"/>
      <c r="D24" s="67">
        <f t="shared" si="2"/>
        <v>0</v>
      </c>
      <c r="E24" s="71"/>
      <c r="F24" s="191"/>
      <c r="G24" s="69">
        <f t="shared" si="1"/>
        <v>0</v>
      </c>
      <c r="I24" s="211"/>
      <c r="J24" s="211"/>
    </row>
    <row r="25" spans="1:11" ht="15.75" x14ac:dyDescent="0.25">
      <c r="B25" s="87" t="s">
        <v>190</v>
      </c>
      <c r="C25" s="186"/>
      <c r="D25" s="67">
        <f t="shared" si="2"/>
        <v>0</v>
      </c>
      <c r="E25" s="71"/>
      <c r="F25" s="191"/>
      <c r="G25" s="69">
        <f t="shared" si="1"/>
        <v>0</v>
      </c>
      <c r="I25" s="211"/>
      <c r="J25" s="211"/>
    </row>
    <row r="26" spans="1:11" ht="15.75" x14ac:dyDescent="0.25">
      <c r="B26" s="87" t="s">
        <v>191</v>
      </c>
      <c r="C26" s="186"/>
      <c r="D26" s="67">
        <f t="shared" si="2"/>
        <v>0</v>
      </c>
      <c r="E26" s="71"/>
      <c r="F26" s="191"/>
      <c r="G26" s="69">
        <f t="shared" si="1"/>
        <v>0</v>
      </c>
    </row>
    <row r="27" spans="1:11" ht="15.75" x14ac:dyDescent="0.25">
      <c r="B27" s="87" t="s">
        <v>192</v>
      </c>
      <c r="C27" s="187"/>
      <c r="D27" s="74">
        <f t="shared" si="2"/>
        <v>0</v>
      </c>
      <c r="E27" s="109"/>
      <c r="F27" s="191"/>
      <c r="G27" s="188">
        <f t="shared" si="1"/>
        <v>0</v>
      </c>
    </row>
    <row r="28" spans="1:11" ht="15.75" x14ac:dyDescent="0.25">
      <c r="A28" t="s">
        <v>41</v>
      </c>
      <c r="B28" s="76"/>
      <c r="C28" s="186">
        <f>SUM(C11:C22)</f>
        <v>18732</v>
      </c>
      <c r="D28" s="88">
        <f>SUM(D11:D22)</f>
        <v>359360</v>
      </c>
      <c r="E28" s="107">
        <f>SUM(E11:E22)</f>
        <v>179.68</v>
      </c>
      <c r="F28" s="192"/>
      <c r="G28" s="80">
        <f>SUM(G11:G22)</f>
        <v>-16719.3573</v>
      </c>
      <c r="I28" s="211">
        <f>+G28+'Single Family 2018 '!G28</f>
        <v>-257242.24730000002</v>
      </c>
    </row>
    <row r="29" spans="1:11" ht="15.75" x14ac:dyDescent="0.25">
      <c r="B29" s="63"/>
      <c r="C29" s="81"/>
      <c r="D29" s="82"/>
      <c r="E29" s="83"/>
      <c r="F29" s="84" t="s">
        <v>0</v>
      </c>
    </row>
    <row r="30" spans="1:11" ht="15.75" x14ac:dyDescent="0.25">
      <c r="C30" s="81"/>
      <c r="D30" s="82"/>
      <c r="E30" s="83"/>
      <c r="F30" s="84" t="s">
        <v>0</v>
      </c>
    </row>
    <row r="31" spans="1:11" x14ac:dyDescent="0.25">
      <c r="C31" s="195"/>
      <c r="D31" s="196"/>
      <c r="E31" s="197"/>
      <c r="F31" s="198">
        <v>33864</v>
      </c>
      <c r="G31" s="199"/>
    </row>
    <row r="32" spans="1:11" x14ac:dyDescent="0.25">
      <c r="C32" s="200" t="s">
        <v>159</v>
      </c>
      <c r="D32" s="201">
        <f>+'[2]Single Family 2016'!D23</f>
        <v>5221960</v>
      </c>
      <c r="E32" s="202">
        <f>D32/$D$34</f>
        <v>0.93561379745293227</v>
      </c>
      <c r="F32" s="203">
        <f>E32*F31</f>
        <v>31683.625636946097</v>
      </c>
      <c r="G32" s="204"/>
    </row>
    <row r="33" spans="2:7" x14ac:dyDescent="0.25">
      <c r="C33" s="200" t="s">
        <v>160</v>
      </c>
      <c r="D33" s="201">
        <f>+D28</f>
        <v>359360</v>
      </c>
      <c r="E33" s="202">
        <f>D33/$D$34</f>
        <v>6.4386202547067714E-2</v>
      </c>
      <c r="F33" s="205">
        <f>E33*F31</f>
        <v>2180.3743630539011</v>
      </c>
      <c r="G33" s="204"/>
    </row>
    <row r="34" spans="2:7" x14ac:dyDescent="0.25">
      <c r="C34" s="206" t="s">
        <v>87</v>
      </c>
      <c r="D34" s="207">
        <f>SUM(D32:D33)</f>
        <v>5581320</v>
      </c>
      <c r="E34" s="208"/>
      <c r="F34" s="209">
        <f>F31-F32-F33</f>
        <v>0</v>
      </c>
      <c r="G34" s="210" t="s">
        <v>161</v>
      </c>
    </row>
    <row r="39" spans="2:7" x14ac:dyDescent="0.25">
      <c r="B39" t="s">
        <v>199</v>
      </c>
      <c r="E39" s="185">
        <v>2016</v>
      </c>
    </row>
    <row r="40" spans="2:7" x14ac:dyDescent="0.25">
      <c r="B40" t="s">
        <v>197</v>
      </c>
      <c r="E40" s="185" t="s">
        <v>198</v>
      </c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4"/>
  <sheetViews>
    <sheetView workbookViewId="0">
      <selection activeCell="G20" sqref="G20:G22"/>
    </sheetView>
  </sheetViews>
  <sheetFormatPr defaultRowHeight="15" x14ac:dyDescent="0.25"/>
  <cols>
    <col min="1" max="1" width="3.28515625" customWidth="1"/>
    <col min="3" max="3" width="16.42578125" customWidth="1"/>
    <col min="4" max="7" width="12.7109375" customWidth="1"/>
  </cols>
  <sheetData>
    <row r="1" spans="1:10" ht="23.25" x14ac:dyDescent="0.35">
      <c r="A1" s="257" t="s">
        <v>1</v>
      </c>
      <c r="B1" s="257"/>
      <c r="C1" s="257"/>
      <c r="D1" s="257"/>
      <c r="E1" s="257"/>
      <c r="F1" s="257"/>
      <c r="G1" s="257"/>
    </row>
    <row r="2" spans="1:10" ht="18" x14ac:dyDescent="0.25">
      <c r="A2" s="258" t="s">
        <v>3</v>
      </c>
      <c r="B2" s="258"/>
      <c r="C2" s="258"/>
      <c r="D2" s="258"/>
      <c r="E2" s="258"/>
      <c r="F2" s="258"/>
      <c r="G2" s="258"/>
    </row>
    <row r="3" spans="1:10" ht="15.75" x14ac:dyDescent="0.25">
      <c r="A3" s="259" t="s">
        <v>163</v>
      </c>
      <c r="B3" s="259"/>
      <c r="C3" s="259"/>
      <c r="D3" s="259"/>
      <c r="E3" s="259"/>
      <c r="F3" s="259"/>
      <c r="G3" s="259"/>
    </row>
    <row r="4" spans="1:10" x14ac:dyDescent="0.25">
      <c r="A4" s="1"/>
      <c r="B4" s="1"/>
      <c r="C4" s="2"/>
      <c r="D4" s="1"/>
      <c r="E4" s="1"/>
      <c r="F4" s="3"/>
      <c r="G4" s="1"/>
    </row>
    <row r="5" spans="1:10" x14ac:dyDescent="0.25">
      <c r="A5" s="1"/>
      <c r="B5" s="1"/>
      <c r="C5" s="2"/>
      <c r="D5" s="1"/>
      <c r="E5" s="1"/>
      <c r="F5" s="3"/>
      <c r="G5" s="1"/>
    </row>
    <row r="6" spans="1:10" x14ac:dyDescent="0.25">
      <c r="A6" s="1"/>
      <c r="B6" s="1"/>
      <c r="C6" s="2"/>
      <c r="D6" s="1"/>
      <c r="E6" s="1"/>
      <c r="F6" s="3"/>
      <c r="G6" s="1"/>
    </row>
    <row r="7" spans="1:10" x14ac:dyDescent="0.25">
      <c r="A7" s="1"/>
      <c r="B7" s="1"/>
      <c r="C7" s="2"/>
      <c r="D7" s="1"/>
      <c r="E7" s="1"/>
      <c r="F7" s="3"/>
      <c r="G7" s="1"/>
    </row>
    <row r="8" spans="1:10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0" ht="16.5" thickBot="1" x14ac:dyDescent="0.3">
      <c r="B9" s="60"/>
      <c r="C9" s="61"/>
      <c r="D9" s="60"/>
      <c r="E9" s="62"/>
      <c r="F9" s="60" t="s">
        <v>8</v>
      </c>
      <c r="G9" s="60"/>
    </row>
    <row r="10" spans="1:10" ht="16.5" thickTop="1" x14ac:dyDescent="0.25">
      <c r="B10" s="63"/>
      <c r="C10" s="64"/>
      <c r="D10" s="64"/>
      <c r="E10" s="63"/>
      <c r="F10" s="65"/>
      <c r="G10" s="63"/>
    </row>
    <row r="11" spans="1:10" ht="15.75" x14ac:dyDescent="0.25">
      <c r="B11" s="85" t="s">
        <v>164</v>
      </c>
      <c r="C11" s="186">
        <v>1527</v>
      </c>
      <c r="D11" s="67">
        <f t="shared" ref="D11:D23" si="0">SUM(E11*2000)</f>
        <v>36940</v>
      </c>
      <c r="E11" s="68">
        <v>18.47</v>
      </c>
      <c r="F11" s="190">
        <v>-4.22</v>
      </c>
      <c r="G11" s="69">
        <f t="shared" ref="G11:G25" si="1">SUM(E11*F11)</f>
        <v>-77.943399999999997</v>
      </c>
      <c r="I11" s="211"/>
      <c r="J11" s="211"/>
    </row>
    <row r="12" spans="1:10" ht="15.75" x14ac:dyDescent="0.25">
      <c r="B12" s="86" t="s">
        <v>165</v>
      </c>
      <c r="C12" s="186">
        <v>1527</v>
      </c>
      <c r="D12" s="67">
        <f t="shared" si="0"/>
        <v>53000</v>
      </c>
      <c r="E12" s="71">
        <v>26.5</v>
      </c>
      <c r="F12" s="191">
        <v>4.28</v>
      </c>
      <c r="G12" s="69">
        <f t="shared" si="1"/>
        <v>113.42</v>
      </c>
      <c r="I12" s="211"/>
      <c r="J12" s="211"/>
    </row>
    <row r="13" spans="1:10" ht="15.75" x14ac:dyDescent="0.25">
      <c r="B13" s="86"/>
      <c r="C13" s="186"/>
      <c r="D13" s="67"/>
      <c r="E13" s="71"/>
      <c r="F13" s="191"/>
      <c r="G13" s="69"/>
      <c r="I13" s="211"/>
      <c r="J13" s="211"/>
    </row>
    <row r="14" spans="1:10" ht="15.75" x14ac:dyDescent="0.25">
      <c r="B14" s="86" t="s">
        <v>166</v>
      </c>
      <c r="C14" s="186">
        <v>1533</v>
      </c>
      <c r="D14" s="67">
        <f t="shared" si="0"/>
        <v>68960</v>
      </c>
      <c r="E14" s="71">
        <v>34.479999999999997</v>
      </c>
      <c r="F14" s="191">
        <v>14.78</v>
      </c>
      <c r="G14" s="69">
        <f t="shared" si="1"/>
        <v>509.61439999999993</v>
      </c>
      <c r="I14" s="211"/>
      <c r="J14" s="211"/>
    </row>
    <row r="15" spans="1:10" ht="15.75" x14ac:dyDescent="0.25">
      <c r="B15" s="86" t="s">
        <v>167</v>
      </c>
      <c r="C15" s="186">
        <v>1533</v>
      </c>
      <c r="D15" s="67">
        <f t="shared" si="0"/>
        <v>26300</v>
      </c>
      <c r="E15" s="71">
        <v>13.15</v>
      </c>
      <c r="F15" s="191">
        <v>-34.22</v>
      </c>
      <c r="G15" s="69">
        <f t="shared" si="1"/>
        <v>-449.99299999999999</v>
      </c>
      <c r="I15" s="211"/>
      <c r="J15" s="211"/>
    </row>
    <row r="16" spans="1:10" ht="15.75" x14ac:dyDescent="0.25">
      <c r="B16" s="86" t="s">
        <v>168</v>
      </c>
      <c r="C16" s="186">
        <v>1543</v>
      </c>
      <c r="D16" s="67">
        <f t="shared" si="0"/>
        <v>43440</v>
      </c>
      <c r="E16" s="71">
        <v>21.72</v>
      </c>
      <c r="F16" s="191">
        <v>-35.72</v>
      </c>
      <c r="G16" s="69">
        <f t="shared" si="1"/>
        <v>-775.83839999999998</v>
      </c>
      <c r="I16" s="211"/>
      <c r="J16" s="211"/>
    </row>
    <row r="17" spans="1:10" ht="15.75" x14ac:dyDescent="0.25">
      <c r="B17" s="87" t="s">
        <v>169</v>
      </c>
      <c r="C17" s="186">
        <v>1543</v>
      </c>
      <c r="D17" s="67">
        <f t="shared" si="0"/>
        <v>59600</v>
      </c>
      <c r="E17" s="71">
        <v>29.8</v>
      </c>
      <c r="F17" s="191">
        <v>-14.72</v>
      </c>
      <c r="G17" s="69">
        <f t="shared" si="1"/>
        <v>-438.65600000000001</v>
      </c>
      <c r="I17" s="211"/>
      <c r="J17" s="211"/>
    </row>
    <row r="18" spans="1:10" ht="15.75" x14ac:dyDescent="0.25">
      <c r="B18" s="87" t="s">
        <v>170</v>
      </c>
      <c r="C18" s="186">
        <v>1561</v>
      </c>
      <c r="D18" s="67">
        <f t="shared" si="0"/>
        <v>49960</v>
      </c>
      <c r="E18" s="71">
        <v>24.98</v>
      </c>
      <c r="F18" s="191">
        <v>-5.72</v>
      </c>
      <c r="G18" s="69">
        <f t="shared" si="1"/>
        <v>-142.88559999999998</v>
      </c>
      <c r="I18" s="211"/>
      <c r="J18" s="211"/>
    </row>
    <row r="19" spans="1:10" ht="15.75" x14ac:dyDescent="0.25">
      <c r="B19" s="87" t="s">
        <v>171</v>
      </c>
      <c r="C19" s="186">
        <v>1561</v>
      </c>
      <c r="D19" s="67">
        <f t="shared" si="0"/>
        <v>18380</v>
      </c>
      <c r="E19" s="71">
        <v>9.19</v>
      </c>
      <c r="F19" s="191">
        <v>-19.47</v>
      </c>
      <c r="G19" s="69">
        <f t="shared" si="1"/>
        <v>-178.92929999999998</v>
      </c>
      <c r="I19" s="211"/>
      <c r="J19" s="211"/>
    </row>
    <row r="20" spans="1:10" ht="15.75" x14ac:dyDescent="0.25">
      <c r="B20" s="87" t="s">
        <v>172</v>
      </c>
      <c r="C20" s="186">
        <v>1561</v>
      </c>
      <c r="D20" s="67">
        <f t="shared" si="0"/>
        <v>35820</v>
      </c>
      <c r="E20" s="71">
        <v>17.91</v>
      </c>
      <c r="F20" s="191">
        <v>-45.47</v>
      </c>
      <c r="G20" s="218">
        <f t="shared" si="1"/>
        <v>-814.36770000000001</v>
      </c>
      <c r="I20" s="211"/>
      <c r="J20" s="211"/>
    </row>
    <row r="21" spans="1:10" ht="15.75" x14ac:dyDescent="0.25">
      <c r="B21" s="87" t="s">
        <v>173</v>
      </c>
      <c r="C21" s="186">
        <v>1561</v>
      </c>
      <c r="D21" s="67">
        <f t="shared" si="0"/>
        <v>30780</v>
      </c>
      <c r="E21" s="71">
        <v>15.39</v>
      </c>
      <c r="F21" s="191">
        <v>-84.97</v>
      </c>
      <c r="G21" s="218">
        <f t="shared" si="1"/>
        <v>-1307.6883</v>
      </c>
      <c r="I21" s="211"/>
      <c r="J21" s="211"/>
    </row>
    <row r="22" spans="1:10" ht="15.75" x14ac:dyDescent="0.25">
      <c r="B22" s="87" t="s">
        <v>174</v>
      </c>
      <c r="C22" s="186">
        <v>1561</v>
      </c>
      <c r="D22" s="67">
        <f t="shared" si="0"/>
        <v>57160</v>
      </c>
      <c r="E22" s="71">
        <v>28.58</v>
      </c>
      <c r="F22" s="191">
        <v>-61.97</v>
      </c>
      <c r="G22" s="218">
        <f t="shared" si="1"/>
        <v>-1771.1025999999999</v>
      </c>
      <c r="I22" s="211"/>
      <c r="J22" s="211"/>
    </row>
    <row r="23" spans="1:10" ht="15.75" x14ac:dyDescent="0.25">
      <c r="B23" s="87" t="s">
        <v>175</v>
      </c>
      <c r="C23" s="227">
        <v>1561</v>
      </c>
      <c r="D23" s="220">
        <f t="shared" si="0"/>
        <v>45800</v>
      </c>
      <c r="E23" s="221">
        <v>22.9</v>
      </c>
      <c r="F23" s="224">
        <v>-64.47</v>
      </c>
      <c r="G23" s="222">
        <f t="shared" si="1"/>
        <v>-1476.3629999999998</v>
      </c>
      <c r="I23" s="211"/>
      <c r="J23" s="211"/>
    </row>
    <row r="24" spans="1:10" ht="15.75" x14ac:dyDescent="0.25">
      <c r="B24" s="86">
        <v>43118</v>
      </c>
      <c r="C24" s="227">
        <v>1561</v>
      </c>
      <c r="D24" s="220">
        <v>14080</v>
      </c>
      <c r="E24" s="221">
        <v>7.04</v>
      </c>
      <c r="F24" s="191">
        <v>-70.27</v>
      </c>
      <c r="G24" s="222">
        <f t="shared" si="1"/>
        <v>-494.70079999999996</v>
      </c>
      <c r="I24" s="211"/>
      <c r="J24" s="211"/>
    </row>
    <row r="25" spans="1:10" ht="15.75" x14ac:dyDescent="0.25">
      <c r="B25" s="86">
        <v>43149</v>
      </c>
      <c r="C25" s="187">
        <v>1561</v>
      </c>
      <c r="D25" s="74">
        <v>17260</v>
      </c>
      <c r="E25" s="109">
        <v>8.6300000000000008</v>
      </c>
      <c r="F25" s="226">
        <v>-98.77</v>
      </c>
      <c r="G25" s="219">
        <f t="shared" si="1"/>
        <v>-852.38510000000008</v>
      </c>
      <c r="I25" s="211"/>
      <c r="J25" s="211"/>
    </row>
    <row r="26" spans="1:10" ht="15.75" x14ac:dyDescent="0.25">
      <c r="A26" t="s">
        <v>41</v>
      </c>
      <c r="B26" s="76"/>
      <c r="C26" s="186">
        <f>SUM(C14:C25)</f>
        <v>18640</v>
      </c>
      <c r="D26" s="88">
        <f>SUM(D14:D25)</f>
        <v>467540</v>
      </c>
      <c r="E26" s="107">
        <f>SUM(E14:E25)</f>
        <v>233.76999999999998</v>
      </c>
      <c r="F26" s="192"/>
      <c r="G26" s="80">
        <f>SUM(G14:G25)</f>
        <v>-8193.2954000000009</v>
      </c>
    </row>
    <row r="27" spans="1:10" ht="15.75" x14ac:dyDescent="0.25">
      <c r="B27" s="63"/>
      <c r="C27" s="81"/>
      <c r="D27" s="82"/>
      <c r="E27" s="83"/>
      <c r="F27" s="84" t="s">
        <v>0</v>
      </c>
    </row>
    <row r="28" spans="1:10" ht="15.75" x14ac:dyDescent="0.25">
      <c r="C28" s="81"/>
      <c r="D28" s="82"/>
      <c r="E28" s="228">
        <v>2017</v>
      </c>
      <c r="F28" s="84" t="s">
        <v>0</v>
      </c>
      <c r="G28" s="211">
        <f>SUM(G11:G23)</f>
        <v>-6810.7329000000009</v>
      </c>
    </row>
    <row r="29" spans="1:10" x14ac:dyDescent="0.25">
      <c r="C29" s="195" t="s">
        <v>176</v>
      </c>
      <c r="D29" s="196"/>
      <c r="E29" s="197"/>
      <c r="F29" s="198">
        <v>33864</v>
      </c>
      <c r="G29" s="199"/>
    </row>
    <row r="30" spans="1:10" x14ac:dyDescent="0.25">
      <c r="C30" s="200" t="s">
        <v>159</v>
      </c>
      <c r="D30" s="201">
        <f>SUM('Single Family 2017'!D11:D23)</f>
        <v>5111740</v>
      </c>
      <c r="E30" s="202">
        <f>D30/$D$32</f>
        <v>0.9066776873576593</v>
      </c>
      <c r="F30" s="203">
        <f>E30*F29</f>
        <v>30703.733204679775</v>
      </c>
      <c r="G30" s="204"/>
    </row>
    <row r="31" spans="1:10" x14ac:dyDescent="0.25">
      <c r="C31" s="200" t="s">
        <v>160</v>
      </c>
      <c r="D31" s="201">
        <f>SUM(D11:D23)</f>
        <v>526140</v>
      </c>
      <c r="E31" s="202">
        <f>D31/$D$32</f>
        <v>9.3322312642340741E-2</v>
      </c>
      <c r="F31" s="205">
        <f>E31*F29</f>
        <v>3160.2667953202267</v>
      </c>
      <c r="G31" s="204"/>
    </row>
    <row r="32" spans="1:10" x14ac:dyDescent="0.25">
      <c r="C32" s="206" t="s">
        <v>87</v>
      </c>
      <c r="D32" s="207">
        <f>SUM(D30:D31)</f>
        <v>5637880</v>
      </c>
      <c r="E32" s="208"/>
      <c r="F32" s="209">
        <f>F29-F30-F31</f>
        <v>0</v>
      </c>
      <c r="G32" s="210" t="s">
        <v>161</v>
      </c>
    </row>
    <row r="33" spans="3:6" ht="15.75" x14ac:dyDescent="0.25">
      <c r="C33" s="81"/>
      <c r="D33" s="82"/>
      <c r="E33" s="83"/>
      <c r="F33" s="84" t="s">
        <v>0</v>
      </c>
    </row>
    <row r="34" spans="3:6" ht="15.75" x14ac:dyDescent="0.25">
      <c r="C34" s="81"/>
      <c r="D34" s="82"/>
      <c r="E34" s="83"/>
      <c r="F34" s="84" t="s">
        <v>0</v>
      </c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DEFE2-1C30-4C00-BDE9-E848F2FD6262}">
  <dimension ref="A1:K32"/>
  <sheetViews>
    <sheetView workbookViewId="0">
      <selection activeCell="I17" sqref="I17"/>
    </sheetView>
  </sheetViews>
  <sheetFormatPr defaultRowHeight="15" x14ac:dyDescent="0.25"/>
  <cols>
    <col min="1" max="1" width="3.5703125" customWidth="1"/>
    <col min="3" max="3" width="16.42578125" customWidth="1"/>
    <col min="4" max="6" width="12.7109375" customWidth="1"/>
    <col min="7" max="7" width="15.85546875" customWidth="1"/>
    <col min="9" max="9" width="9.85546875" bestFit="1" customWidth="1"/>
    <col min="10" max="10" width="12.28515625" customWidth="1"/>
    <col min="11" max="11" width="9.5703125" bestFit="1" customWidth="1"/>
  </cols>
  <sheetData>
    <row r="1" spans="1:11" ht="23.25" x14ac:dyDescent="0.35">
      <c r="A1" s="257" t="s">
        <v>1</v>
      </c>
      <c r="B1" s="257"/>
      <c r="C1" s="257"/>
      <c r="D1" s="257"/>
      <c r="E1" s="257"/>
      <c r="F1" s="257"/>
      <c r="G1" s="257"/>
    </row>
    <row r="2" spans="1:11" ht="18" x14ac:dyDescent="0.25">
      <c r="A2" s="258" t="s">
        <v>71</v>
      </c>
      <c r="B2" s="258"/>
      <c r="C2" s="258"/>
      <c r="D2" s="258"/>
      <c r="E2" s="258"/>
      <c r="F2" s="258"/>
      <c r="G2" s="258"/>
    </row>
    <row r="3" spans="1:11" ht="15.75" x14ac:dyDescent="0.25">
      <c r="A3" s="259" t="s">
        <v>193</v>
      </c>
      <c r="B3" s="259"/>
      <c r="C3" s="259"/>
      <c r="D3" s="259"/>
      <c r="E3" s="259"/>
      <c r="F3" s="259"/>
      <c r="G3" s="259"/>
    </row>
    <row r="4" spans="1:11" x14ac:dyDescent="0.25">
      <c r="A4" s="1"/>
      <c r="B4" s="1"/>
      <c r="C4" s="1"/>
      <c r="D4" s="3"/>
      <c r="E4" s="1"/>
      <c r="F4" s="1"/>
    </row>
    <row r="5" spans="1:11" x14ac:dyDescent="0.25">
      <c r="A5" s="1"/>
      <c r="B5" s="1"/>
      <c r="C5" s="1"/>
      <c r="D5" s="3"/>
      <c r="E5" s="1"/>
      <c r="F5" s="1"/>
    </row>
    <row r="6" spans="1:11" x14ac:dyDescent="0.25">
      <c r="A6" s="1"/>
      <c r="B6" s="1"/>
      <c r="C6" s="1"/>
      <c r="D6" s="3"/>
      <c r="E6" s="1"/>
      <c r="F6" s="1"/>
    </row>
    <row r="7" spans="1:11" x14ac:dyDescent="0.25">
      <c r="A7" s="1"/>
      <c r="B7" s="2"/>
      <c r="C7" s="1"/>
      <c r="D7" s="1"/>
      <c r="E7" s="3"/>
      <c r="F7" s="1"/>
    </row>
    <row r="8" spans="1:11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1" ht="16.5" thickBot="1" x14ac:dyDescent="0.3">
      <c r="B9" s="60"/>
      <c r="C9" s="61"/>
      <c r="D9" s="60"/>
      <c r="E9" s="62"/>
      <c r="F9" s="60" t="s">
        <v>8</v>
      </c>
      <c r="G9" s="60"/>
    </row>
    <row r="10" spans="1:11" ht="16.5" thickTop="1" x14ac:dyDescent="0.25">
      <c r="B10" s="63"/>
      <c r="C10" s="64"/>
      <c r="D10" s="64"/>
      <c r="E10" s="63"/>
      <c r="F10" s="65"/>
      <c r="G10" s="63"/>
    </row>
    <row r="11" spans="1:11" ht="15.75" x14ac:dyDescent="0.25">
      <c r="B11" s="87" t="s">
        <v>171</v>
      </c>
      <c r="C11" s="67">
        <v>6443</v>
      </c>
      <c r="D11" s="67">
        <f t="shared" ref="D11:D27" si="0">SUM(E11*2000)</f>
        <v>457760</v>
      </c>
      <c r="E11" s="71">
        <v>228.88</v>
      </c>
      <c r="F11" s="191">
        <v>-19.47</v>
      </c>
      <c r="G11" s="69">
        <f t="shared" ref="G11:G27" si="1">SUM(E11*F11)</f>
        <v>-4456.2936</v>
      </c>
      <c r="I11" s="211"/>
      <c r="J11" s="213"/>
      <c r="K11" s="212"/>
    </row>
    <row r="12" spans="1:11" ht="15.75" x14ac:dyDescent="0.25">
      <c r="B12" s="87" t="s">
        <v>172</v>
      </c>
      <c r="C12" s="67">
        <v>6446</v>
      </c>
      <c r="D12" s="67">
        <f t="shared" si="0"/>
        <v>428020</v>
      </c>
      <c r="E12" s="71">
        <v>214.01</v>
      </c>
      <c r="F12" s="191">
        <v>-45.47</v>
      </c>
      <c r="G12" s="69">
        <f t="shared" si="1"/>
        <v>-9731.0347000000002</v>
      </c>
      <c r="I12" s="211"/>
      <c r="J12" s="213"/>
      <c r="K12" s="212"/>
    </row>
    <row r="13" spans="1:11" ht="15.75" x14ac:dyDescent="0.25">
      <c r="B13" s="87" t="s">
        <v>173</v>
      </c>
      <c r="C13" s="67">
        <v>6460</v>
      </c>
      <c r="D13" s="67">
        <f t="shared" si="0"/>
        <v>424320</v>
      </c>
      <c r="E13" s="71">
        <v>212.16</v>
      </c>
      <c r="F13" s="191">
        <v>-84.97</v>
      </c>
      <c r="G13" s="69">
        <f t="shared" si="1"/>
        <v>-18027.235199999999</v>
      </c>
      <c r="I13" s="211"/>
      <c r="J13" s="213"/>
      <c r="K13" s="212"/>
    </row>
    <row r="14" spans="1:11" ht="15.75" x14ac:dyDescent="0.25">
      <c r="B14" s="87" t="s">
        <v>174</v>
      </c>
      <c r="C14" s="67">
        <v>6467</v>
      </c>
      <c r="D14" s="67">
        <f t="shared" si="0"/>
        <v>425740</v>
      </c>
      <c r="E14" s="71">
        <v>212.87</v>
      </c>
      <c r="F14" s="191">
        <v>-61.97</v>
      </c>
      <c r="G14" s="69">
        <f t="shared" si="1"/>
        <v>-13191.553900000001</v>
      </c>
      <c r="I14" s="211"/>
      <c r="J14" s="213"/>
    </row>
    <row r="15" spans="1:11" ht="15.75" x14ac:dyDescent="0.25">
      <c r="B15" s="87" t="s">
        <v>175</v>
      </c>
      <c r="C15" s="220">
        <v>6480</v>
      </c>
      <c r="D15" s="220">
        <f t="shared" si="0"/>
        <v>472600</v>
      </c>
      <c r="E15" s="221">
        <v>236.3</v>
      </c>
      <c r="F15" s="224">
        <v>-64.47</v>
      </c>
      <c r="G15" s="229">
        <f t="shared" si="1"/>
        <v>-15234.261</v>
      </c>
      <c r="I15" s="211"/>
      <c r="J15" s="213"/>
    </row>
    <row r="16" spans="1:11" ht="15.75" x14ac:dyDescent="0.25">
      <c r="B16" s="85" t="s">
        <v>181</v>
      </c>
      <c r="C16" s="66">
        <v>6496</v>
      </c>
      <c r="D16" s="67">
        <f t="shared" si="0"/>
        <v>509660</v>
      </c>
      <c r="E16" s="68">
        <v>254.83</v>
      </c>
      <c r="F16" s="190">
        <v>-70.27</v>
      </c>
      <c r="G16" s="69">
        <f t="shared" si="1"/>
        <v>-17906.9041</v>
      </c>
      <c r="I16" s="211"/>
      <c r="J16" s="213"/>
    </row>
    <row r="17" spans="1:10" ht="15.75" x14ac:dyDescent="0.25">
      <c r="B17" s="86" t="s">
        <v>182</v>
      </c>
      <c r="C17" s="67">
        <v>6508</v>
      </c>
      <c r="D17" s="67">
        <f t="shared" si="0"/>
        <v>356820</v>
      </c>
      <c r="E17" s="71">
        <v>178.41</v>
      </c>
      <c r="F17" s="191">
        <v>-98.77</v>
      </c>
      <c r="G17" s="69">
        <f t="shared" si="1"/>
        <v>-17621.555699999997</v>
      </c>
      <c r="I17" s="211"/>
      <c r="J17" s="213"/>
    </row>
    <row r="18" spans="1:10" ht="15.75" x14ac:dyDescent="0.25">
      <c r="B18" s="86" t="s">
        <v>183</v>
      </c>
      <c r="C18" s="67">
        <v>6509</v>
      </c>
      <c r="D18" s="67">
        <f t="shared" si="0"/>
        <v>467680</v>
      </c>
      <c r="E18" s="71">
        <v>233.84</v>
      </c>
      <c r="F18" s="191">
        <v>-133.27000000000001</v>
      </c>
      <c r="G18" s="69">
        <f t="shared" si="1"/>
        <v>-31163.856800000001</v>
      </c>
      <c r="I18" s="211"/>
      <c r="J18" s="213"/>
    </row>
    <row r="19" spans="1:10" ht="15.75" x14ac:dyDescent="0.25">
      <c r="B19" s="86" t="s">
        <v>184</v>
      </c>
      <c r="C19" s="67">
        <v>6508</v>
      </c>
      <c r="D19" s="67">
        <f t="shared" si="0"/>
        <v>382300</v>
      </c>
      <c r="E19" s="71">
        <v>191.15</v>
      </c>
      <c r="F19" s="191">
        <v>-137.30000000000001</v>
      </c>
      <c r="G19" s="69">
        <f t="shared" si="1"/>
        <v>-26244.895000000004</v>
      </c>
      <c r="I19" s="211"/>
      <c r="J19" s="213"/>
    </row>
    <row r="20" spans="1:10" ht="15.75" x14ac:dyDescent="0.25">
      <c r="B20" s="86" t="s">
        <v>185</v>
      </c>
      <c r="C20" s="67">
        <v>6529</v>
      </c>
      <c r="D20" s="67">
        <f t="shared" si="0"/>
        <v>359380</v>
      </c>
      <c r="E20" s="71">
        <v>179.69</v>
      </c>
      <c r="F20" s="191">
        <v>-147.35</v>
      </c>
      <c r="G20" s="69">
        <f t="shared" si="1"/>
        <v>-26477.321499999998</v>
      </c>
      <c r="I20" s="211"/>
      <c r="J20" s="213"/>
    </row>
    <row r="21" spans="1:10" ht="15.75" x14ac:dyDescent="0.25">
      <c r="B21" s="87" t="s">
        <v>186</v>
      </c>
      <c r="C21" s="67">
        <v>6552</v>
      </c>
      <c r="D21" s="67">
        <f t="shared" si="0"/>
        <v>404860</v>
      </c>
      <c r="E21" s="71">
        <v>202.43</v>
      </c>
      <c r="F21" s="191">
        <v>-141.75</v>
      </c>
      <c r="G21" s="69">
        <f t="shared" si="1"/>
        <v>-28694.452499999999</v>
      </c>
      <c r="H21" s="189"/>
      <c r="I21" s="211"/>
      <c r="J21" s="213"/>
    </row>
    <row r="22" spans="1:10" ht="15.75" x14ac:dyDescent="0.25">
      <c r="B22" s="87" t="s">
        <v>187</v>
      </c>
      <c r="C22" s="67">
        <v>6554</v>
      </c>
      <c r="D22" s="67">
        <f t="shared" si="0"/>
        <v>453260</v>
      </c>
      <c r="E22" s="71">
        <v>226.63</v>
      </c>
      <c r="F22" s="191">
        <v>-140.19999999999999</v>
      </c>
      <c r="G22" s="69">
        <f t="shared" si="1"/>
        <v>-31773.525999999998</v>
      </c>
      <c r="I22" s="211"/>
      <c r="J22" s="213"/>
    </row>
    <row r="23" spans="1:10" ht="15.75" x14ac:dyDescent="0.25">
      <c r="B23" s="87" t="s">
        <v>188</v>
      </c>
      <c r="C23" s="67">
        <v>6565</v>
      </c>
      <c r="D23" s="67">
        <f t="shared" si="0"/>
        <v>0</v>
      </c>
      <c r="E23" s="71"/>
      <c r="F23" s="191"/>
      <c r="G23" s="69">
        <f t="shared" si="1"/>
        <v>0</v>
      </c>
      <c r="I23" s="211"/>
      <c r="J23" s="213"/>
    </row>
    <row r="24" spans="1:10" ht="15.75" x14ac:dyDescent="0.25">
      <c r="B24" s="87" t="s">
        <v>189</v>
      </c>
      <c r="C24" s="67"/>
      <c r="D24" s="67">
        <f t="shared" si="0"/>
        <v>0</v>
      </c>
      <c r="E24" s="71"/>
      <c r="F24" s="191"/>
      <c r="G24" s="69">
        <f t="shared" si="1"/>
        <v>0</v>
      </c>
      <c r="I24" s="211"/>
      <c r="J24" s="213"/>
    </row>
    <row r="25" spans="1:10" ht="15.75" x14ac:dyDescent="0.25">
      <c r="B25" s="87" t="s">
        <v>190</v>
      </c>
      <c r="C25" s="67"/>
      <c r="D25" s="67">
        <f t="shared" si="0"/>
        <v>0</v>
      </c>
      <c r="E25" s="71"/>
      <c r="F25" s="191"/>
      <c r="G25" s="69">
        <f t="shared" si="1"/>
        <v>0</v>
      </c>
      <c r="I25" s="211"/>
      <c r="J25" s="213"/>
    </row>
    <row r="26" spans="1:10" ht="15.75" x14ac:dyDescent="0.25">
      <c r="B26" s="87" t="s">
        <v>191</v>
      </c>
      <c r="C26" s="67"/>
      <c r="D26" s="67">
        <f t="shared" si="0"/>
        <v>0</v>
      </c>
      <c r="E26" s="71"/>
      <c r="F26" s="191"/>
      <c r="G26" s="69">
        <f t="shared" si="1"/>
        <v>0</v>
      </c>
    </row>
    <row r="27" spans="1:10" ht="15.75" x14ac:dyDescent="0.25">
      <c r="B27" s="87" t="s">
        <v>192</v>
      </c>
      <c r="C27" s="74"/>
      <c r="D27" s="74">
        <f t="shared" si="0"/>
        <v>0</v>
      </c>
      <c r="E27" s="109"/>
      <c r="F27" s="191"/>
      <c r="G27" s="188">
        <f t="shared" si="1"/>
        <v>0</v>
      </c>
    </row>
    <row r="28" spans="1:10" ht="15.75" x14ac:dyDescent="0.25">
      <c r="A28" t="s">
        <v>41</v>
      </c>
      <c r="B28" s="58"/>
      <c r="C28" s="186">
        <f>SUM(C11:C22)</f>
        <v>77952</v>
      </c>
      <c r="D28" s="88">
        <f>SUM(D11:D22)</f>
        <v>5142400</v>
      </c>
      <c r="E28" s="107">
        <f>SUM(E11:E22)</f>
        <v>2571.1999999999998</v>
      </c>
      <c r="F28" s="192"/>
      <c r="G28" s="80">
        <f>SUM(G11:G22)</f>
        <v>-240522.89</v>
      </c>
    </row>
    <row r="29" spans="1:10" x14ac:dyDescent="0.25">
      <c r="E29" s="185"/>
      <c r="F29" s="194"/>
    </row>
    <row r="30" spans="1:10" x14ac:dyDescent="0.25">
      <c r="E30" s="185"/>
      <c r="F30" s="194"/>
    </row>
    <row r="31" spans="1:10" x14ac:dyDescent="0.25">
      <c r="E31" s="185"/>
      <c r="F31" s="194"/>
    </row>
    <row r="32" spans="1:10" x14ac:dyDescent="0.25">
      <c r="E32" s="185"/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2"/>
  <sheetViews>
    <sheetView topLeftCell="A4" workbookViewId="0">
      <selection activeCell="I30" sqref="I30"/>
    </sheetView>
  </sheetViews>
  <sheetFormatPr defaultRowHeight="15" x14ac:dyDescent="0.25"/>
  <cols>
    <col min="1" max="1" width="3.5703125" customWidth="1"/>
    <col min="3" max="3" width="16.42578125" customWidth="1"/>
    <col min="4" max="6" width="12.7109375" customWidth="1"/>
    <col min="7" max="7" width="15.85546875" customWidth="1"/>
    <col min="9" max="9" width="9.85546875" bestFit="1" customWidth="1"/>
    <col min="10" max="10" width="12.28515625" customWidth="1"/>
    <col min="11" max="11" width="9.5703125" bestFit="1" customWidth="1"/>
  </cols>
  <sheetData>
    <row r="1" spans="1:11" ht="23.25" x14ac:dyDescent="0.35">
      <c r="A1" s="257" t="s">
        <v>1</v>
      </c>
      <c r="B1" s="257"/>
      <c r="C1" s="257"/>
      <c r="D1" s="257"/>
      <c r="E1" s="257"/>
      <c r="F1" s="257"/>
      <c r="G1" s="257"/>
    </row>
    <row r="2" spans="1:11" ht="18" x14ac:dyDescent="0.25">
      <c r="A2" s="258" t="s">
        <v>71</v>
      </c>
      <c r="B2" s="258"/>
      <c r="C2" s="258"/>
      <c r="D2" s="258"/>
      <c r="E2" s="258"/>
      <c r="F2" s="258"/>
      <c r="G2" s="258"/>
    </row>
    <row r="3" spans="1:11" ht="15.75" x14ac:dyDescent="0.25">
      <c r="A3" s="259" t="s">
        <v>163</v>
      </c>
      <c r="B3" s="259"/>
      <c r="C3" s="259"/>
      <c r="D3" s="259"/>
      <c r="E3" s="259"/>
      <c r="F3" s="259"/>
      <c r="G3" s="259"/>
    </row>
    <row r="4" spans="1:11" x14ac:dyDescent="0.25">
      <c r="A4" s="1"/>
      <c r="B4" s="1"/>
      <c r="C4" s="1"/>
      <c r="D4" s="3"/>
      <c r="E4" s="1"/>
      <c r="F4" s="1"/>
    </row>
    <row r="5" spans="1:11" x14ac:dyDescent="0.25">
      <c r="A5" s="1"/>
      <c r="B5" s="1"/>
      <c r="C5" s="1"/>
      <c r="D5" s="3"/>
      <c r="E5" s="1"/>
      <c r="F5" s="1"/>
    </row>
    <row r="6" spans="1:11" x14ac:dyDescent="0.25">
      <c r="A6" s="1"/>
      <c r="B6" s="1"/>
      <c r="C6" s="1"/>
      <c r="D6" s="3"/>
      <c r="E6" s="1"/>
      <c r="F6" s="1"/>
    </row>
    <row r="7" spans="1:11" x14ac:dyDescent="0.25">
      <c r="A7" s="1"/>
      <c r="B7" s="2"/>
      <c r="C7" s="1"/>
      <c r="D7" s="1"/>
      <c r="E7" s="3"/>
      <c r="F7" s="1"/>
    </row>
    <row r="8" spans="1:11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1" ht="16.5" thickBot="1" x14ac:dyDescent="0.3">
      <c r="B9" s="60"/>
      <c r="C9" s="61"/>
      <c r="D9" s="60"/>
      <c r="E9" s="62"/>
      <c r="F9" s="60" t="s">
        <v>8</v>
      </c>
      <c r="G9" s="60"/>
    </row>
    <row r="10" spans="1:11" ht="16.5" thickTop="1" x14ac:dyDescent="0.25">
      <c r="B10" s="63"/>
      <c r="C10" s="64"/>
      <c r="D10" s="64"/>
      <c r="E10" s="63"/>
      <c r="F10" s="65"/>
      <c r="G10" s="63"/>
    </row>
    <row r="11" spans="1:11" ht="15.75" x14ac:dyDescent="0.25">
      <c r="B11" s="85" t="s">
        <v>164</v>
      </c>
      <c r="C11" s="66">
        <v>6378</v>
      </c>
      <c r="D11" s="67">
        <f t="shared" ref="D11:D23" si="0">SUM(E11*2000)</f>
        <v>504760</v>
      </c>
      <c r="E11" s="68">
        <v>252.38</v>
      </c>
      <c r="F11" s="190">
        <v>-4.22</v>
      </c>
      <c r="G11" s="69">
        <f t="shared" ref="G11:G25" si="1">SUM(E11*F11)</f>
        <v>-1065.0436</v>
      </c>
      <c r="I11" s="211"/>
      <c r="J11" s="213"/>
      <c r="K11" s="212"/>
    </row>
    <row r="12" spans="1:11" ht="15.75" x14ac:dyDescent="0.25">
      <c r="B12" s="86" t="s">
        <v>165</v>
      </c>
      <c r="C12" s="67">
        <v>6377</v>
      </c>
      <c r="D12" s="67">
        <f t="shared" si="0"/>
        <v>375220</v>
      </c>
      <c r="E12" s="71">
        <v>187.61</v>
      </c>
      <c r="F12" s="191">
        <v>4.28</v>
      </c>
      <c r="G12" s="69">
        <f t="shared" si="1"/>
        <v>802.97080000000005</v>
      </c>
      <c r="I12" s="211"/>
      <c r="J12" s="213"/>
      <c r="K12" s="212"/>
    </row>
    <row r="13" spans="1:11" ht="15.75" x14ac:dyDescent="0.25">
      <c r="B13" s="86"/>
      <c r="C13" s="67"/>
      <c r="D13" s="67"/>
      <c r="E13" s="71"/>
      <c r="F13" s="191"/>
      <c r="G13" s="69"/>
      <c r="I13" s="211"/>
      <c r="J13" s="213"/>
      <c r="K13" s="212"/>
    </row>
    <row r="14" spans="1:11" ht="15.75" x14ac:dyDescent="0.25">
      <c r="B14" s="86" t="s">
        <v>166</v>
      </c>
      <c r="C14" s="67">
        <v>6378</v>
      </c>
      <c r="D14" s="67">
        <f t="shared" si="0"/>
        <v>541480</v>
      </c>
      <c r="E14" s="71">
        <v>270.74</v>
      </c>
      <c r="F14" s="191">
        <v>14.78</v>
      </c>
      <c r="G14" s="69">
        <f t="shared" si="1"/>
        <v>4001.5371999999998</v>
      </c>
      <c r="I14" s="211"/>
      <c r="J14" s="213"/>
    </row>
    <row r="15" spans="1:11" ht="15.75" x14ac:dyDescent="0.25">
      <c r="B15" s="86" t="s">
        <v>167</v>
      </c>
      <c r="C15" s="67">
        <v>6376</v>
      </c>
      <c r="D15" s="67">
        <f t="shared" si="0"/>
        <v>429500</v>
      </c>
      <c r="E15" s="71">
        <v>214.75</v>
      </c>
      <c r="F15" s="191">
        <v>-34.22</v>
      </c>
      <c r="G15" s="69">
        <f t="shared" si="1"/>
        <v>-7348.7449999999999</v>
      </c>
      <c r="I15" s="211"/>
      <c r="J15" s="213"/>
    </row>
    <row r="16" spans="1:11" ht="15.75" x14ac:dyDescent="0.25">
      <c r="B16" s="86" t="s">
        <v>168</v>
      </c>
      <c r="C16" s="67">
        <v>6379</v>
      </c>
      <c r="D16" s="67">
        <f t="shared" si="0"/>
        <v>350020</v>
      </c>
      <c r="E16" s="71">
        <v>175.01</v>
      </c>
      <c r="F16" s="191">
        <v>-35.72</v>
      </c>
      <c r="G16" s="69">
        <f t="shared" si="1"/>
        <v>-6251.3571999999995</v>
      </c>
      <c r="I16" s="211"/>
      <c r="J16" s="213"/>
    </row>
    <row r="17" spans="1:10" ht="15.75" x14ac:dyDescent="0.25">
      <c r="B17" s="87" t="s">
        <v>169</v>
      </c>
      <c r="C17" s="67">
        <v>6386</v>
      </c>
      <c r="D17" s="67">
        <f t="shared" si="0"/>
        <v>397540</v>
      </c>
      <c r="E17" s="71">
        <v>198.77</v>
      </c>
      <c r="F17" s="191">
        <v>-14.72</v>
      </c>
      <c r="G17" s="69">
        <f t="shared" si="1"/>
        <v>-2925.8944000000001</v>
      </c>
      <c r="I17" s="211"/>
      <c r="J17" s="213"/>
    </row>
    <row r="18" spans="1:10" ht="15.75" x14ac:dyDescent="0.25">
      <c r="B18" s="87" t="s">
        <v>170</v>
      </c>
      <c r="C18" s="67">
        <v>6396</v>
      </c>
      <c r="D18" s="67">
        <f t="shared" si="0"/>
        <v>304780</v>
      </c>
      <c r="E18" s="71">
        <v>152.38999999999999</v>
      </c>
      <c r="F18" s="191">
        <v>-5.72</v>
      </c>
      <c r="G18" s="190">
        <f t="shared" si="1"/>
        <v>-871.67079999999987</v>
      </c>
      <c r="I18" s="211"/>
      <c r="J18" s="213"/>
    </row>
    <row r="19" spans="1:10" ht="15.75" x14ac:dyDescent="0.25">
      <c r="B19" s="87" t="s">
        <v>171</v>
      </c>
      <c r="C19" s="67">
        <v>6443</v>
      </c>
      <c r="D19" s="67">
        <f t="shared" si="0"/>
        <v>457760</v>
      </c>
      <c r="E19" s="71">
        <v>228.88</v>
      </c>
      <c r="F19" s="191">
        <v>-19.47</v>
      </c>
      <c r="G19" s="190">
        <f t="shared" si="1"/>
        <v>-4456.2936</v>
      </c>
      <c r="I19" s="211"/>
      <c r="J19" s="213"/>
    </row>
    <row r="20" spans="1:10" ht="15.75" x14ac:dyDescent="0.25">
      <c r="B20" s="87" t="s">
        <v>172</v>
      </c>
      <c r="C20" s="67">
        <v>6446</v>
      </c>
      <c r="D20" s="67">
        <f t="shared" si="0"/>
        <v>428020</v>
      </c>
      <c r="E20" s="71">
        <v>214.01</v>
      </c>
      <c r="F20" s="191">
        <v>-45.47</v>
      </c>
      <c r="G20" s="218">
        <f t="shared" si="1"/>
        <v>-9731.0347000000002</v>
      </c>
      <c r="I20" s="211"/>
      <c r="J20" s="213"/>
    </row>
    <row r="21" spans="1:10" ht="15.75" x14ac:dyDescent="0.25">
      <c r="B21" s="87" t="s">
        <v>173</v>
      </c>
      <c r="C21" s="67">
        <v>6460</v>
      </c>
      <c r="D21" s="67">
        <f t="shared" si="0"/>
        <v>424320</v>
      </c>
      <c r="E21" s="71">
        <v>212.16</v>
      </c>
      <c r="F21" s="191">
        <v>-84.97</v>
      </c>
      <c r="G21" s="218">
        <f t="shared" si="1"/>
        <v>-18027.235199999999</v>
      </c>
      <c r="H21" s="189"/>
      <c r="I21" s="211"/>
      <c r="J21" s="213"/>
    </row>
    <row r="22" spans="1:10" ht="15.75" x14ac:dyDescent="0.25">
      <c r="B22" s="87" t="s">
        <v>174</v>
      </c>
      <c r="C22" s="67">
        <v>6467</v>
      </c>
      <c r="D22" s="67">
        <f t="shared" si="0"/>
        <v>425740</v>
      </c>
      <c r="E22" s="71">
        <v>212.87</v>
      </c>
      <c r="F22" s="191">
        <v>-61.97</v>
      </c>
      <c r="G22" s="218">
        <f t="shared" si="1"/>
        <v>-13191.553900000001</v>
      </c>
      <c r="I22" s="211"/>
      <c r="J22" s="213"/>
    </row>
    <row r="23" spans="1:10" ht="15.75" x14ac:dyDescent="0.25">
      <c r="B23" s="223" t="s">
        <v>175</v>
      </c>
      <c r="C23" s="220">
        <v>6480</v>
      </c>
      <c r="D23" s="220">
        <f t="shared" si="0"/>
        <v>472600</v>
      </c>
      <c r="E23" s="221">
        <v>236.3</v>
      </c>
      <c r="F23" s="224">
        <v>-64.47</v>
      </c>
      <c r="G23" s="222">
        <f t="shared" si="1"/>
        <v>-15234.261</v>
      </c>
      <c r="I23" s="211"/>
      <c r="J23" s="213"/>
    </row>
    <row r="24" spans="1:10" ht="15.75" x14ac:dyDescent="0.25">
      <c r="B24" s="225">
        <v>43118</v>
      </c>
      <c r="C24" s="220">
        <v>6496</v>
      </c>
      <c r="D24" s="220">
        <v>509660</v>
      </c>
      <c r="E24" s="221">
        <v>254.83</v>
      </c>
      <c r="F24" s="224">
        <v>-70.27</v>
      </c>
      <c r="G24" s="222">
        <f t="shared" si="1"/>
        <v>-17906.9041</v>
      </c>
      <c r="I24" s="211"/>
      <c r="J24" s="213"/>
    </row>
    <row r="25" spans="1:10" ht="15.75" x14ac:dyDescent="0.25">
      <c r="B25" s="86">
        <v>43149</v>
      </c>
      <c r="C25" s="74">
        <v>6508</v>
      </c>
      <c r="D25" s="74">
        <v>356820</v>
      </c>
      <c r="E25" s="109">
        <v>178.41</v>
      </c>
      <c r="F25" s="226">
        <v>-98.77</v>
      </c>
      <c r="G25" s="219">
        <f t="shared" si="1"/>
        <v>-17621.555699999997</v>
      </c>
      <c r="I25" s="211"/>
      <c r="J25" s="213"/>
    </row>
    <row r="26" spans="1:10" ht="15.75" x14ac:dyDescent="0.25">
      <c r="A26" t="s">
        <v>41</v>
      </c>
      <c r="B26" s="58"/>
      <c r="C26" s="88">
        <f>SUM(C14:C25)</f>
        <v>77215</v>
      </c>
      <c r="D26" s="88">
        <f>SUM(D14:D25)</f>
        <v>5098240</v>
      </c>
      <c r="E26" s="108">
        <f>SUM(E14:E25)</f>
        <v>2549.12</v>
      </c>
      <c r="F26" s="192"/>
      <c r="G26" s="89">
        <f>SUM(G14:G25)</f>
        <v>-109564.9684</v>
      </c>
    </row>
    <row r="27" spans="1:10" ht="15.75" x14ac:dyDescent="0.25">
      <c r="B27" s="81"/>
      <c r="C27" s="82"/>
      <c r="D27" s="83"/>
      <c r="E27" s="84" t="s">
        <v>0</v>
      </c>
      <c r="F27" s="193"/>
      <c r="G27" s="79"/>
    </row>
    <row r="28" spans="1:10" ht="15.75" x14ac:dyDescent="0.25">
      <c r="B28" s="184" t="s">
        <v>178</v>
      </c>
      <c r="C28" s="183"/>
      <c r="E28" s="185"/>
      <c r="F28" s="194"/>
      <c r="G28" s="211">
        <f>SUM(G11:G23)</f>
        <v>-74298.581399999995</v>
      </c>
    </row>
    <row r="29" spans="1:10" x14ac:dyDescent="0.25">
      <c r="E29" s="185"/>
      <c r="F29" s="194"/>
    </row>
    <row r="30" spans="1:10" x14ac:dyDescent="0.25">
      <c r="E30" s="185"/>
      <c r="F30" s="194"/>
    </row>
    <row r="31" spans="1:10" x14ac:dyDescent="0.25">
      <c r="B31" t="s">
        <v>199</v>
      </c>
      <c r="E31" s="185"/>
      <c r="F31" s="194"/>
    </row>
    <row r="32" spans="1:10" x14ac:dyDescent="0.25">
      <c r="B32" t="s">
        <v>197</v>
      </c>
      <c r="E32" s="185" t="s">
        <v>198</v>
      </c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1"/>
  <sheetViews>
    <sheetView topLeftCell="A7" workbookViewId="0">
      <selection activeCell="J32" sqref="J32"/>
    </sheetView>
  </sheetViews>
  <sheetFormatPr defaultRowHeight="15" x14ac:dyDescent="0.25"/>
  <cols>
    <col min="1" max="1" width="3.28515625" customWidth="1"/>
    <col min="3" max="3" width="16.42578125" customWidth="1"/>
    <col min="4" max="7" width="12.7109375" customWidth="1"/>
  </cols>
  <sheetData>
    <row r="1" spans="1:10" ht="23.25" x14ac:dyDescent="0.35">
      <c r="A1" s="257" t="s">
        <v>1</v>
      </c>
      <c r="B1" s="257"/>
      <c r="C1" s="257"/>
      <c r="D1" s="257"/>
      <c r="E1" s="257"/>
      <c r="F1" s="257"/>
      <c r="G1" s="257"/>
    </row>
    <row r="2" spans="1:10" ht="18" x14ac:dyDescent="0.25">
      <c r="A2" s="258" t="s">
        <v>3</v>
      </c>
      <c r="B2" s="258"/>
      <c r="C2" s="258"/>
      <c r="D2" s="258"/>
      <c r="E2" s="258"/>
      <c r="F2" s="258"/>
      <c r="G2" s="258"/>
    </row>
    <row r="3" spans="1:10" ht="15.75" x14ac:dyDescent="0.25">
      <c r="A3" s="259" t="s">
        <v>156</v>
      </c>
      <c r="B3" s="259"/>
      <c r="C3" s="259"/>
      <c r="D3" s="259"/>
      <c r="E3" s="259"/>
      <c r="F3" s="259"/>
      <c r="G3" s="259"/>
    </row>
    <row r="4" spans="1:10" x14ac:dyDescent="0.25">
      <c r="A4" s="1"/>
      <c r="B4" s="1"/>
      <c r="C4" s="2"/>
      <c r="D4" s="1"/>
      <c r="E4" s="1"/>
      <c r="F4" s="3"/>
      <c r="G4" s="1"/>
    </row>
    <row r="5" spans="1:10" x14ac:dyDescent="0.25">
      <c r="A5" s="1"/>
      <c r="B5" s="1"/>
      <c r="C5" s="2"/>
      <c r="D5" s="1"/>
      <c r="E5" s="1"/>
      <c r="F5" s="3"/>
      <c r="G5" s="1"/>
    </row>
    <row r="6" spans="1:10" x14ac:dyDescent="0.25">
      <c r="A6" s="1"/>
      <c r="B6" s="1"/>
      <c r="C6" s="2"/>
      <c r="D6" s="1"/>
      <c r="E6" s="1"/>
      <c r="F6" s="3"/>
      <c r="G6" s="1"/>
    </row>
    <row r="7" spans="1:10" x14ac:dyDescent="0.25">
      <c r="A7" s="1"/>
      <c r="B7" s="1"/>
      <c r="C7" s="2"/>
      <c r="D7" s="1"/>
      <c r="E7" s="1"/>
      <c r="F7" s="3"/>
      <c r="G7" s="1"/>
    </row>
    <row r="8" spans="1:10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0" ht="16.5" thickBot="1" x14ac:dyDescent="0.3">
      <c r="B9" s="60"/>
      <c r="C9" s="61"/>
      <c r="D9" s="60"/>
      <c r="E9" s="62"/>
      <c r="F9" s="60" t="s">
        <v>8</v>
      </c>
      <c r="G9" s="60"/>
    </row>
    <row r="10" spans="1:10" ht="16.5" thickTop="1" x14ac:dyDescent="0.25">
      <c r="B10" s="63"/>
      <c r="C10" s="64"/>
      <c r="D10" s="64"/>
      <c r="E10" s="63"/>
      <c r="F10" s="65"/>
      <c r="G10" s="63"/>
    </row>
    <row r="11" spans="1:10" ht="15.75" x14ac:dyDescent="0.25">
      <c r="B11" s="85" t="s">
        <v>155</v>
      </c>
      <c r="C11" s="186">
        <v>1349</v>
      </c>
      <c r="D11" s="67">
        <v>31780</v>
      </c>
      <c r="E11" s="68">
        <v>15.89</v>
      </c>
      <c r="F11" s="190">
        <v>-36</v>
      </c>
      <c r="G11" s="69">
        <v>-572.04</v>
      </c>
      <c r="I11" s="211"/>
      <c r="J11" s="211"/>
    </row>
    <row r="12" spans="1:10" ht="15.75" x14ac:dyDescent="0.25">
      <c r="B12" s="86" t="s">
        <v>154</v>
      </c>
      <c r="C12" s="186">
        <v>1349</v>
      </c>
      <c r="D12" s="67">
        <v>53500</v>
      </c>
      <c r="E12" s="71">
        <v>26.75</v>
      </c>
      <c r="F12" s="191">
        <v>-36</v>
      </c>
      <c r="G12" s="69">
        <v>-963</v>
      </c>
      <c r="I12" s="211"/>
      <c r="J12" s="211"/>
    </row>
    <row r="13" spans="1:10" ht="15.75" x14ac:dyDescent="0.25">
      <c r="B13" s="86" t="s">
        <v>153</v>
      </c>
      <c r="C13" s="186">
        <v>1349</v>
      </c>
      <c r="D13" s="67">
        <v>35140</v>
      </c>
      <c r="E13" s="71">
        <v>17.57</v>
      </c>
      <c r="F13" s="191">
        <v>-31.5</v>
      </c>
      <c r="G13" s="69">
        <v>-553.45500000000004</v>
      </c>
      <c r="I13" s="211"/>
      <c r="J13" s="211"/>
    </row>
    <row r="14" spans="1:10" ht="15.75" x14ac:dyDescent="0.25">
      <c r="B14" s="86" t="s">
        <v>152</v>
      </c>
      <c r="C14" s="186">
        <v>1349</v>
      </c>
      <c r="D14" s="67">
        <v>43060</v>
      </c>
      <c r="E14" s="71">
        <v>21.53</v>
      </c>
      <c r="F14" s="191">
        <v>-27</v>
      </c>
      <c r="G14" s="69">
        <v>-581.30999999999995</v>
      </c>
      <c r="I14" s="211"/>
      <c r="J14" s="211"/>
    </row>
    <row r="15" spans="1:10" ht="15.75" x14ac:dyDescent="0.25">
      <c r="B15" s="86" t="s">
        <v>151</v>
      </c>
      <c r="C15" s="186">
        <v>1349</v>
      </c>
      <c r="D15" s="67">
        <v>53640</v>
      </c>
      <c r="E15" s="71">
        <v>26.82</v>
      </c>
      <c r="F15" s="191">
        <v>-22.5</v>
      </c>
      <c r="G15" s="69">
        <v>-603.45000000000005</v>
      </c>
      <c r="I15" s="211"/>
      <c r="J15" s="211"/>
    </row>
    <row r="16" spans="1:10" ht="15.75" x14ac:dyDescent="0.25">
      <c r="B16" s="87" t="s">
        <v>150</v>
      </c>
      <c r="C16" s="186">
        <v>1349</v>
      </c>
      <c r="D16" s="67">
        <v>44140</v>
      </c>
      <c r="E16" s="71">
        <v>22.07</v>
      </c>
      <c r="F16" s="191">
        <v>-20.5</v>
      </c>
      <c r="G16" s="69">
        <v>-452.435</v>
      </c>
      <c r="I16" s="211"/>
      <c r="J16" s="211"/>
    </row>
    <row r="17" spans="1:10" ht="15.75" x14ac:dyDescent="0.25">
      <c r="B17" s="87" t="s">
        <v>149</v>
      </c>
      <c r="C17" s="186">
        <v>1349</v>
      </c>
      <c r="D17" s="67">
        <v>54340</v>
      </c>
      <c r="E17" s="71">
        <v>27.17</v>
      </c>
      <c r="F17" s="191">
        <v>-16.899999999999999</v>
      </c>
      <c r="G17" s="69">
        <v>-459.173</v>
      </c>
      <c r="I17" s="211"/>
      <c r="J17" s="211"/>
    </row>
    <row r="18" spans="1:10" ht="15.75" x14ac:dyDescent="0.25">
      <c r="B18" s="87" t="s">
        <v>148</v>
      </c>
      <c r="C18" s="186">
        <v>1349</v>
      </c>
      <c r="D18" s="67">
        <v>39000</v>
      </c>
      <c r="E18" s="71">
        <v>19.5</v>
      </c>
      <c r="F18" s="191">
        <v>-7.4</v>
      </c>
      <c r="G18" s="69">
        <v>-144.30000000000001</v>
      </c>
      <c r="I18" s="211"/>
      <c r="J18" s="211"/>
    </row>
    <row r="19" spans="1:10" ht="15.75" x14ac:dyDescent="0.25">
      <c r="B19" s="87" t="s">
        <v>147</v>
      </c>
      <c r="C19" s="186">
        <v>1349</v>
      </c>
      <c r="D19" s="67">
        <v>58640</v>
      </c>
      <c r="E19" s="71">
        <v>29.32</v>
      </c>
      <c r="F19" s="191">
        <v>-15.9</v>
      </c>
      <c r="G19" s="69">
        <v>-466.18799999999999</v>
      </c>
      <c r="I19" s="211"/>
      <c r="J19" s="211"/>
    </row>
    <row r="20" spans="1:10" ht="15.75" x14ac:dyDescent="0.25">
      <c r="B20" s="87" t="s">
        <v>146</v>
      </c>
      <c r="C20" s="186">
        <v>1349</v>
      </c>
      <c r="D20" s="67">
        <v>37140</v>
      </c>
      <c r="E20" s="71">
        <v>18.57</v>
      </c>
      <c r="F20" s="191">
        <v>-19.75</v>
      </c>
      <c r="G20" s="69">
        <v>-366.75749999999999</v>
      </c>
      <c r="I20" s="211"/>
      <c r="J20" s="211"/>
    </row>
    <row r="21" spans="1:10" ht="15.75" x14ac:dyDescent="0.25">
      <c r="B21" s="87" t="s">
        <v>145</v>
      </c>
      <c r="C21" s="186">
        <v>1349</v>
      </c>
      <c r="D21" s="67">
        <v>57800</v>
      </c>
      <c r="E21" s="71">
        <v>28.9</v>
      </c>
      <c r="F21" s="191">
        <v>-15.72</v>
      </c>
      <c r="G21" s="69">
        <v>-454.30799999999999</v>
      </c>
      <c r="I21" s="211"/>
      <c r="J21" s="211"/>
    </row>
    <row r="22" spans="1:10" ht="15.75" x14ac:dyDescent="0.25">
      <c r="B22" s="87" t="s">
        <v>144</v>
      </c>
      <c r="C22" s="187">
        <v>1349</v>
      </c>
      <c r="D22" s="74">
        <v>23660</v>
      </c>
      <c r="E22" s="109">
        <v>11.83</v>
      </c>
      <c r="F22" s="191">
        <v>-11.22</v>
      </c>
      <c r="G22" s="188">
        <v>-132.73259999999999</v>
      </c>
      <c r="I22" s="211"/>
      <c r="J22" s="211"/>
    </row>
    <row r="23" spans="1:10" ht="15.75" x14ac:dyDescent="0.25">
      <c r="A23" t="s">
        <v>41</v>
      </c>
      <c r="B23" s="76"/>
      <c r="C23" s="186">
        <f>SUM(C11:C22)</f>
        <v>16188</v>
      </c>
      <c r="D23" s="88">
        <f>SUM(D11:D22)</f>
        <v>531840</v>
      </c>
      <c r="E23" s="107">
        <f>SUM(E11:E22)</f>
        <v>265.92</v>
      </c>
      <c r="F23" s="192"/>
      <c r="G23" s="80">
        <f>SUM(G11:G22)</f>
        <v>-5749.1491000000005</v>
      </c>
    </row>
    <row r="24" spans="1:10" ht="15.75" x14ac:dyDescent="0.25">
      <c r="B24" s="63"/>
      <c r="C24" s="81"/>
      <c r="D24" s="82"/>
      <c r="E24" s="83"/>
      <c r="F24" s="84" t="s">
        <v>0</v>
      </c>
    </row>
    <row r="25" spans="1:10" ht="15.75" x14ac:dyDescent="0.25">
      <c r="C25" s="81"/>
      <c r="D25" s="82"/>
      <c r="E25" s="83"/>
      <c r="F25" s="84" t="s">
        <v>0</v>
      </c>
    </row>
    <row r="26" spans="1:10" x14ac:dyDescent="0.25">
      <c r="C26" s="195"/>
      <c r="D26" s="196"/>
      <c r="E26" s="197"/>
      <c r="F26" s="198">
        <v>33864</v>
      </c>
      <c r="G26" s="199"/>
    </row>
    <row r="27" spans="1:10" x14ac:dyDescent="0.25">
      <c r="C27" s="200" t="s">
        <v>159</v>
      </c>
      <c r="D27" s="201">
        <f>+'Single Family 2016'!D23</f>
        <v>5221960</v>
      </c>
      <c r="E27" s="202">
        <f>D27/$D$29</f>
        <v>0.90756717299871392</v>
      </c>
      <c r="F27" s="203">
        <f>E27*F26</f>
        <v>30733.854746428449</v>
      </c>
      <c r="G27" s="204"/>
    </row>
    <row r="28" spans="1:10" x14ac:dyDescent="0.25">
      <c r="C28" s="200" t="s">
        <v>160</v>
      </c>
      <c r="D28" s="201">
        <f>+D23</f>
        <v>531840</v>
      </c>
      <c r="E28" s="202">
        <f>D28/$D$29</f>
        <v>9.2432827001286105E-2</v>
      </c>
      <c r="F28" s="205">
        <f>E28*F26</f>
        <v>3130.1452535715525</v>
      </c>
      <c r="G28" s="204"/>
    </row>
    <row r="29" spans="1:10" x14ac:dyDescent="0.25">
      <c r="C29" s="206" t="s">
        <v>87</v>
      </c>
      <c r="D29" s="207">
        <f>SUM(D27:D28)</f>
        <v>5753800</v>
      </c>
      <c r="E29" s="208"/>
      <c r="F29" s="209">
        <f>F26-F27-F28</f>
        <v>0</v>
      </c>
      <c r="G29" s="210" t="s">
        <v>161</v>
      </c>
    </row>
    <row r="30" spans="1:10" ht="15.75" x14ac:dyDescent="0.25">
      <c r="C30" s="81"/>
      <c r="D30" s="82"/>
      <c r="E30" s="83"/>
      <c r="F30" s="84" t="s">
        <v>0</v>
      </c>
    </row>
    <row r="31" spans="1:10" ht="15.75" x14ac:dyDescent="0.25">
      <c r="C31" s="81"/>
      <c r="D31" s="82"/>
      <c r="E31" s="83"/>
      <c r="F31" s="84" t="s">
        <v>0</v>
      </c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9"/>
  <sheetViews>
    <sheetView workbookViewId="0">
      <selection activeCell="G23" sqref="G23"/>
    </sheetView>
  </sheetViews>
  <sheetFormatPr defaultRowHeight="15" x14ac:dyDescent="0.25"/>
  <cols>
    <col min="1" max="1" width="3.5703125" customWidth="1"/>
    <col min="3" max="3" width="16.42578125" customWidth="1"/>
    <col min="4" max="7" width="12.7109375" customWidth="1"/>
    <col min="9" max="9" width="9.85546875" bestFit="1" customWidth="1"/>
  </cols>
  <sheetData>
    <row r="1" spans="1:10" ht="23.25" x14ac:dyDescent="0.35">
      <c r="A1" s="257" t="s">
        <v>1</v>
      </c>
      <c r="B1" s="257"/>
      <c r="C1" s="257"/>
      <c r="D1" s="257"/>
      <c r="E1" s="257"/>
      <c r="F1" s="257"/>
      <c r="G1" s="257"/>
    </row>
    <row r="2" spans="1:10" ht="18" x14ac:dyDescent="0.25">
      <c r="A2" s="258" t="s">
        <v>71</v>
      </c>
      <c r="B2" s="258"/>
      <c r="C2" s="258"/>
      <c r="D2" s="258"/>
      <c r="E2" s="258"/>
      <c r="F2" s="258"/>
      <c r="G2" s="258"/>
    </row>
    <row r="3" spans="1:10" ht="15.75" x14ac:dyDescent="0.25">
      <c r="A3" s="259" t="s">
        <v>156</v>
      </c>
      <c r="B3" s="259"/>
      <c r="C3" s="259"/>
      <c r="D3" s="259"/>
      <c r="E3" s="259"/>
      <c r="F3" s="259"/>
      <c r="G3" s="259"/>
    </row>
    <row r="4" spans="1:10" x14ac:dyDescent="0.25">
      <c r="A4" s="1"/>
      <c r="B4" s="1"/>
      <c r="C4" s="1"/>
      <c r="D4" s="3"/>
      <c r="E4" s="1"/>
      <c r="F4" s="1"/>
    </row>
    <row r="5" spans="1:10" x14ac:dyDescent="0.25">
      <c r="A5" s="1"/>
      <c r="B5" s="1"/>
      <c r="C5" s="1"/>
      <c r="D5" s="3"/>
      <c r="E5" s="1"/>
      <c r="F5" s="1"/>
    </row>
    <row r="6" spans="1:10" x14ac:dyDescent="0.25">
      <c r="A6" s="1"/>
      <c r="B6" s="1"/>
      <c r="C6" s="1"/>
      <c r="D6" s="3"/>
      <c r="E6" s="1"/>
      <c r="F6" s="1"/>
    </row>
    <row r="7" spans="1:10" x14ac:dyDescent="0.25">
      <c r="A7" s="1"/>
      <c r="B7" s="2"/>
      <c r="C7" s="1"/>
      <c r="D7" s="1"/>
      <c r="E7" s="3"/>
      <c r="F7" s="1"/>
    </row>
    <row r="8" spans="1:10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0" ht="16.5" thickBot="1" x14ac:dyDescent="0.3">
      <c r="B9" s="60"/>
      <c r="C9" s="61"/>
      <c r="D9" s="60"/>
      <c r="E9" s="62"/>
      <c r="F9" s="60" t="s">
        <v>8</v>
      </c>
      <c r="G9" s="60"/>
    </row>
    <row r="10" spans="1:10" ht="16.5" thickTop="1" x14ac:dyDescent="0.25">
      <c r="B10" s="63"/>
      <c r="C10" s="64"/>
      <c r="D10" s="64"/>
      <c r="E10" s="63"/>
      <c r="F10" s="65"/>
      <c r="G10" s="63"/>
    </row>
    <row r="11" spans="1:10" ht="15.75" x14ac:dyDescent="0.25">
      <c r="B11" s="85" t="s">
        <v>155</v>
      </c>
      <c r="C11" s="66">
        <v>6205</v>
      </c>
      <c r="D11" s="67">
        <v>422320</v>
      </c>
      <c r="E11" s="68">
        <v>211.16</v>
      </c>
      <c r="F11" s="190">
        <v>-36</v>
      </c>
      <c r="G11" s="69">
        <v>-7601.76</v>
      </c>
      <c r="I11" s="211"/>
      <c r="J11" s="211"/>
    </row>
    <row r="12" spans="1:10" ht="15.75" x14ac:dyDescent="0.25">
      <c r="B12" s="86" t="s">
        <v>154</v>
      </c>
      <c r="C12" s="67">
        <v>6261</v>
      </c>
      <c r="D12" s="67">
        <v>400020</v>
      </c>
      <c r="E12" s="71">
        <v>200.01</v>
      </c>
      <c r="F12" s="191">
        <v>-36</v>
      </c>
      <c r="G12" s="69">
        <v>-7200.36</v>
      </c>
      <c r="I12" s="211"/>
      <c r="J12" s="211"/>
    </row>
    <row r="13" spans="1:10" ht="15.75" x14ac:dyDescent="0.25">
      <c r="B13" s="86" t="s">
        <v>153</v>
      </c>
      <c r="C13" s="67">
        <v>6266</v>
      </c>
      <c r="D13" s="67">
        <v>520200</v>
      </c>
      <c r="E13" s="71">
        <v>260.10000000000002</v>
      </c>
      <c r="F13" s="191">
        <v>-31.5</v>
      </c>
      <c r="G13" s="69">
        <v>-8193.15</v>
      </c>
      <c r="I13" s="211"/>
      <c r="J13" s="211"/>
    </row>
    <row r="14" spans="1:10" ht="15.75" x14ac:dyDescent="0.25">
      <c r="B14" s="86" t="s">
        <v>152</v>
      </c>
      <c r="C14" s="67">
        <v>6264</v>
      </c>
      <c r="D14" s="67">
        <v>368900</v>
      </c>
      <c r="E14" s="71">
        <v>184.45</v>
      </c>
      <c r="F14" s="191">
        <v>-27</v>
      </c>
      <c r="G14" s="69">
        <v>-4980.1499999999996</v>
      </c>
      <c r="I14" s="211"/>
      <c r="J14" s="211"/>
    </row>
    <row r="15" spans="1:10" ht="15.75" x14ac:dyDescent="0.25">
      <c r="B15" s="86" t="s">
        <v>151</v>
      </c>
      <c r="C15" s="67">
        <v>6274</v>
      </c>
      <c r="D15" s="67">
        <v>380020</v>
      </c>
      <c r="E15" s="71">
        <v>190.01</v>
      </c>
      <c r="F15" s="191">
        <v>-22.5</v>
      </c>
      <c r="G15" s="69">
        <v>-4275.2299999999996</v>
      </c>
      <c r="I15" s="211"/>
      <c r="J15" s="211"/>
    </row>
    <row r="16" spans="1:10" ht="15.75" x14ac:dyDescent="0.25">
      <c r="B16" s="87" t="s">
        <v>150</v>
      </c>
      <c r="C16" s="67">
        <v>6284</v>
      </c>
      <c r="D16" s="67">
        <v>443560</v>
      </c>
      <c r="E16" s="71">
        <v>221.78</v>
      </c>
      <c r="F16" s="191">
        <v>-20.5</v>
      </c>
      <c r="G16" s="69">
        <v>-4546.49</v>
      </c>
      <c r="I16" s="211"/>
      <c r="J16" s="211"/>
    </row>
    <row r="17" spans="1:10" ht="15.75" x14ac:dyDescent="0.25">
      <c r="B17" s="87" t="s">
        <v>149</v>
      </c>
      <c r="C17" s="67">
        <v>6293</v>
      </c>
      <c r="D17" s="67">
        <v>436080</v>
      </c>
      <c r="E17" s="71">
        <v>218.04</v>
      </c>
      <c r="F17" s="191">
        <v>-16.899999999999999</v>
      </c>
      <c r="G17" s="69">
        <v>-3684.8760000000002</v>
      </c>
      <c r="I17" s="211"/>
      <c r="J17" s="211"/>
    </row>
    <row r="18" spans="1:10" ht="15.75" x14ac:dyDescent="0.25">
      <c r="B18" s="87" t="s">
        <v>148</v>
      </c>
      <c r="C18" s="67">
        <v>6309</v>
      </c>
      <c r="D18" s="67">
        <v>377280</v>
      </c>
      <c r="E18" s="71">
        <v>188.64</v>
      </c>
      <c r="F18" s="191">
        <v>-7.4</v>
      </c>
      <c r="G18" s="69">
        <v>-1395.9359999999999</v>
      </c>
      <c r="I18" s="211"/>
      <c r="J18" s="211"/>
    </row>
    <row r="19" spans="1:10" ht="15.75" x14ac:dyDescent="0.25">
      <c r="B19" s="87" t="s">
        <v>147</v>
      </c>
      <c r="C19" s="67">
        <v>6331</v>
      </c>
      <c r="D19" s="67">
        <v>509700</v>
      </c>
      <c r="E19" s="71">
        <v>254.85</v>
      </c>
      <c r="F19" s="191">
        <v>-15.9</v>
      </c>
      <c r="G19" s="69">
        <v>-4052.1149999999998</v>
      </c>
      <c r="I19" s="211"/>
      <c r="J19" s="211"/>
    </row>
    <row r="20" spans="1:10" ht="15.75" x14ac:dyDescent="0.25">
      <c r="B20" s="87" t="s">
        <v>146</v>
      </c>
      <c r="C20" s="67">
        <v>6349</v>
      </c>
      <c r="D20" s="67">
        <v>447920</v>
      </c>
      <c r="E20" s="71">
        <v>223.96</v>
      </c>
      <c r="F20" s="191">
        <v>-19.75</v>
      </c>
      <c r="G20" s="69">
        <v>-4423.21</v>
      </c>
      <c r="H20" s="189"/>
      <c r="I20" s="211"/>
      <c r="J20" s="211"/>
    </row>
    <row r="21" spans="1:10" ht="15.75" x14ac:dyDescent="0.25">
      <c r="B21" s="87" t="s">
        <v>145</v>
      </c>
      <c r="C21" s="67">
        <v>6368</v>
      </c>
      <c r="D21" s="67">
        <v>468160</v>
      </c>
      <c r="E21" s="71">
        <v>234.08</v>
      </c>
      <c r="F21" s="191">
        <v>-15.72</v>
      </c>
      <c r="G21" s="69">
        <v>-3679.7375999999999</v>
      </c>
      <c r="I21" s="211"/>
      <c r="J21" s="211"/>
    </row>
    <row r="22" spans="1:10" ht="15.75" x14ac:dyDescent="0.25">
      <c r="B22" s="87" t="s">
        <v>144</v>
      </c>
      <c r="C22" s="74">
        <v>6382</v>
      </c>
      <c r="D22" s="74">
        <v>447800</v>
      </c>
      <c r="E22" s="109">
        <v>223.9</v>
      </c>
      <c r="F22" s="191">
        <v>-11.22</v>
      </c>
      <c r="G22" s="188">
        <v>-2512.1579999999999</v>
      </c>
      <c r="I22" s="211"/>
      <c r="J22" s="211"/>
    </row>
    <row r="23" spans="1:10" ht="15.75" x14ac:dyDescent="0.25">
      <c r="A23" t="s">
        <v>41</v>
      </c>
      <c r="B23" s="58"/>
      <c r="C23" s="88">
        <f>SUM(C11:C22)</f>
        <v>75586</v>
      </c>
      <c r="D23" s="88">
        <f>SUM(D11:D22)</f>
        <v>5221960</v>
      </c>
      <c r="E23" s="108">
        <f>SUM(E11:E22)</f>
        <v>2610.98</v>
      </c>
      <c r="F23" s="192"/>
      <c r="G23" s="89">
        <f>SUM(G11:G22)</f>
        <v>-56545.172600000005</v>
      </c>
    </row>
    <row r="24" spans="1:10" ht="15.75" x14ac:dyDescent="0.25">
      <c r="B24" s="81"/>
      <c r="C24" s="82"/>
      <c r="D24" s="83"/>
      <c r="E24" s="84" t="s">
        <v>0</v>
      </c>
      <c r="F24" s="193"/>
      <c r="G24" s="79"/>
    </row>
    <row r="25" spans="1:10" ht="15.75" x14ac:dyDescent="0.25">
      <c r="B25" s="184"/>
      <c r="C25" s="183"/>
      <c r="E25" s="185"/>
      <c r="F25" s="194"/>
    </row>
    <row r="26" spans="1:10" x14ac:dyDescent="0.25">
      <c r="E26" s="185"/>
      <c r="F26" s="194"/>
    </row>
    <row r="27" spans="1:10" x14ac:dyDescent="0.25">
      <c r="E27" s="185"/>
      <c r="F27" s="194"/>
    </row>
    <row r="28" spans="1:10" x14ac:dyDescent="0.25">
      <c r="E28" s="185"/>
      <c r="F28" s="194"/>
    </row>
    <row r="29" spans="1:10" x14ac:dyDescent="0.25">
      <c r="E29" s="185"/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4"/>
  <sheetViews>
    <sheetView workbookViewId="0">
      <selection activeCell="J20" sqref="J20"/>
    </sheetView>
  </sheetViews>
  <sheetFormatPr defaultRowHeight="15" x14ac:dyDescent="0.25"/>
  <cols>
    <col min="1" max="1" width="3.28515625" customWidth="1"/>
    <col min="3" max="3" width="16.42578125" customWidth="1"/>
    <col min="4" max="7" width="12.7109375" customWidth="1"/>
  </cols>
  <sheetData>
    <row r="1" spans="1:7" ht="23.25" x14ac:dyDescent="0.35">
      <c r="A1" s="257" t="s">
        <v>1</v>
      </c>
      <c r="B1" s="257"/>
      <c r="C1" s="257"/>
      <c r="D1" s="257"/>
      <c r="E1" s="257"/>
      <c r="F1" s="257"/>
      <c r="G1" s="257"/>
    </row>
    <row r="2" spans="1:7" ht="18" x14ac:dyDescent="0.25">
      <c r="A2" s="258" t="s">
        <v>3</v>
      </c>
      <c r="B2" s="258"/>
      <c r="C2" s="258"/>
      <c r="D2" s="258"/>
      <c r="E2" s="258"/>
      <c r="F2" s="258"/>
      <c r="G2" s="258"/>
    </row>
    <row r="3" spans="1:7" ht="15.75" x14ac:dyDescent="0.25">
      <c r="A3" s="259" t="s">
        <v>129</v>
      </c>
      <c r="B3" s="259"/>
      <c r="C3" s="259"/>
      <c r="D3" s="259"/>
      <c r="E3" s="259"/>
      <c r="F3" s="259"/>
      <c r="G3" s="259"/>
    </row>
    <row r="4" spans="1:7" x14ac:dyDescent="0.25">
      <c r="A4" s="1"/>
      <c r="B4" s="1"/>
      <c r="C4" s="2"/>
      <c r="D4" s="1"/>
      <c r="E4" s="1"/>
      <c r="F4" s="3"/>
      <c r="G4" s="1"/>
    </row>
    <row r="5" spans="1:7" x14ac:dyDescent="0.25">
      <c r="A5" s="1"/>
      <c r="B5" s="1"/>
      <c r="C5" s="2"/>
      <c r="D5" s="1"/>
      <c r="E5" s="1"/>
      <c r="F5" s="3"/>
      <c r="G5" s="1"/>
    </row>
    <row r="6" spans="1:7" x14ac:dyDescent="0.25">
      <c r="A6" s="1"/>
      <c r="B6" s="1"/>
      <c r="C6" s="2"/>
      <c r="D6" s="1"/>
      <c r="E6" s="1"/>
      <c r="F6" s="3"/>
      <c r="G6" s="1"/>
    </row>
    <row r="7" spans="1:7" x14ac:dyDescent="0.25">
      <c r="A7" s="1"/>
      <c r="B7" s="1"/>
      <c r="C7" s="2"/>
      <c r="D7" s="1"/>
      <c r="E7" s="1"/>
      <c r="F7" s="3"/>
      <c r="G7" s="1"/>
    </row>
    <row r="8" spans="1:7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7" ht="16.5" thickBot="1" x14ac:dyDescent="0.3">
      <c r="B9" s="60"/>
      <c r="C9" s="61"/>
      <c r="D9" s="60"/>
      <c r="E9" s="62"/>
      <c r="F9" s="60" t="s">
        <v>8</v>
      </c>
      <c r="G9" s="60"/>
    </row>
    <row r="10" spans="1:7" ht="16.5" thickTop="1" x14ac:dyDescent="0.25">
      <c r="B10" s="63"/>
      <c r="C10" s="64"/>
      <c r="D10" s="64"/>
      <c r="E10" s="63"/>
      <c r="F10" s="65"/>
      <c r="G10" s="63"/>
    </row>
    <row r="11" spans="1:7" ht="15.75" x14ac:dyDescent="0.25">
      <c r="B11" s="85" t="s">
        <v>130</v>
      </c>
      <c r="C11" s="186">
        <v>1349</v>
      </c>
      <c r="D11" s="67">
        <f>+E11*2000</f>
        <v>31960</v>
      </c>
      <c r="E11" s="68">
        <v>15.98</v>
      </c>
      <c r="F11" s="69">
        <v>0</v>
      </c>
      <c r="G11" s="70">
        <f>+E11*F11</f>
        <v>0</v>
      </c>
    </row>
    <row r="12" spans="1:7" ht="15.75" x14ac:dyDescent="0.25">
      <c r="B12" s="86" t="s">
        <v>131</v>
      </c>
      <c r="C12" s="186">
        <v>1349</v>
      </c>
      <c r="D12" s="67">
        <f t="shared" ref="D12:D22" si="0">+E12*2000</f>
        <v>32700.000000000004</v>
      </c>
      <c r="E12" s="71">
        <v>16.350000000000001</v>
      </c>
      <c r="F12" s="72">
        <v>-9.5</v>
      </c>
      <c r="G12" s="70">
        <f t="shared" ref="G12:G22" si="1">+E12*F12</f>
        <v>-155.32500000000002</v>
      </c>
    </row>
    <row r="13" spans="1:7" ht="15.75" x14ac:dyDescent="0.25">
      <c r="B13" s="86" t="s">
        <v>132</v>
      </c>
      <c r="C13" s="186">
        <v>1349</v>
      </c>
      <c r="D13" s="67">
        <f t="shared" si="0"/>
        <v>40960</v>
      </c>
      <c r="E13" s="71">
        <v>20.48</v>
      </c>
      <c r="F13" s="72">
        <v>-12.5</v>
      </c>
      <c r="G13" s="70">
        <f t="shared" si="1"/>
        <v>-256</v>
      </c>
    </row>
    <row r="14" spans="1:7" ht="15.75" x14ac:dyDescent="0.25">
      <c r="B14" s="86" t="s">
        <v>133</v>
      </c>
      <c r="C14" s="186">
        <v>1349</v>
      </c>
      <c r="D14" s="67">
        <f t="shared" si="0"/>
        <v>41240</v>
      </c>
      <c r="E14" s="71">
        <v>20.62</v>
      </c>
      <c r="F14" s="72">
        <v>-12.5</v>
      </c>
      <c r="G14" s="70">
        <f t="shared" si="1"/>
        <v>-257.75</v>
      </c>
    </row>
    <row r="15" spans="1:7" ht="15.75" x14ac:dyDescent="0.25">
      <c r="B15" s="86" t="s">
        <v>134</v>
      </c>
      <c r="C15" s="186">
        <v>1349</v>
      </c>
      <c r="D15" s="67">
        <f t="shared" si="0"/>
        <v>35320</v>
      </c>
      <c r="E15" s="71">
        <v>17.66</v>
      </c>
      <c r="F15" s="72">
        <v>-10.5</v>
      </c>
      <c r="G15" s="70">
        <f t="shared" si="1"/>
        <v>-185.43</v>
      </c>
    </row>
    <row r="16" spans="1:7" ht="15.75" x14ac:dyDescent="0.25">
      <c r="B16" s="87" t="s">
        <v>135</v>
      </c>
      <c r="C16" s="186">
        <v>1349</v>
      </c>
      <c r="D16" s="67">
        <f t="shared" si="0"/>
        <v>56480</v>
      </c>
      <c r="E16" s="71">
        <v>28.24</v>
      </c>
      <c r="F16" s="72">
        <v>-8.5</v>
      </c>
      <c r="G16" s="70">
        <f t="shared" si="1"/>
        <v>-240.04</v>
      </c>
    </row>
    <row r="17" spans="1:7" ht="15.75" x14ac:dyDescent="0.25">
      <c r="B17" s="87" t="s">
        <v>136</v>
      </c>
      <c r="C17" s="186">
        <v>1349</v>
      </c>
      <c r="D17" s="67">
        <f t="shared" si="0"/>
        <v>55320</v>
      </c>
      <c r="E17" s="71">
        <v>27.66</v>
      </c>
      <c r="F17" s="72">
        <v>-8.5</v>
      </c>
      <c r="G17" s="70">
        <f t="shared" si="1"/>
        <v>-235.11</v>
      </c>
    </row>
    <row r="18" spans="1:7" ht="15.75" x14ac:dyDescent="0.25">
      <c r="B18" s="87" t="s">
        <v>137</v>
      </c>
      <c r="C18" s="186">
        <v>1349</v>
      </c>
      <c r="D18" s="67">
        <f t="shared" si="0"/>
        <v>39540</v>
      </c>
      <c r="E18" s="71">
        <v>19.77</v>
      </c>
      <c r="F18" s="72">
        <v>-17.5</v>
      </c>
      <c r="G18" s="70">
        <f t="shared" si="1"/>
        <v>-345.97499999999997</v>
      </c>
    </row>
    <row r="19" spans="1:7" ht="15.75" x14ac:dyDescent="0.25">
      <c r="B19" s="87" t="s">
        <v>138</v>
      </c>
      <c r="C19" s="186">
        <v>1349</v>
      </c>
      <c r="D19" s="67">
        <f t="shared" si="0"/>
        <v>42960</v>
      </c>
      <c r="E19" s="71">
        <v>21.48</v>
      </c>
      <c r="F19" s="72">
        <v>-20.5</v>
      </c>
      <c r="G19" s="70">
        <f t="shared" si="1"/>
        <v>-440.34000000000003</v>
      </c>
    </row>
    <row r="20" spans="1:7" ht="15.75" x14ac:dyDescent="0.25">
      <c r="B20" s="87" t="s">
        <v>139</v>
      </c>
      <c r="C20" s="186">
        <v>1349</v>
      </c>
      <c r="D20" s="67">
        <f t="shared" si="0"/>
        <v>64640</v>
      </c>
      <c r="E20" s="71">
        <v>32.32</v>
      </c>
      <c r="F20" s="72">
        <v>-20.5</v>
      </c>
      <c r="G20" s="70">
        <f t="shared" si="1"/>
        <v>-662.56000000000006</v>
      </c>
    </row>
    <row r="21" spans="1:7" ht="15.75" x14ac:dyDescent="0.25">
      <c r="B21" s="87" t="s">
        <v>140</v>
      </c>
      <c r="C21" s="186">
        <v>1349</v>
      </c>
      <c r="D21" s="67">
        <f t="shared" si="0"/>
        <v>35860</v>
      </c>
      <c r="E21" s="71">
        <v>17.93</v>
      </c>
      <c r="F21" s="72">
        <v>-24</v>
      </c>
      <c r="G21" s="70">
        <f t="shared" si="1"/>
        <v>-430.32</v>
      </c>
    </row>
    <row r="22" spans="1:7" ht="15.75" x14ac:dyDescent="0.25">
      <c r="B22" s="87" t="s">
        <v>141</v>
      </c>
      <c r="C22" s="187">
        <v>1349</v>
      </c>
      <c r="D22" s="74">
        <f t="shared" si="0"/>
        <v>59940</v>
      </c>
      <c r="E22" s="109">
        <v>29.97</v>
      </c>
      <c r="F22" s="72">
        <v>-28.25</v>
      </c>
      <c r="G22" s="75">
        <f t="shared" si="1"/>
        <v>-846.65249999999992</v>
      </c>
    </row>
    <row r="23" spans="1:7" ht="15.75" x14ac:dyDescent="0.25">
      <c r="A23" t="s">
        <v>41</v>
      </c>
      <c r="B23" s="76"/>
      <c r="C23" s="186">
        <f>SUM(C11:C22)</f>
        <v>16188</v>
      </c>
      <c r="D23" s="88">
        <f>SUM(D11:D22)</f>
        <v>536920</v>
      </c>
      <c r="E23" s="107">
        <f>SUM(E11:E22)</f>
        <v>268.46000000000004</v>
      </c>
      <c r="F23" s="79"/>
      <c r="G23" s="80">
        <f>SUM(G11:G22)</f>
        <v>-4055.5025000000005</v>
      </c>
    </row>
    <row r="24" spans="1:7" ht="15.75" x14ac:dyDescent="0.25">
      <c r="B24" s="63"/>
      <c r="C24" s="186"/>
      <c r="D24" s="81"/>
      <c r="E24" s="82"/>
      <c r="F24" s="83"/>
      <c r="G24" s="84" t="s">
        <v>0</v>
      </c>
    </row>
  </sheetData>
  <mergeCells count="3">
    <mergeCell ref="A1:G1"/>
    <mergeCell ref="A2:G2"/>
    <mergeCell ref="A3:G3"/>
  </mergeCells>
  <phoneticPr fontId="9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C7FA38891174D43B500C8260B81474A" ma:contentTypeVersion="15" ma:contentTypeDescription="" ma:contentTypeScope="" ma:versionID="ecc88ebeb11f6bf53383923d011340b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f2a13648ce5d99e5ad3debc9bd00b1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2:IsEFSEC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8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>
      <xsd:simpleType>
        <xsd:restriction base="dms:Choice">
          <xsd:enumeration value="Full Visibility"/>
          <xsd:enumeration value="Internal Only"/>
        </xsd:restriction>
      </xsd:simpleType>
    </xsd:element>
    <xsd:element name="IsEFSEC" ma:index="17" nillable="true" ma:displayName="IsEFSEC" ma:default="0" ma:internalName="IsEFSEC">
      <xsd:simpleType>
        <xsd:restriction base="dms:Boolean"/>
      </xsd:simpleType>
    </xsd:element>
    <xsd:element name="SignificantOrder" ma:index="25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7519490F9B7404FA183681C5B7D9B33" ma:contentTypeVersion="76" ma:contentTypeDescription="" ma:contentTypeScope="" ma:versionID="1b6adf041d576e734a72c1ac04e1e9d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2018-09-17T07:00:00+00:00</OpenedDate>
    <SignificantOrder xmlns="dc463f71-b30c-4ab2-9473-d307f9d35888">false</SignificantOrder>
    <Date1 xmlns="dc463f71-b30c-4ab2-9473-d307f9d35888">2018-09-17T07:00:00+00:00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Bainbridge Disposal, Inc</CaseCompanyNames>
    <Nickname xmlns="http://schemas.microsoft.com/sharepoint/v3" xsi:nil="true"/>
    <DocketNumber xmlns="dc463f71-b30c-4ab2-9473-d307f9d35888">180793</DocketNumber>
    <DelegatedOrder xmlns="dc463f71-b30c-4ab2-9473-d307f9d35888">false</DelegatedOrder>
  </documentManagement>
</p:properties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5C9AF4E-3DCA-4230-BC99-3D70510E0F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7E1BD9-A754-4EF2-A684-BDB5883F8C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c463f71-b30c-4ab2-9473-d307f9d358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BDD3A4-250D-476F-9F8F-DA47CF32AB57}"/>
</file>

<file path=customXml/itemProps4.xml><?xml version="1.0" encoding="utf-8"?>
<ds:datastoreItem xmlns:ds="http://schemas.openxmlformats.org/officeDocument/2006/customXml" ds:itemID="{EB5F2745-C311-4CBF-A376-4BFC69D0A006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dc463f71-b30c-4ab2-9473-d307f9d35888"/>
    <ds:schemaRef ds:uri="http://schemas.microsoft.com/office/infopath/2007/PartnerControls"/>
  </ds:schemaRefs>
</ds:datastoreItem>
</file>

<file path=customXml/itemProps5.xml><?xml version="1.0" encoding="utf-8"?>
<ds:datastoreItem xmlns:ds="http://schemas.openxmlformats.org/officeDocument/2006/customXml" ds:itemID="{2847925F-A967-47D4-AFCF-79A7A51E80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4</vt:i4>
      </vt:variant>
    </vt:vector>
  </HeadingPairs>
  <TitlesOfParts>
    <vt:vector size="23" baseType="lpstr">
      <vt:lpstr>Analysis</vt:lpstr>
      <vt:lpstr>Calcs revised method</vt:lpstr>
      <vt:lpstr>Multi-Family 2018 </vt:lpstr>
      <vt:lpstr>Multi-Family 2017</vt:lpstr>
      <vt:lpstr>Single Family 2018 </vt:lpstr>
      <vt:lpstr>Single Family 2017</vt:lpstr>
      <vt:lpstr>Multi-Family 2016</vt:lpstr>
      <vt:lpstr>Single Family 2016</vt:lpstr>
      <vt:lpstr>Multi-Family 2015</vt:lpstr>
      <vt:lpstr>Single Family 2015</vt:lpstr>
      <vt:lpstr>Multi-Family 2014</vt:lpstr>
      <vt:lpstr>Single Family 2014</vt:lpstr>
      <vt:lpstr>Multi-Family Year 2013</vt:lpstr>
      <vt:lpstr>Curbside Year 2013</vt:lpstr>
      <vt:lpstr>Tarriff Revenue Billed</vt:lpstr>
      <vt:lpstr>Credit Calc-Single Family 2014</vt:lpstr>
      <vt:lpstr>Credit Calc-Multi Family 2014</vt:lpstr>
      <vt:lpstr>Credit Calc-Single Family 2013</vt:lpstr>
      <vt:lpstr>Credit Calc Multi-Family 2013</vt:lpstr>
      <vt:lpstr>Analysis!Print_Area</vt:lpstr>
      <vt:lpstr>'Credit Calc Multi-Family 2013'!Print_Area</vt:lpstr>
      <vt:lpstr>'Credit Calc-Multi Family 2014'!Print_Area</vt:lpstr>
      <vt:lpstr>'Credit Calc-Single Family 2014'!Print_Area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</dc:creator>
  <cp:lastModifiedBy>Jackie Davis</cp:lastModifiedBy>
  <cp:lastPrinted>2017-02-28T20:08:08Z</cp:lastPrinted>
  <dcterms:created xsi:type="dcterms:W3CDTF">2011-01-20T20:41:17Z</dcterms:created>
  <dcterms:modified xsi:type="dcterms:W3CDTF">2018-09-16T23:39:33Z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0x0101006E56B4D1795A2E4DB2F0B01679ED314A0007519490F9B7404FA183681C5B7D9B33</vt:lpwstr>
  </property>
  <property fmtid="{D5CDD505-2E9C-101B-9397-08002B2CF9AE}" pid="3" name="EFilingId">
    <vt:lpwstr>1732</vt:lpwstr>
  </property>
  <property fmtid="{D5CDD505-2E9C-101B-9397-08002B2CF9AE}" pid="4" name="Confidentiality">
    <vt:lpwstr>None</vt:lpwstr>
  </property>
  <property fmtid="{D5CDD505-2E9C-101B-9397-08002B2CF9AE}" pid="5" name="EFilingLookup">
    <vt:lpwstr/>
  </property>
  <property fmtid="{D5CDD505-2E9C-101B-9397-08002B2CF9AE}" pid="6" name="DocumentDescription">
    <vt:lpwstr>Excel File containing statistical data with rate calculations</vt:lpwstr>
  </property>
  <property fmtid="{D5CDD505-2E9C-101B-9397-08002B2CF9AE}" pid="7" name="_docset_NoMedatataSyncRequired">
    <vt:lpwstr>False</vt:lpwstr>
  </property>
  <property fmtid="{D5CDD505-2E9C-101B-9397-08002B2CF9AE}" pid="8" name="IsEFSEC">
    <vt:bool>false</vt:bool>
  </property>
</Properties>
</file>