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612" firstSheet="1" activeTab="5"/>
  </bookViews>
  <sheets>
    <sheet name="wp6 14 18 Forecast Usage by Sch" sheetId="13" r:id="rId1"/>
    <sheet name="Electric 2018 Rate Calc" sheetId="4" r:id="rId2"/>
    <sheet name="Prior Year Amortization" sheetId="14" r:id="rId3"/>
    <sheet name="Earnings Test and 3% Test" sheetId="6" r:id="rId4"/>
    <sheet name="Conversion Factor" sheetId="2" r:id="rId5"/>
    <sheet name="Bill Impact" sheetId="15" r:id="rId6"/>
  </sheets>
  <definedNames>
    <definedName name="_xlnm.Print_Area" localSheetId="4">'Conversion Factor'!$A$1:$F$116</definedName>
    <definedName name="_xlnm.Print_Area" localSheetId="3">'Earnings Test and 3% Test'!$A$1:$H$65</definedName>
    <definedName name="_xlnm.Print_Area" localSheetId="1">'Electric 2018 Rate Calc'!$A$1:$L$83</definedName>
    <definedName name="_xlnm.Print_Area" localSheetId="2">'Prior Year Amortization'!$A$1:$I$37</definedName>
    <definedName name="_xlnm.Print_Titles" localSheetId="3">'Earnings Test and 3% Test'!$1:$4</definedName>
    <definedName name="_xlnm.Print_Titles" localSheetId="1">'Electric 2018 Rate Calc'!$1:$3</definedName>
    <definedName name="Z_5C6B1FA1_B621_4699_B8F7_5011E8FF1BCD_.wvu.PrintArea" localSheetId="4" hidden="1">'Conversion Factor'!$A$1:$F$116</definedName>
    <definedName name="Z_5C6B1FA1_B621_4699_B8F7_5011E8FF1BCD_.wvu.PrintArea" localSheetId="3" hidden="1">'Earnings Test and 3% Test'!$B$1:$H$64</definedName>
    <definedName name="Z_5C6B1FA1_B621_4699_B8F7_5011E8FF1BCD_.wvu.PrintArea" localSheetId="1" hidden="1">'Electric 2018 Rate Calc'!$B$1:$K$71</definedName>
    <definedName name="Z_5C6B1FA1_B621_4699_B8F7_5011E8FF1BCD_.wvu.PrintTitles" localSheetId="3" hidden="1">'Earnings Test and 3% Test'!$1:$4</definedName>
    <definedName name="Z_5C6B1FA1_B621_4699_B8F7_5011E8FF1BCD_.wvu.PrintTitles" localSheetId="1" hidden="1">'Electric 2018 Rate Calc'!$1:$3</definedName>
    <definedName name="Z_5C6B1FA1_B621_4699_B8F7_5011E8FF1BCD_.wvu.Rows" localSheetId="4" hidden="1">'Conversion Factor'!$1:$88</definedName>
    <definedName name="Z_6A207E9B_31ED_4215_AD4F_ABB2957B65E4_.wvu.PrintArea" localSheetId="4" hidden="1">'Conversion Factor'!$A$1:$F$116</definedName>
    <definedName name="Z_6A207E9B_31ED_4215_AD4F_ABB2957B65E4_.wvu.PrintArea" localSheetId="3" hidden="1">'Earnings Test and 3% Test'!$J$6:$T$47</definedName>
    <definedName name="Z_6A207E9B_31ED_4215_AD4F_ABB2957B65E4_.wvu.PrintArea" localSheetId="1" hidden="1">'Electric 2018 Rate Calc'!$B$1:$K$71</definedName>
    <definedName name="Z_6A207E9B_31ED_4215_AD4F_ABB2957B65E4_.wvu.PrintTitles" localSheetId="3" hidden="1">'Earnings Test and 3% Test'!$1:$4</definedName>
    <definedName name="Z_6A207E9B_31ED_4215_AD4F_ABB2957B65E4_.wvu.PrintTitles" localSheetId="1" hidden="1">'Electric 2018 Rate Calc'!$1:$3</definedName>
    <definedName name="Z_6A207E9B_31ED_4215_AD4F_ABB2957B65E4_.wvu.Rows" localSheetId="4" hidden="1">'Conversion Factor'!$1:$88</definedName>
  </definedNames>
  <calcPr calcId="152511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</workbook>
</file>

<file path=xl/calcChain.xml><?xml version="1.0" encoding="utf-8"?>
<calcChain xmlns="http://schemas.openxmlformats.org/spreadsheetml/2006/main">
  <c r="D11" i="15" l="1"/>
  <c r="L11" i="15"/>
  <c r="D17" i="15"/>
  <c r="D15" i="15"/>
  <c r="D13" i="15"/>
  <c r="C26" i="14"/>
  <c r="B26" i="14"/>
  <c r="G28" i="14"/>
  <c r="G31" i="14"/>
  <c r="G34" i="14"/>
  <c r="G26" i="14"/>
  <c r="C9" i="14"/>
  <c r="E35" i="6" l="1"/>
  <c r="E34" i="6"/>
  <c r="D14" i="6"/>
  <c r="B10" i="14" l="1"/>
  <c r="B27" i="14" s="1"/>
  <c r="L61" i="4"/>
  <c r="L62" i="4"/>
  <c r="L63" i="4"/>
  <c r="L64" i="4"/>
  <c r="L65" i="4"/>
  <c r="L66" i="4"/>
  <c r="L67" i="4"/>
  <c r="L68" i="4"/>
  <c r="L69" i="4"/>
  <c r="L70" i="4"/>
  <c r="L71" i="4"/>
  <c r="L60" i="4"/>
  <c r="L50" i="4"/>
  <c r="L51" i="4"/>
  <c r="L52" i="4"/>
  <c r="L53" i="4"/>
  <c r="L54" i="4"/>
  <c r="L55" i="4"/>
  <c r="L56" i="4"/>
  <c r="L57" i="4"/>
  <c r="L58" i="4"/>
  <c r="L49" i="4"/>
  <c r="F51" i="4"/>
  <c r="F53" i="4" s="1"/>
  <c r="F54" i="4" s="1"/>
  <c r="F56" i="4" s="1"/>
  <c r="F57" i="4" s="1"/>
  <c r="F58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50" i="4"/>
  <c r="B71" i="4"/>
  <c r="B62" i="4"/>
  <c r="B63" i="4" s="1"/>
  <c r="B64" i="4" s="1"/>
  <c r="B65" i="4" s="1"/>
  <c r="B66" i="4" s="1"/>
  <c r="B67" i="4" s="1"/>
  <c r="B68" i="4" s="1"/>
  <c r="B69" i="4" s="1"/>
  <c r="B70" i="4" s="1"/>
  <c r="B61" i="4"/>
  <c r="B60" i="4"/>
  <c r="B58" i="4"/>
  <c r="B51" i="4"/>
  <c r="B52" i="4" s="1"/>
  <c r="B53" i="4" s="1"/>
  <c r="B54" i="4" s="1"/>
  <c r="B55" i="4" s="1"/>
  <c r="B56" i="4" s="1"/>
  <c r="B57" i="4" s="1"/>
  <c r="B5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9" i="4"/>
  <c r="M5" i="13"/>
  <c r="B11" i="14" l="1"/>
  <c r="J31" i="15"/>
  <c r="J30" i="15"/>
  <c r="J29" i="15"/>
  <c r="J28" i="15"/>
  <c r="L25" i="15"/>
  <c r="D25" i="15"/>
  <c r="L23" i="15"/>
  <c r="D23" i="15"/>
  <c r="J17" i="15"/>
  <c r="H17" i="15"/>
  <c r="F17" i="15"/>
  <c r="J15" i="15"/>
  <c r="H15" i="15"/>
  <c r="F15" i="15"/>
  <c r="G15" i="15" s="1"/>
  <c r="M15" i="15" s="1"/>
  <c r="J13" i="15"/>
  <c r="H13" i="15"/>
  <c r="F13" i="15"/>
  <c r="J11" i="15"/>
  <c r="I33" i="15" s="1"/>
  <c r="J33" i="15" s="1"/>
  <c r="H11" i="15"/>
  <c r="F11" i="15"/>
  <c r="B12" i="14" l="1"/>
  <c r="B28" i="14"/>
  <c r="J32" i="15"/>
  <c r="J34" i="15" s="1"/>
  <c r="G17" i="15"/>
  <c r="M17" i="15" s="1"/>
  <c r="F23" i="15"/>
  <c r="G13" i="15"/>
  <c r="M13" i="15" s="1"/>
  <c r="J35" i="15"/>
  <c r="H23" i="15"/>
  <c r="F25" i="15"/>
  <c r="G11" i="15"/>
  <c r="H25" i="15"/>
  <c r="B13" i="14" l="1"/>
  <c r="B29" i="14"/>
  <c r="G25" i="15"/>
  <c r="M25" i="15" s="1"/>
  <c r="G23" i="15"/>
  <c r="M23" i="15" s="1"/>
  <c r="M11" i="15"/>
  <c r="B14" i="14" l="1"/>
  <c r="B30" i="14"/>
  <c r="D26" i="14"/>
  <c r="F26" i="14" s="1"/>
  <c r="C27" i="14" s="1"/>
  <c r="D9" i="14"/>
  <c r="B15" i="14" l="1"/>
  <c r="B31" i="14"/>
  <c r="B16" i="14" l="1"/>
  <c r="B32" i="14"/>
  <c r="F9" i="14"/>
  <c r="C10" i="14" s="1"/>
  <c r="B17" i="14" l="1"/>
  <c r="B33" i="14"/>
  <c r="B18" i="14" l="1"/>
  <c r="B34" i="14"/>
  <c r="B19" i="14" l="1"/>
  <c r="B35" i="14"/>
  <c r="B20" i="14" l="1"/>
  <c r="B37" i="14" s="1"/>
  <c r="B36" i="14"/>
  <c r="G18" i="14"/>
  <c r="G15" i="14"/>
  <c r="G12" i="14"/>
  <c r="G10" i="14"/>
  <c r="G19" i="14" l="1"/>
  <c r="G35" i="14"/>
  <c r="G13" i="14"/>
  <c r="G30" i="14" s="1"/>
  <c r="G29" i="14"/>
  <c r="D10" i="14"/>
  <c r="F10" i="14" s="1"/>
  <c r="C11" i="14" s="1"/>
  <c r="G27" i="14"/>
  <c r="D27" i="14" s="1"/>
  <c r="F27" i="14" s="1"/>
  <c r="C28" i="14" s="1"/>
  <c r="D28" i="14" s="1"/>
  <c r="F28" i="14" s="1"/>
  <c r="C29" i="14" s="1"/>
  <c r="G16" i="14"/>
  <c r="G33" i="14" s="1"/>
  <c r="G32" i="14"/>
  <c r="D11" i="14"/>
  <c r="F11" i="14" s="1"/>
  <c r="C12" i="14" s="1"/>
  <c r="H59" i="4"/>
  <c r="H50" i="4"/>
  <c r="H51" i="4"/>
  <c r="H52" i="4"/>
  <c r="H53" i="4"/>
  <c r="H54" i="4"/>
  <c r="H55" i="4"/>
  <c r="H56" i="4"/>
  <c r="H57" i="4"/>
  <c r="H58" i="4"/>
  <c r="H60" i="4"/>
  <c r="H61" i="4"/>
  <c r="H62" i="4"/>
  <c r="H63" i="4"/>
  <c r="H64" i="4"/>
  <c r="H65" i="4"/>
  <c r="H66" i="4"/>
  <c r="H67" i="4"/>
  <c r="H68" i="4"/>
  <c r="H69" i="4"/>
  <c r="H70" i="4"/>
  <c r="H71" i="4"/>
  <c r="H49" i="4"/>
  <c r="H46" i="4"/>
  <c r="H43" i="4"/>
  <c r="E39" i="6"/>
  <c r="D39" i="6"/>
  <c r="D29" i="14" l="1"/>
  <c r="F29" i="14" s="1"/>
  <c r="C30" i="14" s="1"/>
  <c r="D30" i="14" s="1"/>
  <c r="F30" i="14" s="1"/>
  <c r="C31" i="14" s="1"/>
  <c r="D31" i="14" s="1"/>
  <c r="F31" i="14" s="1"/>
  <c r="C32" i="14" s="1"/>
  <c r="D32" i="14" s="1"/>
  <c r="F32" i="14" s="1"/>
  <c r="C33" i="14" s="1"/>
  <c r="D33" i="14" s="1"/>
  <c r="F33" i="14" s="1"/>
  <c r="C34" i="14" s="1"/>
  <c r="D34" i="14" s="1"/>
  <c r="F34" i="14" s="1"/>
  <c r="C35" i="14" s="1"/>
  <c r="G20" i="14"/>
  <c r="G37" i="14" s="1"/>
  <c r="G36" i="14"/>
  <c r="D12" i="14"/>
  <c r="F12" i="14" s="1"/>
  <c r="C13" i="14" s="1"/>
  <c r="D13" i="14" l="1"/>
  <c r="F13" i="14" s="1"/>
  <c r="C14" i="14" s="1"/>
  <c r="D14" i="14" s="1"/>
  <c r="H3" i="4"/>
  <c r="H9" i="4"/>
  <c r="H10" i="4"/>
  <c r="H11" i="4"/>
  <c r="H12" i="4"/>
  <c r="H13" i="4"/>
  <c r="H14" i="4"/>
  <c r="H15" i="4"/>
  <c r="H16" i="4"/>
  <c r="H17" i="4"/>
  <c r="H18" i="4"/>
  <c r="H19" i="4"/>
  <c r="H20" i="4"/>
  <c r="H8" i="4"/>
  <c r="F14" i="14" l="1"/>
  <c r="C15" i="14" s="1"/>
  <c r="D15" i="14" s="1"/>
  <c r="G41" i="6"/>
  <c r="G28" i="6"/>
  <c r="F15" i="14" l="1"/>
  <c r="D30" i="2"/>
  <c r="C16" i="14" l="1"/>
  <c r="D16" i="14" s="1"/>
  <c r="I76" i="4"/>
  <c r="C76" i="4"/>
  <c r="F16" i="14" l="1"/>
  <c r="C17" i="14" s="1"/>
  <c r="D17" i="14" s="1"/>
  <c r="N23" i="13"/>
  <c r="M23" i="13"/>
  <c r="N22" i="13"/>
  <c r="M22" i="13"/>
  <c r="N21" i="13"/>
  <c r="K20" i="4" s="1"/>
  <c r="M21" i="13"/>
  <c r="E20" i="4" s="1"/>
  <c r="N20" i="13"/>
  <c r="K19" i="4" s="1"/>
  <c r="M20" i="13"/>
  <c r="E19" i="4" s="1"/>
  <c r="N19" i="13"/>
  <c r="K18" i="4" s="1"/>
  <c r="M19" i="13"/>
  <c r="E18" i="4" s="1"/>
  <c r="N18" i="13"/>
  <c r="K17" i="4" s="1"/>
  <c r="M18" i="13"/>
  <c r="E17" i="4" s="1"/>
  <c r="N17" i="13"/>
  <c r="K16" i="4" s="1"/>
  <c r="M17" i="13"/>
  <c r="E16" i="4" s="1"/>
  <c r="N16" i="13"/>
  <c r="K15" i="4" s="1"/>
  <c r="M16" i="13"/>
  <c r="E15" i="4" s="1"/>
  <c r="N15" i="13"/>
  <c r="K14" i="4" s="1"/>
  <c r="M15" i="13"/>
  <c r="E14" i="4" s="1"/>
  <c r="N14" i="13"/>
  <c r="K13" i="4" s="1"/>
  <c r="M14" i="13"/>
  <c r="E13" i="4" s="1"/>
  <c r="N13" i="13"/>
  <c r="K12" i="4" s="1"/>
  <c r="M13" i="13"/>
  <c r="E12" i="4" s="1"/>
  <c r="N12" i="13"/>
  <c r="K11" i="4" s="1"/>
  <c r="M12" i="13"/>
  <c r="E11" i="4" s="1"/>
  <c r="N11" i="13"/>
  <c r="K10" i="4" s="1"/>
  <c r="M11" i="13"/>
  <c r="E10" i="4" s="1"/>
  <c r="N10" i="13"/>
  <c r="K9" i="4" s="1"/>
  <c r="M10" i="13"/>
  <c r="E9" i="4" s="1"/>
  <c r="N9" i="13"/>
  <c r="H37" i="14" s="1"/>
  <c r="E37" i="14" s="1"/>
  <c r="M9" i="13"/>
  <c r="H20" i="14" s="1"/>
  <c r="E20" i="14" s="1"/>
  <c r="N8" i="13"/>
  <c r="H36" i="14" s="1"/>
  <c r="E36" i="14" s="1"/>
  <c r="M8" i="13"/>
  <c r="H19" i="14" s="1"/>
  <c r="E19" i="14" s="1"/>
  <c r="N7" i="13"/>
  <c r="H35" i="14" s="1"/>
  <c r="M7" i="13"/>
  <c r="H18" i="14" s="1"/>
  <c r="E18" i="14" s="1"/>
  <c r="N6" i="13"/>
  <c r="M6" i="13"/>
  <c r="N5" i="13"/>
  <c r="E35" i="14" l="1"/>
  <c r="D35" i="14" s="1"/>
  <c r="F35" i="14" s="1"/>
  <c r="C36" i="14" s="1"/>
  <c r="D36" i="14" s="1"/>
  <c r="F36" i="14" s="1"/>
  <c r="C37" i="14" s="1"/>
  <c r="D37" i="14" s="1"/>
  <c r="F37" i="14" s="1"/>
  <c r="I59" i="4" s="1"/>
  <c r="I78" i="4" s="1"/>
  <c r="F17" i="14"/>
  <c r="D30" i="6"/>
  <c r="C18" i="14" l="1"/>
  <c r="D18" i="14" s="1"/>
  <c r="J7" i="4"/>
  <c r="F18" i="14" l="1"/>
  <c r="G30" i="6"/>
  <c r="C19" i="14" l="1"/>
  <c r="D19" i="14" s="1"/>
  <c r="H28" i="6"/>
  <c r="G35" i="6" s="1"/>
  <c r="H26" i="6"/>
  <c r="E26" i="6"/>
  <c r="F19" i="14" l="1"/>
  <c r="H30" i="6"/>
  <c r="G34" i="6"/>
  <c r="E28" i="6"/>
  <c r="E30" i="6" s="1"/>
  <c r="C20" i="14" l="1"/>
  <c r="D20" i="14" s="1"/>
  <c r="G36" i="6"/>
  <c r="F20" i="14" l="1"/>
  <c r="D13" i="6"/>
  <c r="C59" i="4" l="1"/>
  <c r="C78" i="4" s="1"/>
  <c r="D15" i="6"/>
  <c r="D17" i="6" s="1"/>
  <c r="G13" i="6"/>
  <c r="G15" i="6" s="1"/>
  <c r="G17" i="6" l="1"/>
  <c r="G19" i="6" s="1"/>
  <c r="H42" i="4" l="1"/>
  <c r="B42" i="4"/>
  <c r="E22" i="4"/>
  <c r="D41" i="6" s="1"/>
  <c r="K22" i="4" l="1"/>
  <c r="E41" i="6" s="1"/>
  <c r="G49" i="6" l="1"/>
  <c r="G59" i="6" l="1"/>
  <c r="E106" i="2" l="1"/>
  <c r="E108" i="2" s="1"/>
  <c r="E114" i="2" s="1"/>
  <c r="D27" i="4" s="1"/>
  <c r="J27" i="4" s="1"/>
  <c r="E110" i="2" l="1"/>
  <c r="E112" i="2" s="1"/>
  <c r="D18" i="6" s="1"/>
  <c r="D19" i="6" s="1"/>
  <c r="D21" i="6" s="1"/>
  <c r="D34" i="6" l="1"/>
  <c r="D35" i="6"/>
  <c r="I47" i="4" s="1"/>
  <c r="E77" i="2"/>
  <c r="E79" i="2" s="1"/>
  <c r="E87" i="2" s="1"/>
  <c r="I48" i="4" l="1"/>
  <c r="J49" i="4" s="1"/>
  <c r="I77" i="4"/>
  <c r="D36" i="6"/>
  <c r="E81" i="2"/>
  <c r="E83" i="2" s="1"/>
  <c r="I49" i="4" l="1"/>
  <c r="J50" i="4" s="1"/>
  <c r="C47" i="4"/>
  <c r="E36" i="6"/>
  <c r="I50" i="4" l="1"/>
  <c r="J51" i="4" s="1"/>
  <c r="C48" i="4"/>
  <c r="D49" i="4" s="1"/>
  <c r="C77" i="4"/>
  <c r="I51" i="4" l="1"/>
  <c r="J52" i="4" s="1"/>
  <c r="C49" i="4"/>
  <c r="D50" i="4" s="1"/>
  <c r="I52" i="4" l="1"/>
  <c r="J53" i="4" s="1"/>
  <c r="C50" i="4"/>
  <c r="D51" i="4" s="1"/>
  <c r="I53" i="4" l="1"/>
  <c r="J54" i="4" s="1"/>
  <c r="C51" i="4"/>
  <c r="E49" i="2"/>
  <c r="E51" i="2" s="1"/>
  <c r="E59" i="2" s="1"/>
  <c r="D52" i="4" l="1"/>
  <c r="C52" i="4" s="1"/>
  <c r="I54" i="4"/>
  <c r="J55" i="4" s="1"/>
  <c r="E53" i="2"/>
  <c r="E55" i="2" s="1"/>
  <c r="D53" i="4" l="1"/>
  <c r="C53" i="4" s="1"/>
  <c r="I55" i="4"/>
  <c r="J56" i="4" s="1"/>
  <c r="D54" i="4" l="1"/>
  <c r="C54" i="4" s="1"/>
  <c r="I56" i="4"/>
  <c r="J57" i="4" s="1"/>
  <c r="D55" i="4" l="1"/>
  <c r="C55" i="4" s="1"/>
  <c r="I57" i="4"/>
  <c r="J58" i="4" s="1"/>
  <c r="E18" i="2"/>
  <c r="E20" i="2" s="1"/>
  <c r="E28" i="2" s="1"/>
  <c r="D56" i="4" l="1"/>
  <c r="C56" i="4" s="1"/>
  <c r="I58" i="4"/>
  <c r="E22" i="2"/>
  <c r="E24" i="2" s="1"/>
  <c r="I8" i="4" l="1"/>
  <c r="I7" i="4" s="1"/>
  <c r="D57" i="4"/>
  <c r="C57" i="4" s="1"/>
  <c r="J9" i="4" l="1"/>
  <c r="I9" i="4" s="1"/>
  <c r="J10" i="4" s="1"/>
  <c r="I10" i="4" s="1"/>
  <c r="J11" i="4" s="1"/>
  <c r="I11" i="4" s="1"/>
  <c r="J12" i="4" s="1"/>
  <c r="I12" i="4" s="1"/>
  <c r="J13" i="4" s="1"/>
  <c r="I13" i="4" s="1"/>
  <c r="J14" i="4" s="1"/>
  <c r="I14" i="4" s="1"/>
  <c r="J15" i="4" s="1"/>
  <c r="I15" i="4" s="1"/>
  <c r="J16" i="4" s="1"/>
  <c r="I16" i="4" s="1"/>
  <c r="J17" i="4" s="1"/>
  <c r="I17" i="4" s="1"/>
  <c r="J18" i="4" s="1"/>
  <c r="I18" i="4" s="1"/>
  <c r="J19" i="4" s="1"/>
  <c r="I19" i="4" s="1"/>
  <c r="J20" i="4" s="1"/>
  <c r="I20" i="4" s="1"/>
  <c r="D58" i="4"/>
  <c r="C58" i="4" s="1"/>
  <c r="J25" i="4"/>
  <c r="H35" i="4" s="1"/>
  <c r="C8" i="4" l="1"/>
  <c r="C7" i="4" s="1"/>
  <c r="D25" i="4" s="1"/>
  <c r="B35" i="4" s="1"/>
  <c r="J22" i="4"/>
  <c r="D9" i="4" l="1"/>
  <c r="C9" i="4" s="1"/>
  <c r="D10" i="4" s="1"/>
  <c r="C10" i="4" s="1"/>
  <c r="D11" i="4" s="1"/>
  <c r="C11" i="4" s="1"/>
  <c r="D12" i="4" s="1"/>
  <c r="C12" i="4" s="1"/>
  <c r="D13" i="4" s="1"/>
  <c r="C13" i="4" s="1"/>
  <c r="D14" i="4" s="1"/>
  <c r="C14" i="4" s="1"/>
  <c r="D15" i="4" s="1"/>
  <c r="C15" i="4" s="1"/>
  <c r="D16" i="4" s="1"/>
  <c r="C16" i="4" s="1"/>
  <c r="D17" i="4" s="1"/>
  <c r="C17" i="4" s="1"/>
  <c r="D18" i="4" s="1"/>
  <c r="C18" i="4" s="1"/>
  <c r="D19" i="4" s="1"/>
  <c r="C19" i="4" s="1"/>
  <c r="D20" i="4" s="1"/>
  <c r="C20" i="4" s="1"/>
  <c r="J24" i="4"/>
  <c r="J26" i="4" s="1"/>
  <c r="J28" i="4" s="1"/>
  <c r="E43" i="6" s="1"/>
  <c r="E47" i="6" s="1"/>
  <c r="E53" i="6" s="1"/>
  <c r="E55" i="6" l="1"/>
  <c r="E49" i="6"/>
  <c r="E51" i="6" s="1"/>
  <c r="J29" i="4" l="1"/>
  <c r="E57" i="6"/>
  <c r="E59" i="6" l="1"/>
  <c r="E61" i="6" s="1"/>
  <c r="J30" i="4"/>
  <c r="J31" i="4" l="1"/>
  <c r="K67" i="4" s="1"/>
  <c r="K30" i="4"/>
  <c r="I82" i="4"/>
  <c r="K69" i="4" l="1"/>
  <c r="K70" i="4"/>
  <c r="K68" i="4"/>
  <c r="K65" i="4"/>
  <c r="K62" i="4"/>
  <c r="K63" i="4"/>
  <c r="K66" i="4"/>
  <c r="K71" i="4"/>
  <c r="K60" i="4"/>
  <c r="J60" i="4" s="1"/>
  <c r="K61" i="4"/>
  <c r="K64" i="4"/>
  <c r="I60" i="4" l="1"/>
  <c r="J61" i="4" s="1"/>
  <c r="K73" i="4"/>
  <c r="I61" i="4" l="1"/>
  <c r="J62" i="4" s="1"/>
  <c r="I62" i="4" l="1"/>
  <c r="J63" i="4" s="1"/>
  <c r="I63" i="4" l="1"/>
  <c r="J64" i="4" s="1"/>
  <c r="I64" i="4" l="1"/>
  <c r="J65" i="4" s="1"/>
  <c r="I65" i="4" l="1"/>
  <c r="J66" i="4" s="1"/>
  <c r="I66" i="4" l="1"/>
  <c r="J67" i="4" s="1"/>
  <c r="I67" i="4" l="1"/>
  <c r="J68" i="4" s="1"/>
  <c r="I68" i="4" l="1"/>
  <c r="J69" i="4" s="1"/>
  <c r="I69" i="4" l="1"/>
  <c r="J70" i="4" s="1"/>
  <c r="I70" i="4" l="1"/>
  <c r="J71" i="4" s="1"/>
  <c r="J73" i="4" s="1"/>
  <c r="I79" i="4" s="1"/>
  <c r="I71" i="4" l="1"/>
  <c r="I80" i="4" s="1"/>
  <c r="I81" i="4" s="1"/>
  <c r="I83" i="4" s="1"/>
  <c r="J32" i="4"/>
  <c r="D22" i="4" l="1"/>
  <c r="D24" i="4" s="1"/>
  <c r="D26" i="4" s="1"/>
  <c r="D28" i="4" s="1"/>
  <c r="D43" i="6" s="1"/>
  <c r="D47" i="6" s="1"/>
  <c r="D49" i="6" s="1"/>
  <c r="D51" i="6" l="1"/>
  <c r="D53" i="6" s="1"/>
  <c r="D55" i="6" s="1"/>
  <c r="D57" i="6" s="1"/>
  <c r="D59" i="6" l="1"/>
  <c r="D61" i="6" s="1"/>
  <c r="D29" i="4"/>
  <c r="D30" i="4" s="1"/>
  <c r="D31" i="4" l="1"/>
  <c r="E30" i="4"/>
  <c r="C82" i="4"/>
  <c r="E66" i="4" l="1"/>
  <c r="E68" i="4"/>
  <c r="E63" i="4"/>
  <c r="E69" i="4"/>
  <c r="E61" i="4"/>
  <c r="E64" i="4"/>
  <c r="E70" i="4"/>
  <c r="E67" i="4"/>
  <c r="E60" i="4"/>
  <c r="D60" i="4" s="1"/>
  <c r="E71" i="4"/>
  <c r="E62" i="4"/>
  <c r="E65" i="4"/>
  <c r="E73" i="4" l="1"/>
  <c r="C60" i="4" l="1"/>
  <c r="D61" i="4" s="1"/>
  <c r="C61" i="4" l="1"/>
  <c r="D62" i="4" s="1"/>
  <c r="C62" i="4" l="1"/>
  <c r="D63" i="4" s="1"/>
  <c r="C63" i="4" l="1"/>
  <c r="D64" i="4" s="1"/>
  <c r="C64" i="4" l="1"/>
  <c r="D65" i="4" s="1"/>
  <c r="C65" i="4" l="1"/>
  <c r="D66" i="4" s="1"/>
  <c r="C66" i="4" l="1"/>
  <c r="D67" i="4" s="1"/>
  <c r="C67" i="4" l="1"/>
  <c r="D68" i="4" s="1"/>
  <c r="C68" i="4" l="1"/>
  <c r="D69" i="4" s="1"/>
  <c r="C69" i="4" l="1"/>
  <c r="D70" i="4" s="1"/>
  <c r="C70" i="4" l="1"/>
  <c r="D71" i="4" l="1"/>
  <c r="D73" i="4" s="1"/>
  <c r="C79" i="4" s="1"/>
  <c r="C71" i="4" l="1"/>
  <c r="C80" i="4" s="1"/>
  <c r="C81" i="4" s="1"/>
  <c r="C83" i="4" s="1"/>
  <c r="D32" i="4"/>
</calcChain>
</file>

<file path=xl/comments1.xml><?xml version="1.0" encoding="utf-8"?>
<comments xmlns="http://schemas.openxmlformats.org/spreadsheetml/2006/main">
  <authors>
    <author>Author</author>
  </authors>
  <commentList>
    <comment ref="B80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10/31/2019 balance remaining due to rounding error.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10/31/2019 balance remaining due to rounding error.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kWhs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2017 normalized billing determinants at present billing rates effective 7/1/2018</t>
        </r>
      </text>
    </comment>
  </commentList>
</comments>
</file>

<file path=xl/sharedStrings.xml><?xml version="1.0" encoding="utf-8"?>
<sst xmlns="http://schemas.openxmlformats.org/spreadsheetml/2006/main" count="327" uniqueCount="199">
  <si>
    <t>Avista Utilities</t>
  </si>
  <si>
    <t>Calculation of Decoupling Mechanism Surcharge or Rebate Amortization Rates</t>
  </si>
  <si>
    <t>Date</t>
  </si>
  <si>
    <t>Interest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</si>
  <si>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</si>
  <si>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</si>
  <si>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</si>
  <si>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</si>
  <si>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</si>
  <si>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</si>
  <si>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</si>
  <si>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</si>
  <si>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</si>
  <si>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</si>
  <si>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</si>
  <si>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</si>
  <si>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</si>
  <si>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</si>
  <si>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</si>
  <si>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</si>
  <si>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</si>
  <si>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</si>
  <si>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</si>
  <si>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</si>
  <si>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</si>
  <si>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</si>
  <si>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</si>
  <si>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</si>
  <si>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</si>
  <si>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</si>
  <si>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</si>
  <si>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</si>
  <si>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</si>
  <si>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</si>
  <si>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</si>
  <si>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Twelve Months Ended September 30, 2015</t>
  </si>
  <si>
    <t>UE-160228 current GRC</t>
  </si>
  <si>
    <t>Gross Up Factor</t>
  </si>
  <si>
    <t>Residential Electric</t>
  </si>
  <si>
    <t>Non-Residential Electric</t>
  </si>
  <si>
    <t>Decoupling Mechanism Earnings Test and 3% Test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</si>
  <si>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</si>
  <si>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</si>
  <si>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</si>
  <si>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</si>
  <si>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</si>
  <si>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</si>
  <si>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</si>
  <si>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</si>
  <si>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</si>
  <si>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</si>
  <si>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</si>
  <si>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</si>
  <si>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</si>
  <si>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</si>
  <si>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</si>
  <si>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</si>
  <si>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</si>
  <si>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</si>
  <si>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</si>
  <si>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</si>
  <si>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</si>
  <si>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</si>
  <si>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</si>
  <si>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</si>
  <si>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</si>
  <si>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</si>
  <si>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</si>
  <si>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</si>
  <si>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</si>
  <si>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</si>
  <si>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</si>
  <si>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</si>
  <si>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</si>
  <si>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</si>
  <si>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</si>
  <si>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</si>
  <si>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</si>
  <si>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RES</t>
  </si>
  <si>
    <t>Non-RES</t>
  </si>
  <si>
    <t>Calendar Load Tab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</si>
  <si>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</si>
  <si>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</si>
  <si>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</si>
  <si>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</si>
  <si>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</si>
  <si>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</si>
  <si>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</si>
  <si>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</si>
  <si>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</si>
  <si>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</si>
  <si>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</si>
  <si>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New Load Forecast</t>
  </si>
  <si>
    <t>Line No.</t>
  </si>
  <si>
    <t xml:space="preserve">Total 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</si>
  <si>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</si>
  <si>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</si>
  <si>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</si>
  <si>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</si>
  <si>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</si>
  <si>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</si>
  <si>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</si>
  <si>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</si>
  <si>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</si>
  <si>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</si>
  <si>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</si>
  <si>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</si>
  <si>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</si>
  <si>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</si>
  <si>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 xml:space="preserve">     Total Requested Refund</t>
  </si>
  <si>
    <t>Add Revenue Related Expense Adj.</t>
  </si>
  <si>
    <t>Net of Revenue Related Expenses</t>
  </si>
  <si>
    <t>Gross Revenue Adjustment</t>
  </si>
  <si>
    <t>Effective November 1, 2017 - October 31, 2018</t>
  </si>
  <si>
    <t>Residential</t>
  </si>
  <si>
    <t>Non-Residential</t>
  </si>
  <si>
    <t>3% Test Adjustment (Note 2)</t>
  </si>
  <si>
    <t>(2)  The carryover balances will differ from the 3% adjustment amounts due to the revenue related expense gross up partially offset by additional interest on the outstanding balance during the amortization period.</t>
  </si>
  <si>
    <t>Present Decoupling Surcharge Recovery Rates</t>
  </si>
  <si>
    <t>Calculate Estimated Monthly Balances through October 2018</t>
  </si>
  <si>
    <t>Decoupling Mechanism Prior Surcharge or Rebate Amortization</t>
  </si>
  <si>
    <t>Regulatory Asset Ending Balance</t>
  </si>
  <si>
    <t>Residential Electric Surcharge</t>
  </si>
  <si>
    <t>Regulatory Asset Beginning Balance</t>
  </si>
  <si>
    <t>Interest Rate</t>
  </si>
  <si>
    <t>Aug - Oct Forecast Usage</t>
  </si>
  <si>
    <t>See pages 6 and 7 of Attachment A for earnings test and 3% test adjustment calculations.</t>
  </si>
  <si>
    <t>2016 Commission Basis conversion factor, see page 8 of  Attachment A.</t>
  </si>
  <si>
    <t>See page 4 of Attachment A for estimated carryover balance calculations.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</si>
  <si>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</si>
  <si>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</si>
  <si>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</si>
  <si>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</si>
  <si>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</si>
  <si>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</si>
  <si>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</si>
  <si>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</si>
  <si>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</si>
  <si>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</si>
  <si>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</si>
  <si>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</si>
  <si>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</si>
  <si>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</si>
  <si>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</si>
  <si>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</si>
  <si>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</si>
  <si>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</si>
  <si>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</si>
  <si>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</si>
  <si>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</si>
  <si>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</si>
  <si>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</si>
  <si>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</si>
  <si>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</si>
  <si>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</si>
  <si>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1/2</t>
  </si>
  <si>
    <t>General Service</t>
  </si>
  <si>
    <t>11/12</t>
  </si>
  <si>
    <t>Large General Service</t>
  </si>
  <si>
    <t>21/22</t>
  </si>
  <si>
    <t>Pumping Service</t>
  </si>
  <si>
    <t>30/31/32</t>
  </si>
  <si>
    <t>Extra Large General Service</t>
  </si>
  <si>
    <t>N/A</t>
  </si>
  <si>
    <t>ST &amp; Area Lighting</t>
  </si>
  <si>
    <t>41 - 48</t>
  </si>
  <si>
    <t>Non-Residential Group Sub-Totals</t>
  </si>
  <si>
    <t xml:space="preserve">Average Residential Bill </t>
  </si>
  <si>
    <t xml:space="preserve"> @938 kWhs</t>
  </si>
  <si>
    <t>Basic Charge</t>
  </si>
  <si>
    <t>First 800 kWhs</t>
  </si>
  <si>
    <t>Next 700 kWhs</t>
  </si>
  <si>
    <t>Over 1,500 kWhs</t>
  </si>
  <si>
    <t>Proposed rate change</t>
  </si>
  <si>
    <t>Residential Bill at Proposed rates</t>
  </si>
  <si>
    <t>EREV June Mid-month 6 14 18.xlsm</t>
  </si>
  <si>
    <t>Effective November 1, 2018 - October 31, 2019</t>
  </si>
  <si>
    <t>2017 Commission Basis conversion factor, see page 8 of  Attachment A.</t>
  </si>
  <si>
    <t>2017 Deferred Revenue</t>
  </si>
  <si>
    <t>Add Interest through 10/31/2019</t>
  </si>
  <si>
    <t>TWELVE MONTHS ENDED December 31, 2017</t>
  </si>
  <si>
    <t>2017 Commission Basis Conversion Factor</t>
  </si>
  <si>
    <t>2018 Decoupling Schedule 75 Filing</t>
  </si>
  <si>
    <t>Residential Bill at 7/1/2018 rates</t>
  </si>
  <si>
    <t>July 1, 2018 Effective Billing Rates</t>
  </si>
  <si>
    <t>Revenue From 2017 Normalized Loads and Customers at Present Billing Rates</t>
  </si>
  <si>
    <t>Revenue From 2017 Normalized Loads and Customers at Present Billing Rates (Note 1)</t>
  </si>
  <si>
    <t>November 2018 - October 2019 Usage (kWhs)</t>
  </si>
  <si>
    <t>2017 Deferrals</t>
  </si>
  <si>
    <t>2017 Commission Basis Earnings Test for Decoupling</t>
  </si>
  <si>
    <t>2017 Total Earnings Test Sharing</t>
  </si>
  <si>
    <t>Proposed Percent Decrease</t>
  </si>
  <si>
    <t>Non-Residential Electric Surcharge</t>
  </si>
  <si>
    <t>Docket No. UE-17939</t>
  </si>
  <si>
    <t>Incr./(Decr.)</t>
  </si>
  <si>
    <t>Add Prior Year Residual Balance</t>
  </si>
  <si>
    <t xml:space="preserve">Prior Year Residual Balance </t>
  </si>
  <si>
    <t>Customer Rebate Revenue</t>
  </si>
  <si>
    <t>(1)  Revenue from 2017 normalized loads and customers at present billing rates effective since July 1,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</si>
</sst>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166" fontId="6" fillId="3" borderId="3" xfId="0" applyNumberFormat="1" applyFont="1" applyFill="1" applyBorder="1"/>
    <xf numFmtId="166" fontId="6" fillId="0" borderId="5" xfId="0" applyNumberFormat="1" applyFont="1" applyBorder="1"/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1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Fo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10" fontId="14" fillId="0" borderId="0" xfId="0" applyNumberFormat="1" applyFont="1"/>
    <xf numFmtId="44" fontId="0" fillId="0" borderId="0" xfId="5" applyNumberFormat="1" applyFont="1"/>
    <xf numFmtId="44" fontId="0" fillId="0" borderId="0" xfId="0" applyNumberFormat="1"/>
    <xf numFmtId="7" fontId="0" fillId="0" borderId="0" xfId="0" applyNumberFormat="1" applyBorder="1"/>
    <xf numFmtId="44" fontId="0" fillId="0" borderId="0" xfId="5" applyNumberFormat="1" applyFont="1" applyFill="1"/>
    <xf numFmtId="44" fontId="9" fillId="0" borderId="0" xfId="0" applyNumberFormat="1" applyFont="1"/>
    <xf numFmtId="17" fontId="9" fillId="0" borderId="0" xfId="0" applyNumberFormat="1" applyFont="1" applyBorder="1" applyAlignment="1">
      <alignment horizontal="right"/>
    </xf>
    <xf numFmtId="166" fontId="6" fillId="0" borderId="0" xfId="0" applyNumberFormat="1" applyFont="1" applyFill="1" applyBorder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16" fontId="8" fillId="0" borderId="0" xfId="0" quotePrefix="1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0" fontId="0" fillId="0" borderId="0" xfId="0" applyFill="1" applyBorder="1" applyAlignment="1">
      <alignment horizontal="center" wrapText="1"/>
    </xf>
    <xf numFmtId="10" fontId="0" fillId="0" borderId="0" xfId="0" applyNumberFormat="1" applyBorder="1"/>
    <xf numFmtId="37" fontId="9" fillId="0" borderId="0" xfId="0" applyNumberFormat="1" applyFont="1"/>
    <xf numFmtId="169" fontId="9" fillId="0" borderId="0" xfId="0" applyNumberFormat="1" applyFont="1"/>
    <xf numFmtId="169" fontId="9" fillId="0" borderId="0" xfId="0" applyNumberFormat="1" applyFont="1" applyFill="1"/>
    <xf numFmtId="10" fontId="9" fillId="0" borderId="0" xfId="2" applyNumberFormat="1" applyFont="1" applyFill="1"/>
    <xf numFmtId="0" fontId="12" fillId="0" borderId="0" xfId="0" applyFont="1"/>
    <xf numFmtId="0" fontId="12" fillId="0" borderId="0" xfId="0" quotePrefix="1" applyFont="1" applyAlignment="1">
      <alignment horizontal="center"/>
    </xf>
    <xf numFmtId="172" fontId="9" fillId="0" borderId="0" xfId="5" applyNumberFormat="1" applyFont="1"/>
    <xf numFmtId="169" fontId="9" fillId="0" borderId="0" xfId="5" applyNumberFormat="1" applyFont="1"/>
    <xf numFmtId="169" fontId="9" fillId="0" borderId="0" xfId="5" applyNumberFormat="1" applyFont="1" applyFill="1"/>
    <xf numFmtId="172" fontId="9" fillId="0" borderId="0" xfId="0" applyNumberFormat="1" applyFont="1"/>
    <xf numFmtId="44" fontId="14" fillId="0" borderId="0" xfId="5" applyNumberFormat="1" applyFont="1" applyFill="1"/>
    <xf numFmtId="10" fontId="18" fillId="0" borderId="0" xfId="0" applyNumberFormat="1" applyFont="1"/>
    <xf numFmtId="5" fontId="14" fillId="0" borderId="0" xfId="0" applyNumberFormat="1" applyFont="1" applyFill="1" applyBorder="1"/>
    <xf numFmtId="169" fontId="0" fillId="0" borderId="0" xfId="0" applyNumberFormat="1" applyFill="1" applyAlignment="1">
      <alignment horizontal="center"/>
    </xf>
    <xf numFmtId="7" fontId="0" fillId="0" borderId="0" xfId="5" applyNumberFormat="1" applyFont="1" applyFill="1"/>
    <xf numFmtId="0" fontId="13" fillId="0" borderId="0" xfId="0" applyFont="1" applyFill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quotePrefix="1" applyBorder="1" applyAlignment="1">
      <alignment horizontal="justify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quotePrefix="1" applyAlignment="1">
      <alignment horizontal="justify" wrapText="1"/>
    </xf>
    <xf numFmtId="0" fontId="0" fillId="0" borderId="0" xfId="0" quotePrefix="1" applyFill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/>
    <cellStyle name="Normal 2 2" xfId="4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23"/>
  <sheetViews>
    <sheetView workbookViewId="0">
      <selection activeCell="P31" sqref="P31"/>
    </sheetView>
  </sheetViews>
  <sheetFormatPr defaultRowHeight="14.4" outlineLevelCol="1" x14ac:dyDescent="0.3"/>
  <cols>
    <col min="2" max="2" width="2.6640625" customWidth="1"/>
    <col min="3" max="3" width="12" customWidth="1" outlineLevel="1"/>
    <col min="4" max="4" width="11" customWidth="1" outlineLevel="1"/>
    <col min="5" max="5" width="10" customWidth="1" outlineLevel="1"/>
    <col min="6" max="6" width="12" customWidth="1" outlineLevel="1"/>
    <col min="7" max="7" width="10" customWidth="1" outlineLevel="1"/>
    <col min="8" max="8" width="12" customWidth="1" outlineLevel="1"/>
    <col min="9" max="9" width="11" customWidth="1" outlineLevel="1"/>
    <col min="10" max="11" width="10" customWidth="1" outlineLevel="1"/>
    <col min="12" max="12" width="2.5546875" customWidth="1"/>
    <col min="13" max="14" width="12" bestFit="1" customWidth="1"/>
  </cols>
  <sheetData>
    <row r="1" spans="1:15" x14ac:dyDescent="0.3">
      <c r="A1" s="143"/>
      <c r="B1" s="66" t="s">
        <v>175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3">
      <c r="A2" s="143"/>
      <c r="B2" t="s">
        <v>80</v>
      </c>
    </row>
    <row r="3" spans="1:15" ht="14.4" customHeight="1" x14ac:dyDescent="0.3">
      <c r="A3" s="64"/>
      <c r="C3" s="69" t="s">
        <v>81</v>
      </c>
      <c r="M3" s="144" t="s">
        <v>82</v>
      </c>
      <c r="N3" s="145"/>
    </row>
    <row r="4" spans="1:15" x14ac:dyDescent="0.3">
      <c r="C4" s="70" t="s">
        <v>83</v>
      </c>
      <c r="D4" s="70" t="s">
        <v>84</v>
      </c>
      <c r="E4" s="70" t="s">
        <v>85</v>
      </c>
      <c r="F4" s="70" t="s">
        <v>86</v>
      </c>
      <c r="G4" s="70" t="s">
        <v>87</v>
      </c>
      <c r="H4" s="70" t="s">
        <v>88</v>
      </c>
      <c r="I4" s="70" t="s">
        <v>89</v>
      </c>
      <c r="J4" s="70" t="s">
        <v>90</v>
      </c>
      <c r="K4" s="70" t="s">
        <v>91</v>
      </c>
      <c r="M4" s="67" t="s">
        <v>78</v>
      </c>
      <c r="N4" s="68" t="s">
        <v>79</v>
      </c>
    </row>
    <row r="5" spans="1:15" x14ac:dyDescent="0.3">
      <c r="A5" s="63">
        <v>43252</v>
      </c>
      <c r="C5" s="46">
        <v>145866741.11097795</v>
      </c>
      <c r="D5" s="46">
        <v>40693952.685689829</v>
      </c>
      <c r="E5" s="46">
        <v>3816622.8484982173</v>
      </c>
      <c r="F5" s="46">
        <v>109406739.43385783</v>
      </c>
      <c r="G5" s="46">
        <v>2205039.5017920225</v>
      </c>
      <c r="H5" s="46">
        <v>95630212</v>
      </c>
      <c r="I5" s="46">
        <v>23056488.688625552</v>
      </c>
      <c r="J5" s="46">
        <v>1315991.0656831833</v>
      </c>
      <c r="K5" s="46">
        <v>1302099.6842123913</v>
      </c>
      <c r="M5" s="50">
        <f>C5</f>
        <v>145866741.11097795</v>
      </c>
      <c r="N5" s="50">
        <f t="shared" ref="N5:N23" si="0">SUM(D5:G5,I5:J5)</f>
        <v>180494834.22414663</v>
      </c>
    </row>
    <row r="6" spans="1:15" x14ac:dyDescent="0.3">
      <c r="A6" s="63">
        <v>43282</v>
      </c>
      <c r="C6" s="46">
        <v>195457951.63316852</v>
      </c>
      <c r="D6" s="46">
        <v>51707896.383304194</v>
      </c>
      <c r="E6" s="46">
        <v>4497196.346828362</v>
      </c>
      <c r="F6" s="46">
        <v>130997932.23870805</v>
      </c>
      <c r="G6" s="46">
        <v>2691901.5712219505</v>
      </c>
      <c r="H6" s="46">
        <v>92906328</v>
      </c>
      <c r="I6" s="46">
        <v>25370424.725977868</v>
      </c>
      <c r="J6" s="46">
        <v>1814432.8508270383</v>
      </c>
      <c r="K6" s="46">
        <v>1449880.7634619358</v>
      </c>
      <c r="M6" s="50">
        <f t="shared" ref="M6:M23" si="1">C6</f>
        <v>195457951.63316852</v>
      </c>
      <c r="N6" s="50">
        <f t="shared" si="0"/>
        <v>217079784.11686745</v>
      </c>
    </row>
    <row r="7" spans="1:15" x14ac:dyDescent="0.3">
      <c r="A7" s="63">
        <v>43313</v>
      </c>
      <c r="C7" s="46">
        <v>183481094.56067181</v>
      </c>
      <c r="D7" s="46">
        <v>48183941.873709172</v>
      </c>
      <c r="E7" s="46">
        <v>4341267.7126116678</v>
      </c>
      <c r="F7" s="46">
        <v>121764352.77899548</v>
      </c>
      <c r="G7" s="46">
        <v>2558286.7985014422</v>
      </c>
      <c r="H7" s="46">
        <v>98366159</v>
      </c>
      <c r="I7" s="46">
        <v>24619298.887551121</v>
      </c>
      <c r="J7" s="46">
        <v>1613762.8947847786</v>
      </c>
      <c r="K7" s="46">
        <v>1373927.2696835257</v>
      </c>
      <c r="M7" s="50">
        <f t="shared" si="1"/>
        <v>183481094.56067181</v>
      </c>
      <c r="N7" s="50">
        <f t="shared" si="0"/>
        <v>203080910.94615367</v>
      </c>
    </row>
    <row r="8" spans="1:15" x14ac:dyDescent="0.3">
      <c r="A8" s="63">
        <v>43344</v>
      </c>
      <c r="C8" s="46">
        <v>158722647.21785983</v>
      </c>
      <c r="D8" s="46">
        <v>42759717.036581554</v>
      </c>
      <c r="E8" s="46">
        <v>4104013.3456953079</v>
      </c>
      <c r="F8" s="46">
        <v>111393370.67068122</v>
      </c>
      <c r="G8" s="46">
        <v>2295167.9016155484</v>
      </c>
      <c r="H8" s="46">
        <v>98421528</v>
      </c>
      <c r="I8" s="46">
        <v>16604415.786967119</v>
      </c>
      <c r="J8" s="46">
        <v>1013641.5167751866</v>
      </c>
      <c r="K8" s="46">
        <v>1363256.914948998</v>
      </c>
      <c r="M8" s="50">
        <f t="shared" si="1"/>
        <v>158722647.21785983</v>
      </c>
      <c r="N8" s="50">
        <f t="shared" si="0"/>
        <v>178170326.25831595</v>
      </c>
    </row>
    <row r="9" spans="1:15" x14ac:dyDescent="0.3">
      <c r="A9" s="63">
        <v>43374</v>
      </c>
      <c r="C9" s="46">
        <v>177918259.81421155</v>
      </c>
      <c r="D9" s="46">
        <v>44327460.785423934</v>
      </c>
      <c r="E9" s="46">
        <v>4544135.4145603226</v>
      </c>
      <c r="F9" s="46">
        <v>114201384.98314969</v>
      </c>
      <c r="G9" s="46">
        <v>2419870.1136748288</v>
      </c>
      <c r="H9" s="46">
        <v>96847816</v>
      </c>
      <c r="I9" s="46">
        <v>8562479.9844932929</v>
      </c>
      <c r="J9" s="46">
        <v>537895.51483333355</v>
      </c>
      <c r="K9" s="46">
        <v>1373771.3133457596</v>
      </c>
      <c r="M9" s="50">
        <f t="shared" si="1"/>
        <v>177918259.81421155</v>
      </c>
      <c r="N9" s="50">
        <f t="shared" si="0"/>
        <v>174593226.7961354</v>
      </c>
    </row>
    <row r="10" spans="1:15" x14ac:dyDescent="0.3">
      <c r="A10" s="63">
        <v>43405</v>
      </c>
      <c r="C10" s="46">
        <v>221885239.06378257</v>
      </c>
      <c r="D10" s="46">
        <v>47406139.602476805</v>
      </c>
      <c r="E10" s="46">
        <v>5588555.7990103047</v>
      </c>
      <c r="F10" s="46">
        <v>112604671.30723648</v>
      </c>
      <c r="G10" s="46">
        <v>2720156.4003737248</v>
      </c>
      <c r="H10" s="46">
        <v>96232036</v>
      </c>
      <c r="I10" s="46">
        <v>4107182.4517637021</v>
      </c>
      <c r="J10" s="46">
        <v>281765.11719908298</v>
      </c>
      <c r="K10" s="46">
        <v>1290799.9649247518</v>
      </c>
      <c r="M10" s="50">
        <f t="shared" si="1"/>
        <v>221885239.06378257</v>
      </c>
      <c r="N10" s="50">
        <f t="shared" si="0"/>
        <v>172708470.67806011</v>
      </c>
    </row>
    <row r="11" spans="1:15" x14ac:dyDescent="0.3">
      <c r="A11" s="63">
        <v>43435</v>
      </c>
      <c r="C11" s="46">
        <v>281752864.9600153</v>
      </c>
      <c r="D11" s="46">
        <v>54318048.63521602</v>
      </c>
      <c r="E11" s="46">
        <v>6979847.6269938461</v>
      </c>
      <c r="F11" s="46">
        <v>121225414.9529402</v>
      </c>
      <c r="G11" s="46">
        <v>3266000.1827770555</v>
      </c>
      <c r="H11" s="46">
        <v>93848005</v>
      </c>
      <c r="I11" s="46">
        <v>3738274.905414036</v>
      </c>
      <c r="J11" s="46">
        <v>286615.43257062446</v>
      </c>
      <c r="K11" s="46">
        <v>1384305.4186436597</v>
      </c>
      <c r="M11" s="50">
        <f t="shared" si="1"/>
        <v>281752864.9600153</v>
      </c>
      <c r="N11" s="50">
        <f t="shared" si="0"/>
        <v>189814201.73591179</v>
      </c>
    </row>
    <row r="12" spans="1:15" x14ac:dyDescent="0.3">
      <c r="A12" s="63">
        <v>43466</v>
      </c>
      <c r="C12" s="46">
        <v>269096124.85328448</v>
      </c>
      <c r="D12" s="46">
        <v>53700939.112151086</v>
      </c>
      <c r="E12" s="46">
        <v>7007443.9228768917</v>
      </c>
      <c r="F12" s="46">
        <v>118228660.18634064</v>
      </c>
      <c r="G12" s="46">
        <v>3274926.1309511657</v>
      </c>
      <c r="H12" s="46">
        <v>95200800</v>
      </c>
      <c r="I12" s="46">
        <v>3806208.902796831</v>
      </c>
      <c r="J12" s="46">
        <v>295075.51296918595</v>
      </c>
      <c r="K12" s="46">
        <v>1395698.6063391431</v>
      </c>
      <c r="M12" s="50">
        <f t="shared" si="1"/>
        <v>269096124.85328448</v>
      </c>
      <c r="N12" s="50">
        <f t="shared" si="0"/>
        <v>186313253.76808581</v>
      </c>
    </row>
    <row r="13" spans="1:15" x14ac:dyDescent="0.3">
      <c r="A13" s="63">
        <v>43497</v>
      </c>
      <c r="C13" s="46">
        <v>220969040.82341322</v>
      </c>
      <c r="D13" s="46">
        <v>46891492.759093083</v>
      </c>
      <c r="E13" s="46">
        <v>5937441.3025396373</v>
      </c>
      <c r="F13" s="46">
        <v>105022856.50350273</v>
      </c>
      <c r="G13" s="46">
        <v>2785935.6656690561</v>
      </c>
      <c r="H13" s="46">
        <v>95322333.416666657</v>
      </c>
      <c r="I13" s="46">
        <v>3627722.7855222886</v>
      </c>
      <c r="J13" s="46">
        <v>255391.97274816537</v>
      </c>
      <c r="K13" s="46">
        <v>1275179.3102092501</v>
      </c>
      <c r="M13" s="50">
        <f t="shared" si="1"/>
        <v>220969040.82341322</v>
      </c>
      <c r="N13" s="50">
        <f t="shared" si="0"/>
        <v>164520840.98907495</v>
      </c>
    </row>
    <row r="14" spans="1:15" x14ac:dyDescent="0.3">
      <c r="A14" s="63">
        <v>43525</v>
      </c>
      <c r="C14" s="46">
        <v>212731215.51071823</v>
      </c>
      <c r="D14" s="46">
        <v>48217217.825882249</v>
      </c>
      <c r="E14" s="46">
        <v>5729738.3735474944</v>
      </c>
      <c r="F14" s="46">
        <v>112622357.3904883</v>
      </c>
      <c r="G14" s="46">
        <v>2777042.664239306</v>
      </c>
      <c r="H14" s="46">
        <v>92097651.340277776</v>
      </c>
      <c r="I14" s="46">
        <v>4556881.5749965915</v>
      </c>
      <c r="J14" s="46">
        <v>277172.86589721701</v>
      </c>
      <c r="K14" s="46">
        <v>1244744.6911135332</v>
      </c>
      <c r="M14" s="50">
        <f t="shared" si="1"/>
        <v>212731215.51071823</v>
      </c>
      <c r="N14" s="50">
        <f t="shared" si="0"/>
        <v>174180410.69505116</v>
      </c>
    </row>
    <row r="15" spans="1:15" x14ac:dyDescent="0.3">
      <c r="A15" s="63">
        <v>43556</v>
      </c>
      <c r="C15" s="46">
        <v>170754523.24900281</v>
      </c>
      <c r="D15" s="46">
        <v>42477006.797722019</v>
      </c>
      <c r="E15" s="46">
        <v>4664116.0415253369</v>
      </c>
      <c r="F15" s="46">
        <v>105221235.60491721</v>
      </c>
      <c r="G15" s="46">
        <v>2414480.5315774251</v>
      </c>
      <c r="H15" s="46">
        <v>95221310.400462955</v>
      </c>
      <c r="I15" s="46">
        <v>7176533.8352666423</v>
      </c>
      <c r="J15" s="46">
        <v>451821.89953566127</v>
      </c>
      <c r="K15" s="46">
        <v>1228321.4036251963</v>
      </c>
      <c r="M15" s="50">
        <f t="shared" si="1"/>
        <v>170754523.24900281</v>
      </c>
      <c r="N15" s="50">
        <f t="shared" si="0"/>
        <v>162405194.71054432</v>
      </c>
    </row>
    <row r="16" spans="1:15" x14ac:dyDescent="0.3">
      <c r="A16" s="63">
        <v>43586</v>
      </c>
      <c r="C16" s="46">
        <v>156360975.7966482</v>
      </c>
      <c r="D16" s="46">
        <v>42442497.346628562</v>
      </c>
      <c r="E16" s="46">
        <v>4296994.9075845946</v>
      </c>
      <c r="F16" s="46">
        <v>109955850.05098574</v>
      </c>
      <c r="G16" s="46">
        <v>2351173.3598491037</v>
      </c>
      <c r="H16" s="46">
        <v>95100347.010513127</v>
      </c>
      <c r="I16" s="46">
        <v>13141695.693785608</v>
      </c>
      <c r="J16" s="46">
        <v>754125.55770002189</v>
      </c>
      <c r="K16" s="46">
        <v>1181518.1785057436</v>
      </c>
      <c r="M16" s="50">
        <f t="shared" si="1"/>
        <v>156360975.7966482</v>
      </c>
      <c r="N16" s="50">
        <f t="shared" si="0"/>
        <v>172942336.91653362</v>
      </c>
    </row>
    <row r="17" spans="1:14" x14ac:dyDescent="0.3">
      <c r="A17" s="63">
        <v>43617</v>
      </c>
      <c r="C17" s="46">
        <v>148668087.39059395</v>
      </c>
      <c r="D17" s="46">
        <v>42073885.89537698</v>
      </c>
      <c r="E17" s="46">
        <v>3962626.6299576666</v>
      </c>
      <c r="F17" s="46">
        <v>109434500.60738356</v>
      </c>
      <c r="G17" s="46">
        <v>2227671.4679230126</v>
      </c>
      <c r="H17" s="46">
        <v>96298346.169648603</v>
      </c>
      <c r="I17" s="46">
        <v>17722518.825987853</v>
      </c>
      <c r="J17" s="46">
        <v>1142943.7043939112</v>
      </c>
      <c r="K17" s="46">
        <v>1071854.8331218716</v>
      </c>
      <c r="M17" s="50">
        <f t="shared" si="1"/>
        <v>148668087.39059395</v>
      </c>
      <c r="N17" s="50">
        <f t="shared" si="0"/>
        <v>176564147.13102299</v>
      </c>
    </row>
    <row r="18" spans="1:14" x14ac:dyDescent="0.3">
      <c r="A18" s="63">
        <v>43647</v>
      </c>
      <c r="C18" s="46">
        <v>188439202.77841285</v>
      </c>
      <c r="D18" s="46">
        <v>51161791.715529814</v>
      </c>
      <c r="E18" s="46">
        <v>4579280.0754368231</v>
      </c>
      <c r="F18" s="46">
        <v>128648359.51082771</v>
      </c>
      <c r="G18" s="46">
        <v>2639886.0166443819</v>
      </c>
      <c r="H18" s="46">
        <v>95172587.893913358</v>
      </c>
      <c r="I18" s="46">
        <v>24698771.538410094</v>
      </c>
      <c r="J18" s="46">
        <v>1779228.093050943</v>
      </c>
      <c r="K18" s="46">
        <v>1219306.1121361735</v>
      </c>
      <c r="M18" s="50">
        <f t="shared" si="1"/>
        <v>188439202.77841285</v>
      </c>
      <c r="N18" s="50">
        <f t="shared" si="0"/>
        <v>213507316.94989979</v>
      </c>
    </row>
    <row r="19" spans="1:14" x14ac:dyDescent="0.3">
      <c r="A19" s="63">
        <v>43678</v>
      </c>
      <c r="C19" s="46">
        <v>180392735.78821561</v>
      </c>
      <c r="D19" s="46">
        <v>48071894.983171813</v>
      </c>
      <c r="E19" s="46">
        <v>4358502.1746083293</v>
      </c>
      <c r="F19" s="46">
        <v>120103566.14752185</v>
      </c>
      <c r="G19" s="46">
        <v>2499677.4241502676</v>
      </c>
      <c r="H19" s="46">
        <v>98510934.395586789</v>
      </c>
      <c r="I19" s="46">
        <v>24139091.041300911</v>
      </c>
      <c r="J19" s="46">
        <v>1625009.721977659</v>
      </c>
      <c r="K19" s="46">
        <v>1138300.4244708719</v>
      </c>
      <c r="M19" s="50">
        <f t="shared" si="1"/>
        <v>180392735.78821561</v>
      </c>
      <c r="N19" s="50">
        <f t="shared" si="0"/>
        <v>200797741.49273083</v>
      </c>
    </row>
    <row r="20" spans="1:14" x14ac:dyDescent="0.3">
      <c r="A20" s="63">
        <v>43709</v>
      </c>
      <c r="C20" s="46">
        <v>156834680.2126509</v>
      </c>
      <c r="D20" s="46">
        <v>42609937.174266145</v>
      </c>
      <c r="E20" s="46">
        <v>4085800.2212012662</v>
      </c>
      <c r="F20" s="46">
        <v>109472317.07103513</v>
      </c>
      <c r="G20" s="46">
        <v>2260398.8765786584</v>
      </c>
      <c r="H20" s="46">
        <v>99552847.607073128</v>
      </c>
      <c r="I20" s="46">
        <v>17137673.404026031</v>
      </c>
      <c r="J20" s="46">
        <v>1041427.8289120928</v>
      </c>
      <c r="K20" s="46">
        <v>1135398.8318683293</v>
      </c>
      <c r="M20" s="50">
        <f t="shared" si="1"/>
        <v>156834680.2126509</v>
      </c>
      <c r="N20" s="50">
        <f t="shared" si="0"/>
        <v>176607554.57601932</v>
      </c>
    </row>
    <row r="21" spans="1:14" x14ac:dyDescent="0.3">
      <c r="A21" s="63">
        <v>43739</v>
      </c>
      <c r="C21" s="46">
        <v>176283611.7278176</v>
      </c>
      <c r="D21" s="46">
        <v>45202529.74063646</v>
      </c>
      <c r="E21" s="46">
        <v>4677647.7162856637</v>
      </c>
      <c r="F21" s="46">
        <v>115597679.18706094</v>
      </c>
      <c r="G21" s="46">
        <v>2435295.8758462197</v>
      </c>
      <c r="H21" s="46">
        <v>97226892.899622038</v>
      </c>
      <c r="I21" s="46">
        <v>9618461.8391909692</v>
      </c>
      <c r="J21" s="46">
        <v>562381.19924944651</v>
      </c>
      <c r="K21" s="46">
        <v>1146616.7827134524</v>
      </c>
      <c r="M21" s="50">
        <f t="shared" si="1"/>
        <v>176283611.7278176</v>
      </c>
      <c r="N21" s="50">
        <f t="shared" si="0"/>
        <v>178093995.55826968</v>
      </c>
    </row>
    <row r="22" spans="1:14" x14ac:dyDescent="0.3">
      <c r="A22" s="63">
        <v>43770</v>
      </c>
      <c r="C22" s="46">
        <v>225173549.70547396</v>
      </c>
      <c r="D22" s="46">
        <v>49033993.125053369</v>
      </c>
      <c r="E22" s="46">
        <v>5699021.8239794485</v>
      </c>
      <c r="F22" s="46">
        <v>115995789.95083535</v>
      </c>
      <c r="G22" s="46">
        <v>2717013.0364127741</v>
      </c>
      <c r="H22" s="46">
        <v>97496206.209099531</v>
      </c>
      <c r="I22" s="46">
        <v>4366987.0054134009</v>
      </c>
      <c r="J22" s="46">
        <v>290109.82590316446</v>
      </c>
      <c r="K22" s="46">
        <v>1058997.0727759385</v>
      </c>
      <c r="M22" s="50">
        <f t="shared" si="1"/>
        <v>225173549.70547396</v>
      </c>
      <c r="N22" s="50">
        <f t="shared" si="0"/>
        <v>178102914.76759753</v>
      </c>
    </row>
    <row r="23" spans="1:14" x14ac:dyDescent="0.3">
      <c r="A23" s="63">
        <v>43800</v>
      </c>
      <c r="C23" s="46">
        <v>283209300.06458104</v>
      </c>
      <c r="D23" s="46">
        <v>55036333.158103086</v>
      </c>
      <c r="E23" s="46">
        <v>7079507.152867252</v>
      </c>
      <c r="F23" s="46">
        <v>121732495.8075809</v>
      </c>
      <c r="G23" s="46">
        <v>3206498.0508250282</v>
      </c>
      <c r="H23" s="46">
        <v>94747018.763316929</v>
      </c>
      <c r="I23" s="46">
        <v>3738110.0187851191</v>
      </c>
      <c r="J23" s="46">
        <v>283850.89065098774</v>
      </c>
      <c r="K23" s="46">
        <v>1154061.7929887162</v>
      </c>
      <c r="M23" s="50">
        <f t="shared" si="1"/>
        <v>283209300.06458104</v>
      </c>
      <c r="N23" s="50">
        <f t="shared" si="0"/>
        <v>191076795.07881239</v>
      </c>
    </row>
  </sheetData>
  <mergeCells count="2">
    <mergeCell ref="A1:A2"/>
    <mergeCell ref="M3:N3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L83"/>
  <sheetViews>
    <sheetView tabSelected="1" topLeftCell="A53" zoomScaleNormal="100" workbookViewId="0">
      <selection activeCell="B83" sqref="B83"/>
    </sheetView>
  </sheetViews>
  <sheetFormatPr defaultRowHeight="14.4" x14ac:dyDescent="0.3"/>
  <cols>
    <col min="1" max="1" width="4.5546875" customWidth="1"/>
    <col min="2" max="2" width="27.88671875" customWidth="1"/>
    <col min="3" max="3" width="16.88671875" customWidth="1"/>
    <col min="4" max="4" width="16" customWidth="1"/>
    <col min="5" max="5" width="16.6640625" customWidth="1"/>
    <col min="6" max="6" width="7.5546875" customWidth="1"/>
    <col min="7" max="7" width="4.88671875" customWidth="1"/>
    <col min="8" max="8" width="28" customWidth="1"/>
    <col min="9" max="9" width="18" customWidth="1"/>
    <col min="10" max="10" width="16.33203125" customWidth="1"/>
    <col min="11" max="11" width="16.6640625" customWidth="1"/>
    <col min="13" max="14" width="11.6640625" customWidth="1"/>
    <col min="15" max="15" width="10.44140625" customWidth="1"/>
    <col min="16" max="16" width="12.6640625" customWidth="1"/>
  </cols>
  <sheetData>
    <row r="1" spans="1:11" x14ac:dyDescent="0.3">
      <c r="B1" s="147" t="s">
        <v>0</v>
      </c>
      <c r="C1" s="147"/>
      <c r="D1" s="147"/>
      <c r="E1" s="147"/>
      <c r="F1" s="51"/>
      <c r="G1" s="51"/>
      <c r="H1" s="147" t="s">
        <v>0</v>
      </c>
      <c r="I1" s="147"/>
      <c r="J1" s="147"/>
      <c r="K1" s="147"/>
    </row>
    <row r="2" spans="1:11" x14ac:dyDescent="0.3">
      <c r="B2" s="147" t="s">
        <v>1</v>
      </c>
      <c r="C2" s="147"/>
      <c r="D2" s="147"/>
      <c r="E2" s="147"/>
      <c r="F2" s="51"/>
      <c r="G2" s="51"/>
      <c r="H2" s="147" t="s">
        <v>1</v>
      </c>
      <c r="I2" s="147"/>
      <c r="J2" s="147"/>
      <c r="K2" s="147"/>
    </row>
    <row r="3" spans="1:11" x14ac:dyDescent="0.3">
      <c r="B3" s="147" t="s">
        <v>176</v>
      </c>
      <c r="C3" s="147"/>
      <c r="D3" s="147"/>
      <c r="E3" s="147"/>
      <c r="F3" s="51"/>
      <c r="G3" s="51"/>
      <c r="H3" s="147" t="str">
        <f>B3</f>
        <v>Effective November 1, 2018 - October 31, 2019</v>
      </c>
      <c r="I3" s="147"/>
      <c r="J3" s="147"/>
      <c r="K3" s="147"/>
    </row>
    <row r="5" spans="1:11" ht="18" x14ac:dyDescent="0.35">
      <c r="B5" s="153" t="s">
        <v>38</v>
      </c>
      <c r="C5" s="153"/>
      <c r="D5" s="153"/>
      <c r="E5" s="153"/>
      <c r="F5" s="60"/>
      <c r="G5" s="27"/>
      <c r="H5" s="153" t="s">
        <v>39</v>
      </c>
      <c r="I5" s="153"/>
      <c r="J5" s="153"/>
      <c r="K5" s="153"/>
    </row>
    <row r="6" spans="1:11" ht="29.4" customHeight="1" x14ac:dyDescent="0.3">
      <c r="A6" s="74" t="s">
        <v>93</v>
      </c>
      <c r="B6" s="59" t="s">
        <v>2</v>
      </c>
      <c r="C6" s="59" t="s">
        <v>5</v>
      </c>
      <c r="D6" s="59" t="s">
        <v>6</v>
      </c>
      <c r="E6" s="71" t="s">
        <v>107</v>
      </c>
      <c r="F6" s="59"/>
      <c r="G6" s="74" t="s">
        <v>93</v>
      </c>
      <c r="H6" s="59" t="s">
        <v>2</v>
      </c>
      <c r="I6" s="59" t="s">
        <v>5</v>
      </c>
      <c r="J6" s="59" t="s">
        <v>6</v>
      </c>
      <c r="K6" s="71" t="s">
        <v>107</v>
      </c>
    </row>
    <row r="7" spans="1:11" x14ac:dyDescent="0.3">
      <c r="A7" s="75">
        <v>1</v>
      </c>
      <c r="B7" s="59"/>
      <c r="C7" s="73">
        <f>ROUND(C8/E22,5)</f>
        <v>-1.09E-3</v>
      </c>
      <c r="D7" s="25">
        <v>4.6899999999999997E-2</v>
      </c>
      <c r="E7" s="59"/>
      <c r="F7" s="59"/>
      <c r="G7" s="75">
        <v>1</v>
      </c>
      <c r="H7" s="59"/>
      <c r="I7" s="59">
        <f>ROUND(I8/K22,5)</f>
        <v>5.1000000000000004E-4</v>
      </c>
      <c r="J7" s="25">
        <f>D7</f>
        <v>4.6899999999999997E-2</v>
      </c>
      <c r="K7" s="59"/>
    </row>
    <row r="8" spans="1:11" x14ac:dyDescent="0.3">
      <c r="A8" s="75">
        <v>2</v>
      </c>
      <c r="B8" s="52">
        <v>43374</v>
      </c>
      <c r="C8" s="26">
        <f>C58+C59</f>
        <v>-2593142.6874749241</v>
      </c>
      <c r="D8" s="26"/>
      <c r="E8" s="27"/>
      <c r="F8" s="27"/>
      <c r="G8" s="75">
        <v>2</v>
      </c>
      <c r="H8" s="52">
        <f>B8</f>
        <v>43374</v>
      </c>
      <c r="I8" s="26">
        <f>I58+I59</f>
        <v>1096953.7928383229</v>
      </c>
      <c r="J8" s="26"/>
      <c r="K8" s="27"/>
    </row>
    <row r="9" spans="1:11" x14ac:dyDescent="0.3">
      <c r="A9" s="75">
        <v>3</v>
      </c>
      <c r="B9" s="52">
        <f>B8+31</f>
        <v>43405</v>
      </c>
      <c r="C9" s="26">
        <f>C8+D9-$C$7*E9</f>
        <v>-2360950.0180945247</v>
      </c>
      <c r="D9" s="26">
        <f>(C8-$C$7*E9/2)*$D$7/12</f>
        <v>-9662.2411991236768</v>
      </c>
      <c r="E9" s="32">
        <f>'wp6 14 18 Forecast Usage by Sch'!M10</f>
        <v>221885239.06378257</v>
      </c>
      <c r="F9" s="32"/>
      <c r="G9" s="75">
        <v>3</v>
      </c>
      <c r="H9" s="52">
        <f t="shared" ref="H9:H20" si="0">B9</f>
        <v>43405</v>
      </c>
      <c r="I9" s="26">
        <f>I8+J9-$I$7*K9</f>
        <v>1012987.6082865992</v>
      </c>
      <c r="J9" s="26">
        <f>(I8-$I$7*K9/2)*$J$7/12</f>
        <v>4115.1354940869232</v>
      </c>
      <c r="K9" s="32">
        <f>'wp6 14 18 Forecast Usage by Sch'!N10</f>
        <v>172708470.67806011</v>
      </c>
    </row>
    <row r="10" spans="1:11" x14ac:dyDescent="0.3">
      <c r="A10" s="75">
        <v>4</v>
      </c>
      <c r="B10" s="52">
        <f t="shared" ref="B10:B20" si="1">B9+31</f>
        <v>43436</v>
      </c>
      <c r="C10" s="26">
        <f t="shared" ref="C10:C20" si="2">C9+D10-$C$7*E10</f>
        <v>-2062466.6296000932</v>
      </c>
      <c r="D10" s="26">
        <f t="shared" ref="D10:D20" si="3">(C9-$C$7*E10/2)*$D$7/12</f>
        <v>-8627.2343119852285</v>
      </c>
      <c r="E10" s="32">
        <f>'wp6 14 18 Forecast Usage by Sch'!M11</f>
        <v>281752864.9600153</v>
      </c>
      <c r="F10" s="32"/>
      <c r="G10" s="75">
        <v>4</v>
      </c>
      <c r="H10" s="52">
        <f t="shared" si="0"/>
        <v>43436</v>
      </c>
      <c r="I10" s="26">
        <f t="shared" ref="I10:I20" si="4">I9+J10-$I$7*K10</f>
        <v>919952.28505819931</v>
      </c>
      <c r="J10" s="26">
        <f t="shared" ref="J10:J20" si="5">(I9-$I$7*K10/2)*$J$7/12</f>
        <v>3769.9196569150718</v>
      </c>
      <c r="K10" s="32">
        <f>'wp6 14 18 Forecast Usage by Sch'!N11</f>
        <v>189814201.73591179</v>
      </c>
    </row>
    <row r="11" spans="1:11" x14ac:dyDescent="0.3">
      <c r="A11" s="75">
        <v>5</v>
      </c>
      <c r="B11" s="52">
        <f t="shared" si="1"/>
        <v>43467</v>
      </c>
      <c r="C11" s="26">
        <f t="shared" si="2"/>
        <v>-1776639.4746290909</v>
      </c>
      <c r="D11" s="26">
        <f t="shared" si="3"/>
        <v>-7487.6211190776667</v>
      </c>
      <c r="E11" s="32">
        <f>'wp6 14 18 Forecast Usage by Sch'!M12</f>
        <v>269096124.85328448</v>
      </c>
      <c r="F11" s="32"/>
      <c r="G11" s="75">
        <v>5</v>
      </c>
      <c r="H11" s="52">
        <f t="shared" si="0"/>
        <v>43467</v>
      </c>
      <c r="I11" s="26">
        <f t="shared" si="4"/>
        <v>828342.32137070806</v>
      </c>
      <c r="J11" s="26">
        <f t="shared" si="5"/>
        <v>3409.7957342325103</v>
      </c>
      <c r="K11" s="32">
        <f>'wp6 14 18 Forecast Usage by Sch'!N12</f>
        <v>186313253.76808581</v>
      </c>
    </row>
    <row r="12" spans="1:11" x14ac:dyDescent="0.3">
      <c r="A12" s="75">
        <v>6</v>
      </c>
      <c r="B12" s="52">
        <f t="shared" si="1"/>
        <v>43498</v>
      </c>
      <c r="C12" s="26">
        <f t="shared" si="2"/>
        <v>-1542256.2461475818</v>
      </c>
      <c r="D12" s="26">
        <f t="shared" si="3"/>
        <v>-6473.0260160114585</v>
      </c>
      <c r="E12" s="32">
        <f>'wp6 14 18 Forecast Usage by Sch'!M13</f>
        <v>220969040.82341322</v>
      </c>
      <c r="F12" s="32"/>
      <c r="G12" s="75">
        <v>6</v>
      </c>
      <c r="H12" s="52">
        <f t="shared" si="0"/>
        <v>43498</v>
      </c>
      <c r="I12" s="26">
        <f t="shared" si="4"/>
        <v>747510.16478915291</v>
      </c>
      <c r="J12" s="26">
        <f t="shared" si="5"/>
        <v>3073.4723228731132</v>
      </c>
      <c r="K12" s="32">
        <f>'wp6 14 18 Forecast Usage by Sch'!N13</f>
        <v>164520840.98907495</v>
      </c>
    </row>
    <row r="13" spans="1:11" x14ac:dyDescent="0.3">
      <c r="A13" s="75">
        <v>7</v>
      </c>
      <c r="B13" s="52">
        <f t="shared" si="1"/>
        <v>43529</v>
      </c>
      <c r="C13" s="26">
        <f t="shared" si="2"/>
        <v>-1315953.7463834207</v>
      </c>
      <c r="D13" s="26">
        <f t="shared" si="3"/>
        <v>-5574.5251425216557</v>
      </c>
      <c r="E13" s="32">
        <f>'wp6 14 18 Forecast Usage by Sch'!M14</f>
        <v>212731215.51071823</v>
      </c>
      <c r="F13" s="32"/>
      <c r="G13" s="75">
        <v>7</v>
      </c>
      <c r="H13" s="52">
        <f t="shared" si="0"/>
        <v>43529</v>
      </c>
      <c r="I13" s="26">
        <f t="shared" si="4"/>
        <v>661426.08167691878</v>
      </c>
      <c r="J13" s="26">
        <f t="shared" si="5"/>
        <v>2747.926342241984</v>
      </c>
      <c r="K13" s="32">
        <f>'wp6 14 18 Forecast Usage by Sch'!N14</f>
        <v>174180410.69505116</v>
      </c>
    </row>
    <row r="14" spans="1:11" x14ac:dyDescent="0.3">
      <c r="A14" s="75">
        <v>8</v>
      </c>
      <c r="B14" s="52">
        <f t="shared" si="1"/>
        <v>43560</v>
      </c>
      <c r="C14" s="26">
        <f t="shared" si="2"/>
        <v>-1134610.7876848306</v>
      </c>
      <c r="D14" s="26">
        <f t="shared" si="3"/>
        <v>-4779.471642823024</v>
      </c>
      <c r="E14" s="32">
        <f>'wp6 14 18 Forecast Usage by Sch'!M15</f>
        <v>170754523.24900281</v>
      </c>
      <c r="F14" s="32"/>
      <c r="G14" s="75">
        <v>8</v>
      </c>
      <c r="H14" s="52">
        <f t="shared" si="0"/>
        <v>43560</v>
      </c>
      <c r="I14" s="26">
        <f t="shared" si="4"/>
        <v>581022.64889991679</v>
      </c>
      <c r="J14" s="26">
        <f t="shared" si="5"/>
        <v>2423.2165253755611</v>
      </c>
      <c r="K14" s="32">
        <f>'wp6 14 18 Forecast Usage by Sch'!N15</f>
        <v>162405194.71054432</v>
      </c>
    </row>
    <row r="15" spans="1:11" x14ac:dyDescent="0.3">
      <c r="A15" s="75">
        <v>9</v>
      </c>
      <c r="B15" s="52">
        <f t="shared" si="1"/>
        <v>43591</v>
      </c>
      <c r="C15" s="26">
        <f t="shared" si="2"/>
        <v>-968278.70583486487</v>
      </c>
      <c r="D15" s="26">
        <f t="shared" si="3"/>
        <v>-4101.3817683806938</v>
      </c>
      <c r="E15" s="32">
        <f>'wp6 14 18 Forecast Usage by Sch'!M16</f>
        <v>156360975.7966482</v>
      </c>
      <c r="F15" s="32"/>
      <c r="G15" s="75">
        <v>9</v>
      </c>
      <c r="H15" s="52">
        <f t="shared" si="0"/>
        <v>43591</v>
      </c>
      <c r="I15" s="26">
        <f t="shared" si="4"/>
        <v>494920.52860207239</v>
      </c>
      <c r="J15" s="26">
        <f t="shared" si="5"/>
        <v>2098.4715295877345</v>
      </c>
      <c r="K15" s="32">
        <f>'wp6 14 18 Forecast Usage by Sch'!N16</f>
        <v>172942336.91653362</v>
      </c>
    </row>
    <row r="16" spans="1:11" x14ac:dyDescent="0.3">
      <c r="A16" s="75">
        <v>10</v>
      </c>
      <c r="B16" s="52">
        <f t="shared" si="1"/>
        <v>43622</v>
      </c>
      <c r="C16" s="26">
        <f t="shared" si="2"/>
        <v>-809698.17730044306</v>
      </c>
      <c r="D16" s="26">
        <f t="shared" si="3"/>
        <v>-3467.6867213256573</v>
      </c>
      <c r="E16" s="32">
        <f>'wp6 14 18 Forecast Usage by Sch'!M17</f>
        <v>148668087.39059395</v>
      </c>
      <c r="F16" s="32"/>
      <c r="G16" s="75">
        <v>10</v>
      </c>
      <c r="H16" s="52">
        <f t="shared" si="0"/>
        <v>43622</v>
      </c>
      <c r="I16" s="26">
        <f t="shared" si="4"/>
        <v>406631.15972140263</v>
      </c>
      <c r="J16" s="26">
        <f t="shared" si="5"/>
        <v>1758.3461561519769</v>
      </c>
      <c r="K16" s="32">
        <f>'wp6 14 18 Forecast Usage by Sch'!N17</f>
        <v>176564147.13102299</v>
      </c>
    </row>
    <row r="17" spans="1:11" x14ac:dyDescent="0.3">
      <c r="A17" s="75">
        <v>11</v>
      </c>
      <c r="B17" s="52">
        <f t="shared" si="1"/>
        <v>43653</v>
      </c>
      <c r="C17" s="26">
        <f t="shared" si="2"/>
        <v>-607062.63329470414</v>
      </c>
      <c r="D17" s="26">
        <f t="shared" si="3"/>
        <v>-2763.187022731096</v>
      </c>
      <c r="E17" s="32">
        <f>'wp6 14 18 Forecast Usage by Sch'!M18</f>
        <v>188439202.77841285</v>
      </c>
      <c r="F17" s="32"/>
      <c r="G17" s="75">
        <v>11</v>
      </c>
      <c r="H17" s="52">
        <f t="shared" si="0"/>
        <v>43653</v>
      </c>
      <c r="I17" s="26">
        <f t="shared" si="4"/>
        <v>299118.8914631097</v>
      </c>
      <c r="J17" s="26">
        <f t="shared" si="5"/>
        <v>1376.4633861559544</v>
      </c>
      <c r="K17" s="32">
        <f>'wp6 14 18 Forecast Usage by Sch'!N18</f>
        <v>213507316.94989979</v>
      </c>
    </row>
    <row r="18" spans="1:11" x14ac:dyDescent="0.3">
      <c r="A18" s="75">
        <v>12</v>
      </c>
      <c r="B18" s="52">
        <f t="shared" si="1"/>
        <v>43684</v>
      </c>
      <c r="C18" s="26">
        <f t="shared" si="2"/>
        <v>-412422.91036708298</v>
      </c>
      <c r="D18" s="26">
        <f t="shared" si="3"/>
        <v>-1988.3590815339114</v>
      </c>
      <c r="E18" s="32">
        <f>'wp6 14 18 Forecast Usage by Sch'!M19</f>
        <v>180392735.78821561</v>
      </c>
      <c r="F18" s="32"/>
      <c r="G18" s="75">
        <v>12</v>
      </c>
      <c r="H18" s="52">
        <f t="shared" si="0"/>
        <v>43684</v>
      </c>
      <c r="I18" s="26">
        <f t="shared" si="4"/>
        <v>197680.97958683677</v>
      </c>
      <c r="J18" s="26">
        <f t="shared" si="5"/>
        <v>968.93628501979413</v>
      </c>
      <c r="K18" s="32">
        <f>'wp6 14 18 Forecast Usage by Sch'!N19</f>
        <v>200797741.49273083</v>
      </c>
    </row>
    <row r="19" spans="1:11" x14ac:dyDescent="0.3">
      <c r="A19" s="75">
        <v>13</v>
      </c>
      <c r="B19" s="52">
        <f t="shared" si="1"/>
        <v>43715</v>
      </c>
      <c r="C19" s="26">
        <f t="shared" si="2"/>
        <v>-242750.93073968025</v>
      </c>
      <c r="D19" s="26">
        <f t="shared" si="3"/>
        <v>-1277.8218043867275</v>
      </c>
      <c r="E19" s="32">
        <f>'wp6 14 18 Forecast Usage by Sch'!M20</f>
        <v>156834680.2126509</v>
      </c>
      <c r="F19" s="32"/>
      <c r="G19" s="75">
        <v>13</v>
      </c>
      <c r="H19" s="52">
        <f t="shared" si="0"/>
        <v>43715</v>
      </c>
      <c r="I19" s="26">
        <f t="shared" si="4"/>
        <v>108207.71841087281</v>
      </c>
      <c r="J19" s="26">
        <f t="shared" si="5"/>
        <v>596.59165780589501</v>
      </c>
      <c r="K19" s="32">
        <f>'wp6 14 18 Forecast Usage by Sch'!N20</f>
        <v>176607554.57601932</v>
      </c>
    </row>
    <row r="20" spans="1:11" x14ac:dyDescent="0.3">
      <c r="A20" s="75">
        <v>14</v>
      </c>
      <c r="B20" s="52">
        <f t="shared" si="1"/>
        <v>43746</v>
      </c>
      <c r="C20" s="26">
        <f t="shared" si="2"/>
        <v>-51175.054072535917</v>
      </c>
      <c r="D20" s="26">
        <f t="shared" si="3"/>
        <v>-573.26011617684355</v>
      </c>
      <c r="E20" s="32">
        <f>'wp6 14 18 Forecast Usage by Sch'!M21</f>
        <v>176283611.7278176</v>
      </c>
      <c r="F20" s="32"/>
      <c r="G20" s="75">
        <v>14</v>
      </c>
      <c r="H20" s="52">
        <f t="shared" si="0"/>
        <v>43746</v>
      </c>
      <c r="I20" s="26">
        <f t="shared" si="4"/>
        <v>17625.199580621163</v>
      </c>
      <c r="J20" s="26">
        <f t="shared" si="5"/>
        <v>245.41890446590068</v>
      </c>
      <c r="K20" s="32">
        <f>'wp6 14 18 Forecast Usage by Sch'!N21</f>
        <v>178093995.55826968</v>
      </c>
    </row>
    <row r="21" spans="1:11" x14ac:dyDescent="0.3">
      <c r="B21" s="27"/>
      <c r="C21" s="27"/>
      <c r="D21" s="27"/>
      <c r="E21" s="27"/>
      <c r="F21" s="27"/>
      <c r="G21" s="75"/>
      <c r="H21" s="27"/>
      <c r="I21" s="27"/>
      <c r="J21" s="27"/>
      <c r="K21" s="27"/>
    </row>
    <row r="22" spans="1:11" x14ac:dyDescent="0.3">
      <c r="A22" s="75">
        <v>15</v>
      </c>
      <c r="B22" s="27" t="s">
        <v>4</v>
      </c>
      <c r="C22" s="27"/>
      <c r="D22" s="26">
        <f>SUM(D9:D21)</f>
        <v>-56775.815946077637</v>
      </c>
      <c r="E22" s="33">
        <f>SUM(E9:E21)</f>
        <v>2384168302.1545558</v>
      </c>
      <c r="F22" s="33"/>
      <c r="G22" s="75">
        <v>15</v>
      </c>
      <c r="H22" s="27" t="s">
        <v>4</v>
      </c>
      <c r="I22" s="27"/>
      <c r="J22" s="26">
        <f>SUM(J9:J21)</f>
        <v>26583.693994912421</v>
      </c>
      <c r="K22" s="33">
        <f>SUM(K9:K21)</f>
        <v>2168455465.2012043</v>
      </c>
    </row>
    <row r="23" spans="1:11" x14ac:dyDescent="0.3">
      <c r="B23" s="27"/>
      <c r="C23" s="27"/>
      <c r="D23" s="26"/>
      <c r="E23" s="33"/>
      <c r="F23" s="33"/>
      <c r="G23" s="75"/>
      <c r="H23" s="27"/>
      <c r="I23" s="27"/>
      <c r="J23" s="26"/>
      <c r="K23" s="33"/>
    </row>
    <row r="24" spans="1:11" ht="28.2" customHeight="1" x14ac:dyDescent="0.3">
      <c r="A24" s="75">
        <v>16</v>
      </c>
      <c r="B24" s="149" t="s">
        <v>8</v>
      </c>
      <c r="C24" s="149"/>
      <c r="D24" s="28">
        <f>ROUND(D22/E22,5)</f>
        <v>-2.0000000000000002E-5</v>
      </c>
      <c r="E24" s="33"/>
      <c r="F24" s="33"/>
      <c r="G24" s="75">
        <v>16</v>
      </c>
      <c r="H24" s="149" t="s">
        <v>8</v>
      </c>
      <c r="I24" s="149"/>
      <c r="J24" s="28">
        <f>ROUND(J22/K22,5)</f>
        <v>1.0000000000000001E-5</v>
      </c>
      <c r="K24" s="33"/>
    </row>
    <row r="25" spans="1:11" ht="28.2" customHeight="1" x14ac:dyDescent="0.3">
      <c r="A25" s="75">
        <v>17</v>
      </c>
      <c r="B25" s="149" t="s">
        <v>9</v>
      </c>
      <c r="C25" s="149"/>
      <c r="D25" s="28">
        <f>C7</f>
        <v>-1.09E-3</v>
      </c>
      <c r="E25" s="33"/>
      <c r="F25" s="33"/>
      <c r="G25" s="75">
        <v>17</v>
      </c>
      <c r="H25" s="149" t="s">
        <v>9</v>
      </c>
      <c r="I25" s="149"/>
      <c r="J25" s="28">
        <f>I7</f>
        <v>5.1000000000000004E-4</v>
      </c>
      <c r="K25" s="33"/>
    </row>
    <row r="26" spans="1:11" ht="28.95" customHeight="1" x14ac:dyDescent="0.3">
      <c r="A26" s="75">
        <v>18</v>
      </c>
      <c r="B26" s="149" t="s">
        <v>10</v>
      </c>
      <c r="C26" s="149"/>
      <c r="D26" s="28">
        <f>D24+D25</f>
        <v>-1.1100000000000001E-3</v>
      </c>
      <c r="E26" s="34"/>
      <c r="F26" s="34"/>
      <c r="G26" s="75">
        <v>18</v>
      </c>
      <c r="H26" s="149" t="s">
        <v>10</v>
      </c>
      <c r="I26" s="149"/>
      <c r="J26" s="28">
        <f>J24+J25</f>
        <v>5.2000000000000006E-4</v>
      </c>
      <c r="K26" s="34"/>
    </row>
    <row r="27" spans="1:11" ht="28.95" customHeight="1" x14ac:dyDescent="0.3">
      <c r="A27" s="75">
        <v>19</v>
      </c>
      <c r="B27" s="151" t="s">
        <v>11</v>
      </c>
      <c r="C27" s="151"/>
      <c r="D27" s="29">
        <f>'Conversion Factor'!$E$114</f>
        <v>1.047725</v>
      </c>
      <c r="E27" s="33"/>
      <c r="F27" s="33"/>
      <c r="G27" s="75">
        <v>19</v>
      </c>
      <c r="H27" s="151" t="s">
        <v>11</v>
      </c>
      <c r="I27" s="151"/>
      <c r="J27" s="29">
        <f>D27</f>
        <v>1.047725</v>
      </c>
      <c r="K27" s="33"/>
    </row>
    <row r="28" spans="1:11" ht="30" customHeight="1" x14ac:dyDescent="0.3">
      <c r="A28" s="75">
        <v>20</v>
      </c>
      <c r="B28" s="27" t="s">
        <v>74</v>
      </c>
      <c r="C28" s="27"/>
      <c r="D28" s="28">
        <f>ROUND(D26*D27,5)</f>
        <v>-1.16E-3</v>
      </c>
      <c r="E28" s="33"/>
      <c r="F28" s="33"/>
      <c r="G28" s="75">
        <v>20</v>
      </c>
      <c r="H28" s="27" t="s">
        <v>74</v>
      </c>
      <c r="I28" s="27"/>
      <c r="J28" s="28">
        <f>ROUND(J26*J27,5)</f>
        <v>5.4000000000000001E-4</v>
      </c>
      <c r="K28" s="33"/>
    </row>
    <row r="29" spans="1:11" ht="27.6" customHeight="1" x14ac:dyDescent="0.3">
      <c r="A29" s="75">
        <v>21</v>
      </c>
      <c r="B29" s="27" t="s">
        <v>67</v>
      </c>
      <c r="C29" s="27"/>
      <c r="D29" s="28">
        <f>'Earnings Test and 3% Test'!D55</f>
        <v>0</v>
      </c>
      <c r="E29" s="33"/>
      <c r="F29" s="33"/>
      <c r="G29" s="75">
        <v>21</v>
      </c>
      <c r="H29" s="27" t="s">
        <v>67</v>
      </c>
      <c r="I29" s="27"/>
      <c r="J29" s="28">
        <f>'Earnings Test and 3% Test'!E55</f>
        <v>0</v>
      </c>
      <c r="K29" s="33"/>
    </row>
    <row r="30" spans="1:11" ht="27.6" customHeight="1" x14ac:dyDescent="0.3">
      <c r="A30" s="75">
        <v>22</v>
      </c>
      <c r="B30" s="27" t="s">
        <v>68</v>
      </c>
      <c r="C30" s="27"/>
      <c r="D30" s="28">
        <f>D28+D29</f>
        <v>-1.16E-3</v>
      </c>
      <c r="E30" s="33" t="str">
        <f>IF(D30&lt;0,"Rebate Rate","Surcharge Rate")</f>
        <v>Rebate Rate</v>
      </c>
      <c r="F30" s="33"/>
      <c r="G30" s="75">
        <v>22</v>
      </c>
      <c r="H30" s="27" t="s">
        <v>68</v>
      </c>
      <c r="I30" s="27"/>
      <c r="J30" s="28">
        <f>J28+J29</f>
        <v>5.4000000000000001E-4</v>
      </c>
      <c r="K30" s="33" t="str">
        <f>IF(J30&lt;0,"Rebate Rate","Surcharge Rate")</f>
        <v>Surcharge Rate</v>
      </c>
    </row>
    <row r="31" spans="1:11" ht="28.2" customHeight="1" x14ac:dyDescent="0.3">
      <c r="A31" s="75">
        <v>23</v>
      </c>
      <c r="B31" s="27"/>
      <c r="C31" s="30" t="s">
        <v>71</v>
      </c>
      <c r="D31" s="28">
        <f>ROUND(D30*'Conversion Factor'!$E$108,5)</f>
        <v>-1.1100000000000001E-3</v>
      </c>
      <c r="E31" s="33" t="s">
        <v>12</v>
      </c>
      <c r="F31" s="33"/>
      <c r="G31" s="75">
        <v>23</v>
      </c>
      <c r="H31" s="27"/>
      <c r="I31" s="30" t="s">
        <v>71</v>
      </c>
      <c r="J31" s="28">
        <f>ROUND(J30*'Conversion Factor'!$E$108,5)</f>
        <v>5.1999999999999995E-4</v>
      </c>
      <c r="K31" s="33" t="s">
        <v>12</v>
      </c>
    </row>
    <row r="32" spans="1:11" ht="29.4" customHeight="1" x14ac:dyDescent="0.3">
      <c r="A32" s="75">
        <v>24</v>
      </c>
      <c r="B32" s="27" t="s">
        <v>73</v>
      </c>
      <c r="C32" s="27"/>
      <c r="D32" s="26">
        <f>IF(D29=0,0,C71)</f>
        <v>0</v>
      </c>
      <c r="E32" s="33"/>
      <c r="F32" s="33"/>
      <c r="G32" s="75">
        <v>24</v>
      </c>
      <c r="H32" s="27" t="s">
        <v>73</v>
      </c>
      <c r="I32" s="27"/>
      <c r="J32" s="26">
        <f>IF(J29=0,0,I71)</f>
        <v>0</v>
      </c>
      <c r="K32" s="33"/>
    </row>
    <row r="33" spans="1:12" ht="18" customHeight="1" x14ac:dyDescent="0.3">
      <c r="B33" s="27"/>
      <c r="C33" s="27"/>
      <c r="D33" s="35"/>
      <c r="E33" s="27"/>
      <c r="F33" s="27"/>
      <c r="G33" s="27"/>
      <c r="H33" s="151"/>
      <c r="I33" s="151"/>
      <c r="J33" s="35"/>
      <c r="K33" s="27"/>
    </row>
    <row r="34" spans="1:12" ht="16.2" customHeight="1" x14ac:dyDescent="0.3">
      <c r="A34" s="53" t="s">
        <v>69</v>
      </c>
      <c r="B34" s="53"/>
      <c r="C34" s="27"/>
      <c r="D34" s="35"/>
      <c r="E34" s="27"/>
      <c r="F34" s="27"/>
      <c r="G34" s="53" t="s">
        <v>69</v>
      </c>
      <c r="H34" s="53"/>
      <c r="I34" s="27"/>
      <c r="J34" s="35"/>
      <c r="K34" s="27"/>
    </row>
    <row r="35" spans="1:12" ht="43.2" customHeight="1" x14ac:dyDescent="0.3">
      <c r="A35" s="83" t="s">
        <v>100</v>
      </c>
      <c r="B35" s="148" t="str">
        <f>"Deferral balance at the end of the month, Rate of "&amp;TEXT(D25,"$0.00000")&amp;" to recover the October 2018 balance of "&amp;TEXT(C8,"$000,000")&amp;" over 12 months.  See page 2 and 5 of Attachment A for October 2018 balance calculation."</f>
        <v>Deferral balance at the end of the month, Rate of -$0.00109 to recover the October 2018 balance of -$2,593,143 over 12 months.  See page 2 and 5 of Attachment A for October 2018 balance calculation.</v>
      </c>
      <c r="C35" s="148"/>
      <c r="D35" s="148"/>
      <c r="E35" s="148"/>
      <c r="F35" s="27"/>
      <c r="G35" s="83" t="s">
        <v>100</v>
      </c>
      <c r="H35" s="148" t="str">
        <f>"Deferral balance at the end of the month, Rate of "&amp;TEXT(J25,"$0.00000")&amp;" to recover the October 2018 balance of "&amp;TEXT(I8,"$000,000")&amp;" over 12 months.  See page 4 and 5 of Attachment A for October 2018 balance calculation."</f>
        <v>Deferral balance at the end of the month, Rate of $0.00051 to recover the October 2018 balance of $1,096,954 over 12 months.  See page 4 and 5 of Attachment A for October 2018 balance calculation.</v>
      </c>
      <c r="I35" s="148"/>
      <c r="J35" s="148"/>
      <c r="K35" s="148"/>
    </row>
    <row r="36" spans="1:12" ht="28.8" customHeight="1" x14ac:dyDescent="0.3">
      <c r="A36" s="83" t="s">
        <v>101</v>
      </c>
      <c r="B36" s="148" t="s">
        <v>102</v>
      </c>
      <c r="C36" s="148"/>
      <c r="D36" s="148"/>
      <c r="E36" s="148"/>
      <c r="F36" s="27"/>
      <c r="G36" s="83" t="s">
        <v>101</v>
      </c>
      <c r="H36" s="148" t="s">
        <v>102</v>
      </c>
      <c r="I36" s="148"/>
      <c r="J36" s="148"/>
      <c r="K36" s="148"/>
    </row>
    <row r="37" spans="1:12" ht="15.6" customHeight="1" x14ac:dyDescent="0.3">
      <c r="B37" s="57" t="s">
        <v>72</v>
      </c>
      <c r="C37" s="58"/>
      <c r="D37" s="58"/>
      <c r="E37" s="58"/>
      <c r="F37" s="27"/>
      <c r="H37" s="57" t="s">
        <v>72</v>
      </c>
      <c r="I37" s="80"/>
      <c r="J37" s="80"/>
      <c r="K37" s="80"/>
    </row>
    <row r="38" spans="1:12" ht="18" customHeight="1" x14ac:dyDescent="0.3">
      <c r="A38" s="102" t="s">
        <v>103</v>
      </c>
      <c r="B38" s="146" t="s">
        <v>177</v>
      </c>
      <c r="C38" s="146"/>
      <c r="D38" s="146"/>
      <c r="E38" s="146"/>
      <c r="F38" s="27"/>
      <c r="G38" s="102" t="s">
        <v>103</v>
      </c>
      <c r="H38" s="146" t="s">
        <v>127</v>
      </c>
      <c r="I38" s="146"/>
      <c r="J38" s="146"/>
      <c r="K38" s="146"/>
    </row>
    <row r="39" spans="1:12" ht="18" customHeight="1" x14ac:dyDescent="0.3">
      <c r="A39" s="102" t="s">
        <v>104</v>
      </c>
      <c r="B39" s="146" t="s">
        <v>126</v>
      </c>
      <c r="C39" s="146"/>
      <c r="D39" s="146"/>
      <c r="E39" s="146"/>
      <c r="F39" s="27"/>
      <c r="G39" s="102" t="s">
        <v>104</v>
      </c>
      <c r="H39" s="146" t="s">
        <v>126</v>
      </c>
      <c r="I39" s="146"/>
      <c r="J39" s="146"/>
      <c r="K39" s="146"/>
    </row>
    <row r="40" spans="1:12" ht="18" customHeight="1" x14ac:dyDescent="0.3">
      <c r="A40" s="102" t="s">
        <v>105</v>
      </c>
      <c r="B40" s="146" t="s">
        <v>106</v>
      </c>
      <c r="C40" s="146"/>
      <c r="D40" s="146"/>
      <c r="E40" s="146"/>
      <c r="F40" s="27"/>
      <c r="G40" s="102" t="s">
        <v>105</v>
      </c>
      <c r="H40" s="146" t="s">
        <v>128</v>
      </c>
      <c r="I40" s="146"/>
      <c r="J40" s="146"/>
      <c r="K40" s="146"/>
    </row>
    <row r="41" spans="1:12" ht="14.4" customHeight="1" x14ac:dyDescent="0.3">
      <c r="B41" s="61"/>
      <c r="C41" s="61"/>
      <c r="D41" s="35"/>
      <c r="E41" s="27"/>
      <c r="F41" s="27"/>
      <c r="G41" s="27"/>
      <c r="H41" s="61"/>
      <c r="I41" s="61"/>
      <c r="J41" s="35"/>
      <c r="K41" s="27"/>
    </row>
    <row r="42" spans="1:12" ht="27.6" customHeight="1" x14ac:dyDescent="0.35">
      <c r="B42" s="152" t="str">
        <f>B5</f>
        <v>Residential Electric</v>
      </c>
      <c r="C42" s="152"/>
      <c r="D42" s="152"/>
      <c r="E42" s="152"/>
      <c r="F42" s="59"/>
      <c r="G42" s="27"/>
      <c r="H42" s="152" t="str">
        <f>H5</f>
        <v>Non-Residential Electric</v>
      </c>
      <c r="I42" s="152"/>
      <c r="J42" s="152"/>
      <c r="K42" s="152"/>
    </row>
    <row r="43" spans="1:12" x14ac:dyDescent="0.3">
      <c r="B43" s="150" t="s">
        <v>119</v>
      </c>
      <c r="C43" s="150"/>
      <c r="D43" s="150"/>
      <c r="E43" s="150"/>
      <c r="F43" s="27"/>
      <c r="G43" s="27"/>
      <c r="H43" s="150" t="str">
        <f>B43</f>
        <v>Calculate Estimated Monthly Balances through October 2018</v>
      </c>
      <c r="I43" s="150"/>
      <c r="J43" s="150"/>
      <c r="K43" s="150"/>
    </row>
    <row r="44" spans="1:12" ht="27.6" customHeight="1" x14ac:dyDescent="0.3">
      <c r="A44" s="76" t="s">
        <v>93</v>
      </c>
      <c r="B44" s="27"/>
      <c r="C44" s="59" t="s">
        <v>7</v>
      </c>
      <c r="D44" s="59" t="s">
        <v>3</v>
      </c>
      <c r="E44" s="60" t="s">
        <v>70</v>
      </c>
      <c r="F44" s="126" t="s">
        <v>124</v>
      </c>
      <c r="G44" s="76" t="s">
        <v>93</v>
      </c>
      <c r="H44" s="27"/>
      <c r="I44" s="59" t="s">
        <v>7</v>
      </c>
      <c r="J44" s="59" t="s">
        <v>3</v>
      </c>
      <c r="K44" s="62" t="s">
        <v>70</v>
      </c>
      <c r="L44" s="126" t="s">
        <v>124</v>
      </c>
    </row>
    <row r="45" spans="1:12" x14ac:dyDescent="0.3">
      <c r="B45" s="27"/>
      <c r="C45" s="27"/>
      <c r="D45" s="56"/>
      <c r="E45" s="27"/>
      <c r="F45" s="27"/>
      <c r="G45" s="27"/>
      <c r="H45" s="27"/>
      <c r="I45" s="27"/>
      <c r="J45" s="56"/>
      <c r="K45" s="27"/>
    </row>
    <row r="46" spans="1:12" x14ac:dyDescent="0.3">
      <c r="A46" s="77">
        <v>1</v>
      </c>
      <c r="B46" s="52">
        <v>43070</v>
      </c>
      <c r="C46" s="140">
        <v>-2092789.89</v>
      </c>
      <c r="D46" s="27"/>
      <c r="E46" s="27"/>
      <c r="F46" s="27"/>
      <c r="G46" s="77">
        <v>1</v>
      </c>
      <c r="H46" s="52">
        <f>B46</f>
        <v>43070</v>
      </c>
      <c r="I46" s="140">
        <v>1735911.16</v>
      </c>
      <c r="J46" s="27"/>
      <c r="K46" s="27"/>
    </row>
    <row r="47" spans="1:12" x14ac:dyDescent="0.3">
      <c r="A47" s="77">
        <v>2</v>
      </c>
      <c r="B47" s="52" t="s">
        <v>75</v>
      </c>
      <c r="C47" s="26">
        <f>-'Earnings Test and 3% Test'!E34</f>
        <v>-728117</v>
      </c>
      <c r="D47" s="27"/>
      <c r="E47" s="27"/>
      <c r="F47" s="27"/>
      <c r="G47" s="77">
        <v>2</v>
      </c>
      <c r="H47" s="52" t="s">
        <v>75</v>
      </c>
      <c r="I47" s="26">
        <f>-'Earnings Test and 3% Test'!E35</f>
        <v>-697138</v>
      </c>
      <c r="J47" s="27"/>
      <c r="K47" s="27"/>
    </row>
    <row r="48" spans="1:12" x14ac:dyDescent="0.3">
      <c r="A48" s="77">
        <v>3</v>
      </c>
      <c r="B48" s="52" t="s">
        <v>76</v>
      </c>
      <c r="C48" s="26">
        <f>C46+C47</f>
        <v>-2820906.8899999997</v>
      </c>
      <c r="D48" s="27"/>
      <c r="E48" s="27"/>
      <c r="F48" s="27"/>
      <c r="G48" s="77">
        <v>3</v>
      </c>
      <c r="H48" s="52" t="s">
        <v>76</v>
      </c>
      <c r="I48" s="26">
        <f>I46+I47</f>
        <v>1038773.1599999999</v>
      </c>
      <c r="J48" s="27"/>
      <c r="K48" s="27"/>
    </row>
    <row r="49" spans="1:12" x14ac:dyDescent="0.3">
      <c r="A49" s="77">
        <v>4</v>
      </c>
      <c r="B49" s="52">
        <v>43101</v>
      </c>
      <c r="C49" s="26">
        <f>C48+D49-E49</f>
        <v>-2830897.601902083</v>
      </c>
      <c r="D49" s="26">
        <f>(C48-E49/2)*F49/12</f>
        <v>-9990.7119020833325</v>
      </c>
      <c r="E49" s="27"/>
      <c r="F49" s="35">
        <v>4.2500000000000003E-2</v>
      </c>
      <c r="G49" s="77">
        <v>4</v>
      </c>
      <c r="H49" s="52">
        <f>B49</f>
        <v>43101</v>
      </c>
      <c r="I49" s="26">
        <f>I48+J49-K49</f>
        <v>1042452.1482749999</v>
      </c>
      <c r="J49" s="26">
        <f>(I48-K49/2)*L49/12</f>
        <v>3678.9882749999997</v>
      </c>
      <c r="K49" s="27"/>
      <c r="L49" s="37">
        <f>F49</f>
        <v>4.2500000000000003E-2</v>
      </c>
    </row>
    <row r="50" spans="1:12" x14ac:dyDescent="0.3">
      <c r="A50" s="77">
        <v>5</v>
      </c>
      <c r="B50" s="52">
        <f>B49+31</f>
        <v>43132</v>
      </c>
      <c r="C50" s="26">
        <f t="shared" ref="C50:C58" si="6">C49+D50-E50</f>
        <v>-2840923.6975754863</v>
      </c>
      <c r="D50" s="26">
        <f t="shared" ref="D50:D58" si="7">(C49-E50/2)*F50/12</f>
        <v>-10026.095673403212</v>
      </c>
      <c r="E50" s="27"/>
      <c r="F50" s="127">
        <f>F49</f>
        <v>4.2500000000000003E-2</v>
      </c>
      <c r="G50" s="77">
        <v>5</v>
      </c>
      <c r="H50" s="52">
        <f t="shared" ref="H50:H71" si="8">B50</f>
        <v>43132</v>
      </c>
      <c r="I50" s="26">
        <f t="shared" ref="I50:I58" si="9">I49+J50-K50</f>
        <v>1046144.1663001406</v>
      </c>
      <c r="J50" s="26">
        <f t="shared" ref="J50:J58" si="10">(I49-K50/2)*L50/12</f>
        <v>3692.018025140625</v>
      </c>
      <c r="K50" s="27"/>
      <c r="L50" s="37">
        <f t="shared" ref="L50:L71" si="11">F50</f>
        <v>4.2500000000000003E-2</v>
      </c>
    </row>
    <row r="51" spans="1:12" x14ac:dyDescent="0.3">
      <c r="A51" s="77">
        <v>6</v>
      </c>
      <c r="B51" s="52">
        <f t="shared" ref="B51:B57" si="12">B50+31</f>
        <v>43163</v>
      </c>
      <c r="C51" s="26">
        <f t="shared" si="6"/>
        <v>-2850985.3023377326</v>
      </c>
      <c r="D51" s="26">
        <f t="shared" si="7"/>
        <v>-10061.604762246514</v>
      </c>
      <c r="E51" s="27"/>
      <c r="F51" s="127">
        <f t="shared" ref="F51:F58" si="13">F50</f>
        <v>4.2500000000000003E-2</v>
      </c>
      <c r="G51" s="77">
        <v>6</v>
      </c>
      <c r="H51" s="52">
        <f t="shared" si="8"/>
        <v>43163</v>
      </c>
      <c r="I51" s="26">
        <f t="shared" si="9"/>
        <v>1049849.2602224536</v>
      </c>
      <c r="J51" s="26">
        <f t="shared" si="10"/>
        <v>3705.0939223129976</v>
      </c>
      <c r="K51" s="27"/>
      <c r="L51" s="37">
        <f t="shared" si="11"/>
        <v>4.2500000000000003E-2</v>
      </c>
    </row>
    <row r="52" spans="1:12" x14ac:dyDescent="0.3">
      <c r="A52" s="77">
        <v>7</v>
      </c>
      <c r="B52" s="52">
        <f t="shared" si="12"/>
        <v>43194</v>
      </c>
      <c r="C52" s="26">
        <f t="shared" si="6"/>
        <v>-2861605.2225889405</v>
      </c>
      <c r="D52" s="26">
        <f t="shared" si="7"/>
        <v>-10619.920251208054</v>
      </c>
      <c r="E52" s="27"/>
      <c r="F52" s="127">
        <v>4.4699999999999997E-2</v>
      </c>
      <c r="G52" s="77">
        <v>7</v>
      </c>
      <c r="H52" s="52">
        <f t="shared" si="8"/>
        <v>43194</v>
      </c>
      <c r="I52" s="26">
        <f t="shared" si="9"/>
        <v>1053759.9487167823</v>
      </c>
      <c r="J52" s="26">
        <f t="shared" si="10"/>
        <v>3910.6884943286391</v>
      </c>
      <c r="K52" s="27"/>
      <c r="L52" s="37">
        <f t="shared" si="11"/>
        <v>4.4699999999999997E-2</v>
      </c>
    </row>
    <row r="53" spans="1:12" x14ac:dyDescent="0.3">
      <c r="A53" s="77">
        <v>8</v>
      </c>
      <c r="B53" s="52">
        <f t="shared" si="12"/>
        <v>43225</v>
      </c>
      <c r="C53" s="26">
        <f t="shared" si="6"/>
        <v>-2872264.7020430844</v>
      </c>
      <c r="D53" s="26">
        <f t="shared" si="7"/>
        <v>-10659.479454143802</v>
      </c>
      <c r="E53" s="27"/>
      <c r="F53" s="127">
        <f t="shared" si="13"/>
        <v>4.4699999999999997E-2</v>
      </c>
      <c r="G53" s="77">
        <v>8</v>
      </c>
      <c r="H53" s="52">
        <f t="shared" si="8"/>
        <v>43225</v>
      </c>
      <c r="I53" s="26">
        <f t="shared" si="9"/>
        <v>1057685.2045257522</v>
      </c>
      <c r="J53" s="26">
        <f t="shared" si="10"/>
        <v>3925.2558089700137</v>
      </c>
      <c r="K53" s="27"/>
      <c r="L53" s="37">
        <f t="shared" si="11"/>
        <v>4.4699999999999997E-2</v>
      </c>
    </row>
    <row r="54" spans="1:12" x14ac:dyDescent="0.3">
      <c r="A54" s="77">
        <v>9</v>
      </c>
      <c r="B54" s="52">
        <f t="shared" si="12"/>
        <v>43256</v>
      </c>
      <c r="C54" s="26">
        <f t="shared" si="6"/>
        <v>-2882963.8880581949</v>
      </c>
      <c r="D54" s="26">
        <f t="shared" si="7"/>
        <v>-10699.186015110488</v>
      </c>
      <c r="E54" s="27"/>
      <c r="F54" s="127">
        <f t="shared" si="13"/>
        <v>4.4699999999999997E-2</v>
      </c>
      <c r="G54" s="77">
        <v>9</v>
      </c>
      <c r="H54" s="52">
        <f t="shared" si="8"/>
        <v>43256</v>
      </c>
      <c r="I54" s="26">
        <f t="shared" si="9"/>
        <v>1061625.0819126107</v>
      </c>
      <c r="J54" s="26">
        <f t="shared" si="10"/>
        <v>3939.8773868584267</v>
      </c>
      <c r="K54" s="27"/>
      <c r="L54" s="37">
        <f t="shared" si="11"/>
        <v>4.4699999999999997E-2</v>
      </c>
    </row>
    <row r="55" spans="1:12" x14ac:dyDescent="0.3">
      <c r="A55" s="77">
        <v>10</v>
      </c>
      <c r="B55" s="52">
        <f t="shared" si="12"/>
        <v>43287</v>
      </c>
      <c r="C55" s="26">
        <f t="shared" si="6"/>
        <v>-2894231.4719206891</v>
      </c>
      <c r="D55" s="26">
        <f t="shared" si="7"/>
        <v>-11267.583862494112</v>
      </c>
      <c r="E55" s="27"/>
      <c r="F55" s="127">
        <v>4.6899999999999997E-2</v>
      </c>
      <c r="G55" s="77">
        <v>10</v>
      </c>
      <c r="H55" s="52">
        <f t="shared" si="8"/>
        <v>43287</v>
      </c>
      <c r="I55" s="26">
        <f t="shared" si="9"/>
        <v>1065774.2666077525</v>
      </c>
      <c r="J55" s="26">
        <f t="shared" si="10"/>
        <v>4149.1846951417865</v>
      </c>
      <c r="K55" s="27"/>
      <c r="L55" s="37">
        <f t="shared" si="11"/>
        <v>4.6899999999999997E-2</v>
      </c>
    </row>
    <row r="56" spans="1:12" x14ac:dyDescent="0.3">
      <c r="A56" s="77">
        <v>11</v>
      </c>
      <c r="B56" s="52">
        <f t="shared" si="12"/>
        <v>43318</v>
      </c>
      <c r="C56" s="26">
        <f t="shared" si="6"/>
        <v>-2905543.093256779</v>
      </c>
      <c r="D56" s="26">
        <f t="shared" si="7"/>
        <v>-11311.621336090027</v>
      </c>
      <c r="E56" s="27"/>
      <c r="F56" s="127">
        <f t="shared" si="13"/>
        <v>4.6899999999999997E-2</v>
      </c>
      <c r="G56" s="77">
        <v>11</v>
      </c>
      <c r="H56" s="52">
        <f t="shared" si="8"/>
        <v>43318</v>
      </c>
      <c r="I56" s="26">
        <f t="shared" si="9"/>
        <v>1069939.6676997445</v>
      </c>
      <c r="J56" s="26">
        <f t="shared" si="10"/>
        <v>4165.4010919919665</v>
      </c>
      <c r="K56" s="27"/>
      <c r="L56" s="37">
        <f t="shared" si="11"/>
        <v>4.6899999999999997E-2</v>
      </c>
    </row>
    <row r="57" spans="1:12" x14ac:dyDescent="0.3">
      <c r="A57" s="77">
        <v>12</v>
      </c>
      <c r="B57" s="52">
        <f t="shared" si="12"/>
        <v>43349</v>
      </c>
      <c r="C57" s="26">
        <f t="shared" si="6"/>
        <v>-2916898.9241795908</v>
      </c>
      <c r="D57" s="26">
        <f t="shared" si="7"/>
        <v>-11355.830922811911</v>
      </c>
      <c r="E57" s="27"/>
      <c r="F57" s="127">
        <f t="shared" si="13"/>
        <v>4.6899999999999997E-2</v>
      </c>
      <c r="G57" s="77">
        <v>12</v>
      </c>
      <c r="H57" s="52">
        <f t="shared" si="8"/>
        <v>43349</v>
      </c>
      <c r="I57" s="26">
        <f t="shared" si="9"/>
        <v>1074121.3485676709</v>
      </c>
      <c r="J57" s="26">
        <f t="shared" si="10"/>
        <v>4181.6808679265005</v>
      </c>
      <c r="K57" s="27"/>
      <c r="L57" s="37">
        <f t="shared" si="11"/>
        <v>4.6899999999999997E-2</v>
      </c>
    </row>
    <row r="58" spans="1:12" x14ac:dyDescent="0.3">
      <c r="A58" s="77">
        <v>13</v>
      </c>
      <c r="B58" s="54">
        <f>B57+31</f>
        <v>43380</v>
      </c>
      <c r="C58" s="55">
        <f t="shared" si="6"/>
        <v>-2928299.1374749262</v>
      </c>
      <c r="D58" s="26">
        <f t="shared" si="7"/>
        <v>-11400.213295335234</v>
      </c>
      <c r="E58" s="27"/>
      <c r="F58" s="127">
        <f t="shared" si="13"/>
        <v>4.6899999999999997E-2</v>
      </c>
      <c r="G58" s="77">
        <v>13</v>
      </c>
      <c r="H58" s="54">
        <f t="shared" si="8"/>
        <v>43380</v>
      </c>
      <c r="I58" s="55">
        <f t="shared" si="9"/>
        <v>1078319.372838323</v>
      </c>
      <c r="J58" s="26">
        <f t="shared" si="10"/>
        <v>4198.0242706519803</v>
      </c>
      <c r="K58" s="27"/>
      <c r="L58" s="37">
        <f t="shared" si="11"/>
        <v>4.6899999999999997E-2</v>
      </c>
    </row>
    <row r="59" spans="1:12" x14ac:dyDescent="0.3">
      <c r="A59" s="85">
        <v>14</v>
      </c>
      <c r="B59" s="100" t="s">
        <v>196</v>
      </c>
      <c r="C59" s="55">
        <f>'Prior Year Amortization'!F20</f>
        <v>335156.45000000217</v>
      </c>
      <c r="D59" s="26"/>
      <c r="E59" s="27"/>
      <c r="F59" s="27"/>
      <c r="G59" s="85">
        <v>14</v>
      </c>
      <c r="H59" s="100" t="str">
        <f t="shared" si="8"/>
        <v xml:space="preserve">Prior Year Residual Balance </v>
      </c>
      <c r="I59" s="55">
        <f>'Prior Year Amortization'!F37</f>
        <v>18634.419999999867</v>
      </c>
      <c r="J59" s="26"/>
      <c r="K59" s="27"/>
    </row>
    <row r="60" spans="1:12" x14ac:dyDescent="0.3">
      <c r="A60" s="85">
        <v>15</v>
      </c>
      <c r="B60" s="52">
        <f>B58+31</f>
        <v>43411</v>
      </c>
      <c r="C60" s="26">
        <f>C58+D60+C59-E60</f>
        <v>-2356503.6412984892</v>
      </c>
      <c r="D60" s="26">
        <f>(C58+C59-E60/2)*F60/12</f>
        <v>-9653.5691843636014</v>
      </c>
      <c r="E60" s="26">
        <f t="shared" ref="E60:E71" si="14">E9*D$31</f>
        <v>-246292.61536079866</v>
      </c>
      <c r="F60" s="127">
        <f>F58</f>
        <v>4.6899999999999997E-2</v>
      </c>
      <c r="G60" s="85">
        <v>15</v>
      </c>
      <c r="H60" s="52">
        <f t="shared" si="8"/>
        <v>43411</v>
      </c>
      <c r="I60" s="26">
        <f>I58+J60+I59-K60</f>
        <v>1011257.1485684541</v>
      </c>
      <c r="J60" s="26">
        <f>(I58+I59-K60/2)*L60/12</f>
        <v>4111.7604827224231</v>
      </c>
      <c r="K60" s="26">
        <f t="shared" ref="K60:K71" si="15">K9*J$31</f>
        <v>89808.404752591247</v>
      </c>
      <c r="L60" s="37">
        <f t="shared" si="11"/>
        <v>4.6899999999999997E-2</v>
      </c>
    </row>
    <row r="61" spans="1:12" x14ac:dyDescent="0.3">
      <c r="A61" s="85">
        <v>16</v>
      </c>
      <c r="B61" s="52">
        <f t="shared" ref="B61:B70" si="16">B60+31</f>
        <v>43442</v>
      </c>
      <c r="C61" s="26">
        <f t="shared" ref="C61:C71" si="17">C60+D61-E61</f>
        <v>-2052356.8057410738</v>
      </c>
      <c r="D61" s="26">
        <f t="shared" ref="D61:D71" si="18">(C60-E61/2)*F61/12</f>
        <v>-8598.8445482018669</v>
      </c>
      <c r="E61" s="26">
        <f t="shared" si="14"/>
        <v>-312745.68010561698</v>
      </c>
      <c r="F61" s="127">
        <f t="shared" ref="F61:F71" si="19">F60</f>
        <v>4.6899999999999997E-2</v>
      </c>
      <c r="G61" s="85">
        <v>16</v>
      </c>
      <c r="H61" s="52">
        <f t="shared" si="8"/>
        <v>43442</v>
      </c>
      <c r="I61" s="26">
        <f t="shared" ref="I61:I71" si="20">I60+J61-K61</f>
        <v>916313.21082343766</v>
      </c>
      <c r="J61" s="26">
        <f>(I60-K61/2)*L61/12</f>
        <v>3759.4471576577325</v>
      </c>
      <c r="K61" s="26">
        <f t="shared" si="15"/>
        <v>98703.384902674123</v>
      </c>
      <c r="L61" s="37">
        <f t="shared" si="11"/>
        <v>4.6899999999999997E-2</v>
      </c>
    </row>
    <row r="62" spans="1:12" ht="14.4" customHeight="1" x14ac:dyDescent="0.3">
      <c r="A62" s="85">
        <v>17</v>
      </c>
      <c r="B62" s="52">
        <f t="shared" si="16"/>
        <v>43473</v>
      </c>
      <c r="C62" s="26">
        <f t="shared" si="17"/>
        <v>-1761097.6985378768</v>
      </c>
      <c r="D62" s="26">
        <f t="shared" si="18"/>
        <v>-7437.5913839489831</v>
      </c>
      <c r="E62" s="26">
        <f t="shared" si="14"/>
        <v>-298696.69858714577</v>
      </c>
      <c r="F62" s="127">
        <f t="shared" si="19"/>
        <v>4.6899999999999997E-2</v>
      </c>
      <c r="G62" s="85">
        <v>17</v>
      </c>
      <c r="H62" s="52">
        <f t="shared" si="8"/>
        <v>43473</v>
      </c>
      <c r="I62" s="26">
        <f t="shared" si="20"/>
        <v>822822.25101163064</v>
      </c>
      <c r="J62" s="26">
        <f t="shared" ref="J62:J71" si="21">(I61-K62/2)*L62/12</f>
        <v>3391.9321475975989</v>
      </c>
      <c r="K62" s="26">
        <f t="shared" si="15"/>
        <v>96882.891959404617</v>
      </c>
      <c r="L62" s="37">
        <f t="shared" si="11"/>
        <v>4.6899999999999997E-2</v>
      </c>
    </row>
    <row r="63" spans="1:12" x14ac:dyDescent="0.3">
      <c r="A63" s="85">
        <v>18</v>
      </c>
      <c r="B63" s="52">
        <f t="shared" si="16"/>
        <v>43504</v>
      </c>
      <c r="C63" s="26">
        <f t="shared" si="17"/>
        <v>-1522225.7105916643</v>
      </c>
      <c r="D63" s="26">
        <f t="shared" si="18"/>
        <v>-6403.647367776116</v>
      </c>
      <c r="E63" s="26">
        <f t="shared" si="14"/>
        <v>-245275.63531398869</v>
      </c>
      <c r="F63" s="127">
        <f t="shared" si="19"/>
        <v>4.6899999999999997E-2</v>
      </c>
      <c r="G63" s="85">
        <v>18</v>
      </c>
      <c r="H63" s="52">
        <f t="shared" si="8"/>
        <v>43504</v>
      </c>
      <c r="I63" s="26">
        <f t="shared" si="20"/>
        <v>740320.0967337637</v>
      </c>
      <c r="J63" s="26">
        <f t="shared" si="21"/>
        <v>3048.6830364520579</v>
      </c>
      <c r="K63" s="26">
        <f t="shared" si="15"/>
        <v>85550.837314318967</v>
      </c>
      <c r="L63" s="37">
        <f t="shared" si="11"/>
        <v>4.6899999999999997E-2</v>
      </c>
    </row>
    <row r="64" spans="1:12" x14ac:dyDescent="0.3">
      <c r="A64" s="85">
        <v>19</v>
      </c>
      <c r="B64" s="52">
        <f t="shared" si="16"/>
        <v>43535</v>
      </c>
      <c r="C64" s="26">
        <f t="shared" si="17"/>
        <v>-1291581.9862624847</v>
      </c>
      <c r="D64" s="26">
        <f t="shared" si="18"/>
        <v>-5487.9248877177342</v>
      </c>
      <c r="E64" s="26">
        <f t="shared" si="14"/>
        <v>-236131.64921689726</v>
      </c>
      <c r="F64" s="127">
        <f t="shared" si="19"/>
        <v>4.6899999999999997E-2</v>
      </c>
      <c r="G64" s="85">
        <v>19</v>
      </c>
      <c r="H64" s="52">
        <f t="shared" si="8"/>
        <v>43535</v>
      </c>
      <c r="I64" s="26">
        <f t="shared" si="20"/>
        <v>652462.70455640357</v>
      </c>
      <c r="J64" s="26">
        <f t="shared" si="21"/>
        <v>2716.4213840665047</v>
      </c>
      <c r="K64" s="26">
        <f t="shared" si="15"/>
        <v>90573.813561426592</v>
      </c>
      <c r="L64" s="37">
        <f t="shared" si="11"/>
        <v>4.6899999999999997E-2</v>
      </c>
    </row>
    <row r="65" spans="1:12" x14ac:dyDescent="0.3">
      <c r="A65" s="85">
        <v>20</v>
      </c>
      <c r="B65" s="52">
        <f t="shared" si="16"/>
        <v>43566</v>
      </c>
      <c r="C65" s="26">
        <f t="shared" si="17"/>
        <v>-1106722.0104804917</v>
      </c>
      <c r="D65" s="26">
        <f t="shared" si="18"/>
        <v>-4677.5450244000504</v>
      </c>
      <c r="E65" s="26">
        <f t="shared" si="14"/>
        <v>-189537.52080639315</v>
      </c>
      <c r="F65" s="127">
        <f t="shared" si="19"/>
        <v>4.6899999999999997E-2</v>
      </c>
      <c r="G65" s="85">
        <v>20</v>
      </c>
      <c r="H65" s="52">
        <f t="shared" si="8"/>
        <v>43566</v>
      </c>
      <c r="I65" s="26">
        <f t="shared" si="20"/>
        <v>570397.01429853681</v>
      </c>
      <c r="J65" s="26">
        <f t="shared" si="21"/>
        <v>2385.010991616246</v>
      </c>
      <c r="K65" s="26">
        <f t="shared" si="15"/>
        <v>84450.701249483041</v>
      </c>
      <c r="L65" s="37">
        <f t="shared" si="11"/>
        <v>4.6899999999999997E-2</v>
      </c>
    </row>
    <row r="66" spans="1:12" x14ac:dyDescent="0.3">
      <c r="A66" s="85">
        <v>21</v>
      </c>
      <c r="B66" s="52">
        <f t="shared" si="16"/>
        <v>43597</v>
      </c>
      <c r="C66" s="26">
        <f t="shared" si="17"/>
        <v>-937147.59936888178</v>
      </c>
      <c r="D66" s="26">
        <f t="shared" si="18"/>
        <v>-3986.2720226696838</v>
      </c>
      <c r="E66" s="26">
        <f t="shared" si="14"/>
        <v>-173560.68313427953</v>
      </c>
      <c r="F66" s="127">
        <f t="shared" si="19"/>
        <v>4.6899999999999997E-2</v>
      </c>
      <c r="G66" s="85">
        <v>21</v>
      </c>
      <c r="H66" s="52">
        <f t="shared" si="8"/>
        <v>43597</v>
      </c>
      <c r="I66" s="26">
        <f t="shared" si="20"/>
        <v>482520.56252812612</v>
      </c>
      <c r="J66" s="26">
        <f t="shared" si="21"/>
        <v>2053.563426186764</v>
      </c>
      <c r="K66" s="26">
        <f t="shared" si="15"/>
        <v>89930.01519659748</v>
      </c>
      <c r="L66" s="37">
        <f t="shared" si="11"/>
        <v>4.6899999999999997E-2</v>
      </c>
    </row>
    <row r="67" spans="1:12" x14ac:dyDescent="0.3">
      <c r="A67" s="85">
        <v>22</v>
      </c>
      <c r="B67" s="52">
        <f t="shared" si="16"/>
        <v>43628</v>
      </c>
      <c r="C67" s="26">
        <f t="shared" si="17"/>
        <v>-775466.227901128</v>
      </c>
      <c r="D67" s="26">
        <f t="shared" si="18"/>
        <v>-3340.2055358055909</v>
      </c>
      <c r="E67" s="26">
        <f t="shared" si="14"/>
        <v>-165021.5770035593</v>
      </c>
      <c r="F67" s="127">
        <f t="shared" si="19"/>
        <v>4.6899999999999997E-2</v>
      </c>
      <c r="G67" s="85">
        <v>22</v>
      </c>
      <c r="H67" s="52">
        <f t="shared" si="8"/>
        <v>43628</v>
      </c>
      <c r="I67" s="26">
        <f t="shared" si="20"/>
        <v>392413.63861769863</v>
      </c>
      <c r="J67" s="26">
        <f t="shared" si="21"/>
        <v>1706.4325977044516</v>
      </c>
      <c r="K67" s="26">
        <f t="shared" si="15"/>
        <v>91813.356508131954</v>
      </c>
      <c r="L67" s="37">
        <f t="shared" si="11"/>
        <v>4.6899999999999997E-2</v>
      </c>
    </row>
    <row r="68" spans="1:12" x14ac:dyDescent="0.3">
      <c r="A68" s="85">
        <v>23</v>
      </c>
      <c r="B68" s="52">
        <f t="shared" si="16"/>
        <v>43659</v>
      </c>
      <c r="C68" s="26">
        <f t="shared" si="17"/>
        <v>-568920.74513874331</v>
      </c>
      <c r="D68" s="26">
        <f t="shared" si="18"/>
        <v>-2622.0323216535171</v>
      </c>
      <c r="E68" s="26">
        <f t="shared" si="14"/>
        <v>-209167.51508403828</v>
      </c>
      <c r="F68" s="127">
        <f t="shared" si="19"/>
        <v>4.6899999999999997E-2</v>
      </c>
      <c r="G68" s="85">
        <v>23</v>
      </c>
      <c r="H68" s="52">
        <f t="shared" si="8"/>
        <v>43659</v>
      </c>
      <c r="I68" s="26">
        <f t="shared" si="20"/>
        <v>282706.55808944098</v>
      </c>
      <c r="J68" s="26">
        <f t="shared" si="21"/>
        <v>1316.724285690249</v>
      </c>
      <c r="K68" s="26">
        <f t="shared" si="15"/>
        <v>111023.80481394788</v>
      </c>
      <c r="L68" s="37">
        <f t="shared" si="11"/>
        <v>4.6899999999999997E-2</v>
      </c>
    </row>
    <row r="69" spans="1:12" x14ac:dyDescent="0.3">
      <c r="A69" s="85">
        <v>24</v>
      </c>
      <c r="B69" s="52">
        <f t="shared" si="16"/>
        <v>43690</v>
      </c>
      <c r="C69" s="26">
        <f t="shared" si="17"/>
        <v>-370517.0459330579</v>
      </c>
      <c r="D69" s="26">
        <f t="shared" si="18"/>
        <v>-1832.237519233975</v>
      </c>
      <c r="E69" s="26">
        <f t="shared" si="14"/>
        <v>-200235.93672491933</v>
      </c>
      <c r="F69" s="127">
        <f t="shared" si="19"/>
        <v>4.6899999999999997E-2</v>
      </c>
      <c r="G69" s="85">
        <v>24</v>
      </c>
      <c r="H69" s="52">
        <f t="shared" si="8"/>
        <v>43690</v>
      </c>
      <c r="I69" s="26">
        <f t="shared" si="20"/>
        <v>179192.60000610701</v>
      </c>
      <c r="J69" s="26">
        <f t="shared" si="21"/>
        <v>900.86749288603517</v>
      </c>
      <c r="K69" s="26">
        <f t="shared" si="15"/>
        <v>104414.82557622001</v>
      </c>
      <c r="L69" s="37">
        <f t="shared" si="11"/>
        <v>4.6899999999999997E-2</v>
      </c>
    </row>
    <row r="70" spans="1:12" x14ac:dyDescent="0.3">
      <c r="A70" s="85">
        <v>25</v>
      </c>
      <c r="B70" s="52">
        <f t="shared" si="16"/>
        <v>43721</v>
      </c>
      <c r="C70" s="26">
        <f t="shared" si="17"/>
        <v>-197538.46099248753</v>
      </c>
      <c r="D70" s="26">
        <f t="shared" si="18"/>
        <v>-1107.9100954721014</v>
      </c>
      <c r="E70" s="26">
        <f t="shared" si="14"/>
        <v>-174086.4950360425</v>
      </c>
      <c r="F70" s="127">
        <f t="shared" si="19"/>
        <v>4.6899999999999997E-2</v>
      </c>
      <c r="G70" s="85">
        <v>25</v>
      </c>
      <c r="H70" s="52">
        <f t="shared" si="8"/>
        <v>43721</v>
      </c>
      <c r="I70" s="26">
        <f t="shared" si="20"/>
        <v>87877.55332822584</v>
      </c>
      <c r="J70" s="26">
        <f t="shared" si="21"/>
        <v>520.88170164886992</v>
      </c>
      <c r="K70" s="26">
        <f t="shared" si="15"/>
        <v>91835.928379530043</v>
      </c>
      <c r="L70" s="37">
        <f t="shared" si="11"/>
        <v>4.6899999999999997E-2</v>
      </c>
    </row>
    <row r="71" spans="1:12" x14ac:dyDescent="0.3">
      <c r="A71" s="85">
        <v>26</v>
      </c>
      <c r="B71" s="54">
        <f>B70+31</f>
        <v>43752</v>
      </c>
      <c r="C71" s="55">
        <f t="shared" si="17"/>
        <v>-2253.3169370331743</v>
      </c>
      <c r="D71" s="26">
        <f t="shared" si="18"/>
        <v>-389.66496242320301</v>
      </c>
      <c r="E71" s="26">
        <f t="shared" si="14"/>
        <v>-195674.80901787756</v>
      </c>
      <c r="F71" s="127">
        <f t="shared" si="19"/>
        <v>4.6899999999999997E-2</v>
      </c>
      <c r="G71" s="77">
        <v>26</v>
      </c>
      <c r="H71" s="54">
        <f t="shared" si="8"/>
        <v>43752</v>
      </c>
      <c r="I71" s="55">
        <f t="shared" si="20"/>
        <v>-4568.8427729696996</v>
      </c>
      <c r="J71" s="26">
        <f t="shared" si="21"/>
        <v>162.48158910468763</v>
      </c>
      <c r="K71" s="26">
        <f t="shared" si="15"/>
        <v>92608.877690300229</v>
      </c>
      <c r="L71" s="37">
        <f t="shared" si="11"/>
        <v>4.6899999999999997E-2</v>
      </c>
    </row>
    <row r="72" spans="1:12" x14ac:dyDescent="0.3">
      <c r="B72" s="27"/>
      <c r="C72" s="27"/>
      <c r="D72" s="27"/>
      <c r="E72" s="27"/>
    </row>
    <row r="73" spans="1:12" x14ac:dyDescent="0.3">
      <c r="A73" s="87">
        <v>27</v>
      </c>
      <c r="B73" s="30" t="s">
        <v>94</v>
      </c>
      <c r="C73" s="27"/>
      <c r="D73" s="26">
        <f>SUM(D49:D72)</f>
        <v>-162929.69232859308</v>
      </c>
      <c r="E73" s="26">
        <f>SUM(E60:E71)</f>
        <v>-2646426.8153915568</v>
      </c>
      <c r="G73" s="87">
        <v>27</v>
      </c>
      <c r="H73" s="30" t="s">
        <v>94</v>
      </c>
      <c r="I73" s="27"/>
      <c r="J73" s="26">
        <f>SUM(J49:J72)</f>
        <v>65620.419131656541</v>
      </c>
      <c r="K73" s="26">
        <f>SUM(K60:K71)</f>
        <v>1127596.8419046262</v>
      </c>
    </row>
    <row r="74" spans="1:12" x14ac:dyDescent="0.3">
      <c r="A74" s="87"/>
      <c r="B74" s="30"/>
      <c r="C74" s="27"/>
      <c r="D74" s="26"/>
      <c r="E74" s="26"/>
      <c r="G74" s="87"/>
      <c r="H74" s="30"/>
      <c r="I74" s="27"/>
      <c r="J74" s="26"/>
      <c r="K74" s="26"/>
    </row>
    <row r="75" spans="1:12" x14ac:dyDescent="0.3">
      <c r="B75" s="44" t="s">
        <v>99</v>
      </c>
      <c r="H75" s="44" t="s">
        <v>98</v>
      </c>
    </row>
    <row r="76" spans="1:12" x14ac:dyDescent="0.3">
      <c r="A76" s="87">
        <v>28</v>
      </c>
      <c r="B76" t="s">
        <v>178</v>
      </c>
      <c r="C76" s="81">
        <f>C46</f>
        <v>-2092789.89</v>
      </c>
      <c r="G76" s="87">
        <v>28</v>
      </c>
      <c r="H76" t="s">
        <v>178</v>
      </c>
      <c r="I76" s="81">
        <f>I46</f>
        <v>1735911.16</v>
      </c>
    </row>
    <row r="77" spans="1:12" x14ac:dyDescent="0.3">
      <c r="A77" s="87">
        <v>29</v>
      </c>
      <c r="B77" t="s">
        <v>95</v>
      </c>
      <c r="C77" s="81">
        <f>C47</f>
        <v>-728117</v>
      </c>
      <c r="G77" s="87">
        <v>29</v>
      </c>
      <c r="H77" t="s">
        <v>95</v>
      </c>
      <c r="I77" s="81">
        <f>I47</f>
        <v>-697138</v>
      </c>
    </row>
    <row r="78" spans="1:12" x14ac:dyDescent="0.3">
      <c r="A78" s="87">
        <v>30</v>
      </c>
      <c r="B78" t="s">
        <v>195</v>
      </c>
      <c r="C78" s="81">
        <f>C59</f>
        <v>335156.45000000217</v>
      </c>
      <c r="G78" s="87">
        <v>30</v>
      </c>
      <c r="H78" t="s">
        <v>195</v>
      </c>
      <c r="I78" s="81">
        <f>I59</f>
        <v>18634.419999999867</v>
      </c>
    </row>
    <row r="79" spans="1:12" x14ac:dyDescent="0.3">
      <c r="A79" s="87">
        <v>31</v>
      </c>
      <c r="B79" t="s">
        <v>179</v>
      </c>
      <c r="C79" s="81">
        <f>D73</f>
        <v>-162929.69232859308</v>
      </c>
      <c r="G79" s="87">
        <v>31</v>
      </c>
      <c r="H79" t="s">
        <v>179</v>
      </c>
      <c r="I79" s="81">
        <f>J73</f>
        <v>65620.419131656541</v>
      </c>
    </row>
    <row r="80" spans="1:12" x14ac:dyDescent="0.3">
      <c r="A80" s="87">
        <v>32</v>
      </c>
      <c r="B80" t="s">
        <v>110</v>
      </c>
      <c r="C80" s="81">
        <f>(D30-D31)*E22-C71</f>
        <v>-116955.09817069441</v>
      </c>
      <c r="G80" s="87">
        <v>32</v>
      </c>
      <c r="H80" t="s">
        <v>110</v>
      </c>
      <c r="I80" s="81">
        <f>(J30-J31)*K22-I71</f>
        <v>47937.952076993897</v>
      </c>
    </row>
    <row r="81" spans="1:9" x14ac:dyDescent="0.3">
      <c r="A81" s="87">
        <v>33</v>
      </c>
      <c r="B81" t="s">
        <v>108</v>
      </c>
      <c r="C81" s="82">
        <f>SUM(C76:C80)</f>
        <v>-2765635.2304992853</v>
      </c>
      <c r="G81" s="87">
        <v>33</v>
      </c>
      <c r="H81" t="s">
        <v>109</v>
      </c>
      <c r="I81" s="82">
        <f>SUM(I76:I80)</f>
        <v>1170965.9512086504</v>
      </c>
    </row>
    <row r="82" spans="1:9" x14ac:dyDescent="0.3">
      <c r="A82" s="87">
        <v>34</v>
      </c>
      <c r="B82" t="s">
        <v>197</v>
      </c>
      <c r="C82" s="81">
        <f>D30*E22</f>
        <v>-2765635.2304992848</v>
      </c>
      <c r="G82" s="87">
        <v>34</v>
      </c>
      <c r="H82" t="s">
        <v>96</v>
      </c>
      <c r="I82" s="81">
        <f>J30*K22</f>
        <v>1170965.9512086504</v>
      </c>
    </row>
    <row r="83" spans="1:9" x14ac:dyDescent="0.3">
      <c r="A83" s="87">
        <v>35</v>
      </c>
      <c r="B83" t="s">
        <v>97</v>
      </c>
      <c r="C83" s="81">
        <f>C81-C82</f>
        <v>0</v>
      </c>
      <c r="G83" s="87">
        <v>35</v>
      </c>
      <c r="H83" t="s">
        <v>97</v>
      </c>
      <c r="I83" s="81">
        <f>I81-I82</f>
        <v>0</v>
      </c>
    </row>
  </sheetData>
  <customSheetViews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H24:I24"/>
    <mergeCell ref="B5:E5"/>
    <mergeCell ref="H5:K5"/>
    <mergeCell ref="H1:K1"/>
    <mergeCell ref="H2:K2"/>
    <mergeCell ref="H3:K3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B38:E38"/>
    <mergeCell ref="B39:E39"/>
    <mergeCell ref="B40:E40"/>
    <mergeCell ref="B1:E1"/>
    <mergeCell ref="B2:E2"/>
    <mergeCell ref="B3:E3"/>
    <mergeCell ref="B35:E35"/>
    <mergeCell ref="B36:E36"/>
    <mergeCell ref="B24:C24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9</oddFooter>
  </headerFooter>
  <rowBreaks count="1" manualBreakCount="1">
    <brk id="41" max="11" man="1"/>
  </rowBreaks>
  <colBreaks count="1" manualBreakCount="1">
    <brk id="6" max="82" man="1"/>
  </col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37"/>
  <sheetViews>
    <sheetView tabSelected="1" topLeftCell="A8" zoomScaleNormal="100" workbookViewId="0">
      <selection activeCell="B83" sqref="B83"/>
    </sheetView>
  </sheetViews>
  <sheetFormatPr defaultRowHeight="14.4" x14ac:dyDescent="0.3"/>
  <cols>
    <col min="1" max="1" width="4.109375" customWidth="1"/>
    <col min="3" max="3" width="16.21875" customWidth="1"/>
    <col min="4" max="4" width="10.5546875" bestFit="1" customWidth="1"/>
    <col min="5" max="5" width="14" customWidth="1"/>
    <col min="6" max="6" width="15.21875" customWidth="1"/>
    <col min="7" max="7" width="8.21875" customWidth="1"/>
    <col min="8" max="8" width="12.109375" customWidth="1"/>
    <col min="9" max="9" width="0.77734375" customWidth="1"/>
    <col min="10" max="10" width="4.33203125" customWidth="1"/>
  </cols>
  <sheetData>
    <row r="1" spans="1:9" x14ac:dyDescent="0.3">
      <c r="B1" s="147" t="s">
        <v>0</v>
      </c>
      <c r="C1" s="147"/>
      <c r="D1" s="147"/>
      <c r="E1" s="147"/>
      <c r="F1" s="147"/>
      <c r="G1" s="147"/>
      <c r="H1" s="147"/>
    </row>
    <row r="2" spans="1:9" x14ac:dyDescent="0.3">
      <c r="B2" s="147" t="s">
        <v>120</v>
      </c>
      <c r="C2" s="147"/>
      <c r="D2" s="147"/>
      <c r="E2" s="147"/>
      <c r="F2" s="147"/>
      <c r="G2" s="147"/>
      <c r="H2" s="147"/>
    </row>
    <row r="3" spans="1:9" x14ac:dyDescent="0.3">
      <c r="B3" s="147" t="s">
        <v>113</v>
      </c>
      <c r="C3" s="147"/>
      <c r="D3" s="147"/>
      <c r="E3" s="147"/>
      <c r="F3" s="147"/>
      <c r="G3" s="147"/>
      <c r="H3" s="147"/>
    </row>
    <row r="4" spans="1:9" x14ac:dyDescent="0.3">
      <c r="B4" s="147" t="s">
        <v>193</v>
      </c>
      <c r="C4" s="147"/>
      <c r="D4" s="147"/>
      <c r="E4" s="147"/>
      <c r="F4" s="147"/>
      <c r="G4" s="147"/>
      <c r="H4" s="147"/>
    </row>
    <row r="6" spans="1:9" x14ac:dyDescent="0.3">
      <c r="B6" s="154" t="s">
        <v>122</v>
      </c>
      <c r="C6" s="154"/>
      <c r="D6" s="154"/>
      <c r="E6" s="154"/>
      <c r="F6" s="154"/>
      <c r="G6" s="154"/>
      <c r="H6" s="154"/>
    </row>
    <row r="7" spans="1:9" ht="43.8" customHeight="1" x14ac:dyDescent="0.3">
      <c r="A7" s="92" t="s">
        <v>93</v>
      </c>
      <c r="B7" s="87" t="s">
        <v>2</v>
      </c>
      <c r="C7" s="86" t="s">
        <v>123</v>
      </c>
      <c r="D7" s="87" t="s">
        <v>3</v>
      </c>
      <c r="E7" s="87" t="s">
        <v>70</v>
      </c>
      <c r="F7" s="86" t="s">
        <v>121</v>
      </c>
      <c r="G7" s="86" t="s">
        <v>124</v>
      </c>
      <c r="H7" s="86" t="s">
        <v>125</v>
      </c>
    </row>
    <row r="9" spans="1:9" x14ac:dyDescent="0.3">
      <c r="A9" s="87">
        <v>1</v>
      </c>
      <c r="B9" s="93">
        <v>43040</v>
      </c>
      <c r="C9" s="138">
        <f>871923.07+9323118.72</f>
        <v>10195041.790000001</v>
      </c>
      <c r="D9" s="97">
        <f>ROUND(((C9+C9+E9)/2)*G9/12,2)</f>
        <v>34222.69</v>
      </c>
      <c r="E9" s="98">
        <v>-880710</v>
      </c>
      <c r="F9" s="96">
        <f>C9+D9+E9</f>
        <v>9348554.4800000004</v>
      </c>
      <c r="G9" s="94">
        <v>4.2099999999999999E-2</v>
      </c>
      <c r="I9" s="96"/>
    </row>
    <row r="10" spans="1:9" x14ac:dyDescent="0.3">
      <c r="A10" s="87">
        <v>2</v>
      </c>
      <c r="B10" s="93">
        <f>B9+31</f>
        <v>43071</v>
      </c>
      <c r="C10" s="95">
        <f>F9</f>
        <v>9348554.4800000004</v>
      </c>
      <c r="D10" s="97">
        <f t="shared" ref="D10:D20" si="0">ROUND(((C10+C10+E10)/2)*G10/12,2)</f>
        <v>30751.14</v>
      </c>
      <c r="E10" s="98">
        <v>-1166765.8700000001</v>
      </c>
      <c r="F10" s="96">
        <f t="shared" ref="F10:F20" si="1">C10+D10+E10</f>
        <v>8212539.7500000009</v>
      </c>
      <c r="G10" s="37">
        <f>G9</f>
        <v>4.2099999999999999E-2</v>
      </c>
    </row>
    <row r="11" spans="1:9" x14ac:dyDescent="0.3">
      <c r="A11" s="87">
        <v>3</v>
      </c>
      <c r="B11" s="93">
        <f t="shared" ref="B11:B20" si="2">B10+31</f>
        <v>43102</v>
      </c>
      <c r="C11" s="95">
        <f t="shared" ref="C11:C20" si="3">F10</f>
        <v>8212539.7500000009</v>
      </c>
      <c r="D11" s="97">
        <f t="shared" si="0"/>
        <v>27027.93</v>
      </c>
      <c r="E11" s="98">
        <v>-1162250.77</v>
      </c>
      <c r="F11" s="96">
        <f t="shared" si="1"/>
        <v>7077316.9100000001</v>
      </c>
      <c r="G11" s="94">
        <v>4.2500000000000003E-2</v>
      </c>
    </row>
    <row r="12" spans="1:9" x14ac:dyDescent="0.3">
      <c r="A12" s="87">
        <v>4</v>
      </c>
      <c r="B12" s="93">
        <f t="shared" si="2"/>
        <v>43133</v>
      </c>
      <c r="C12" s="95">
        <f t="shared" si="3"/>
        <v>7077316.9100000001</v>
      </c>
      <c r="D12" s="97">
        <f t="shared" si="0"/>
        <v>23441.73</v>
      </c>
      <c r="E12" s="98">
        <v>-916951.19</v>
      </c>
      <c r="F12" s="96">
        <f t="shared" si="1"/>
        <v>6183807.4500000011</v>
      </c>
      <c r="G12" s="37">
        <f>G11</f>
        <v>4.2500000000000003E-2</v>
      </c>
    </row>
    <row r="13" spans="1:9" x14ac:dyDescent="0.3">
      <c r="A13" s="87">
        <v>5</v>
      </c>
      <c r="B13" s="93">
        <f t="shared" si="2"/>
        <v>43164</v>
      </c>
      <c r="C13" s="95">
        <f t="shared" si="3"/>
        <v>6183807.4500000011</v>
      </c>
      <c r="D13" s="97">
        <f t="shared" si="0"/>
        <v>20168.61</v>
      </c>
      <c r="E13" s="98">
        <v>-978281.24</v>
      </c>
      <c r="F13" s="96">
        <f t="shared" si="1"/>
        <v>5225694.8200000012</v>
      </c>
      <c r="G13" s="37">
        <f>G12</f>
        <v>4.2500000000000003E-2</v>
      </c>
    </row>
    <row r="14" spans="1:9" x14ac:dyDescent="0.3">
      <c r="A14" s="87">
        <v>6</v>
      </c>
      <c r="B14" s="93">
        <f t="shared" si="2"/>
        <v>43195</v>
      </c>
      <c r="C14" s="95">
        <f t="shared" si="3"/>
        <v>5225694.8200000012</v>
      </c>
      <c r="D14" s="97">
        <f t="shared" si="0"/>
        <v>18086.990000000002</v>
      </c>
      <c r="E14" s="98">
        <v>-740255.37</v>
      </c>
      <c r="F14" s="96">
        <f t="shared" si="1"/>
        <v>4503526.4400000013</v>
      </c>
      <c r="G14" s="94">
        <v>4.4699999999999997E-2</v>
      </c>
    </row>
    <row r="15" spans="1:9" x14ac:dyDescent="0.3">
      <c r="A15" s="87">
        <v>7</v>
      </c>
      <c r="B15" s="93">
        <f t="shared" si="2"/>
        <v>43226</v>
      </c>
      <c r="C15" s="95">
        <f t="shared" si="3"/>
        <v>4503526.4400000013</v>
      </c>
      <c r="D15" s="97">
        <f t="shared" si="0"/>
        <v>15607.76</v>
      </c>
      <c r="E15" s="98">
        <v>-627047.86</v>
      </c>
      <c r="F15" s="96">
        <f t="shared" si="1"/>
        <v>3892086.3400000012</v>
      </c>
      <c r="G15" s="37">
        <f>G14</f>
        <v>4.4699999999999997E-2</v>
      </c>
    </row>
    <row r="16" spans="1:9" x14ac:dyDescent="0.3">
      <c r="A16" s="87">
        <v>8</v>
      </c>
      <c r="B16" s="93">
        <f t="shared" si="2"/>
        <v>43257</v>
      </c>
      <c r="C16" s="95">
        <f t="shared" si="3"/>
        <v>3892086.3400000012</v>
      </c>
      <c r="D16" s="97">
        <f t="shared" si="0"/>
        <v>13367.24</v>
      </c>
      <c r="E16" s="98">
        <v>-607128.44999999995</v>
      </c>
      <c r="F16" s="96">
        <f t="shared" si="1"/>
        <v>3298325.1300000018</v>
      </c>
      <c r="G16" s="37">
        <f>G15</f>
        <v>4.4699999999999997E-2</v>
      </c>
    </row>
    <row r="17" spans="1:8" x14ac:dyDescent="0.3">
      <c r="A17" s="87">
        <v>9</v>
      </c>
      <c r="B17" s="93">
        <f t="shared" si="2"/>
        <v>43288</v>
      </c>
      <c r="C17" s="95">
        <f t="shared" si="3"/>
        <v>3298325.1300000018</v>
      </c>
      <c r="D17" s="97">
        <f t="shared" si="0"/>
        <v>11355.24</v>
      </c>
      <c r="E17" s="98">
        <v>-785864.4</v>
      </c>
      <c r="F17" s="96">
        <f t="shared" si="1"/>
        <v>2523815.9700000021</v>
      </c>
      <c r="G17" s="94">
        <v>4.6899999999999997E-2</v>
      </c>
      <c r="H17" s="46"/>
    </row>
    <row r="18" spans="1:8" x14ac:dyDescent="0.3">
      <c r="A18" s="87">
        <v>10</v>
      </c>
      <c r="B18" s="93">
        <f t="shared" si="2"/>
        <v>43319</v>
      </c>
      <c r="C18" s="95">
        <f t="shared" si="3"/>
        <v>2523815.9700000021</v>
      </c>
      <c r="D18" s="97">
        <f t="shared" si="0"/>
        <v>8343.65</v>
      </c>
      <c r="E18" s="98">
        <f>-ROUND(H18*0.00424,2)</f>
        <v>-777959.84</v>
      </c>
      <c r="F18" s="96">
        <f t="shared" si="1"/>
        <v>1754199.7800000021</v>
      </c>
      <c r="G18" s="37">
        <f>G17</f>
        <v>4.6899999999999997E-2</v>
      </c>
      <c r="H18" s="46">
        <f>'wp6 14 18 Forecast Usage by Sch'!M7</f>
        <v>183481094.56067181</v>
      </c>
    </row>
    <row r="19" spans="1:8" x14ac:dyDescent="0.3">
      <c r="A19" s="87">
        <v>11</v>
      </c>
      <c r="B19" s="93">
        <f t="shared" si="2"/>
        <v>43350</v>
      </c>
      <c r="C19" s="95">
        <f t="shared" si="3"/>
        <v>1754199.7800000021</v>
      </c>
      <c r="D19" s="97">
        <f t="shared" si="0"/>
        <v>5540.87</v>
      </c>
      <c r="E19" s="98">
        <f t="shared" ref="E19:E20" si="4">-ROUND(H19*0.00424,2)</f>
        <v>-672984.02</v>
      </c>
      <c r="F19" s="96">
        <f t="shared" si="1"/>
        <v>1086756.6300000022</v>
      </c>
      <c r="G19" s="37">
        <f>G18</f>
        <v>4.6899999999999997E-2</v>
      </c>
      <c r="H19" s="46">
        <f>'wp6 14 18 Forecast Usage by Sch'!M8</f>
        <v>158722647.21785983</v>
      </c>
    </row>
    <row r="20" spans="1:8" x14ac:dyDescent="0.3">
      <c r="A20" s="87">
        <v>12</v>
      </c>
      <c r="B20" s="93">
        <f t="shared" si="2"/>
        <v>43381</v>
      </c>
      <c r="C20" s="95">
        <f t="shared" si="3"/>
        <v>1086756.6300000022</v>
      </c>
      <c r="D20" s="97">
        <f t="shared" si="0"/>
        <v>2773.24</v>
      </c>
      <c r="E20" s="98">
        <f t="shared" si="4"/>
        <v>-754373.42</v>
      </c>
      <c r="F20" s="99">
        <f t="shared" si="1"/>
        <v>335156.45000000217</v>
      </c>
      <c r="G20" s="37">
        <f>G19</f>
        <v>4.6899999999999997E-2</v>
      </c>
      <c r="H20" s="46">
        <f>'wp6 14 18 Forecast Usage by Sch'!M9</f>
        <v>177918259.81421155</v>
      </c>
    </row>
    <row r="23" spans="1:8" x14ac:dyDescent="0.3">
      <c r="B23" s="154" t="s">
        <v>192</v>
      </c>
      <c r="C23" s="154"/>
      <c r="D23" s="154"/>
      <c r="E23" s="154"/>
      <c r="F23" s="154"/>
      <c r="G23" s="154"/>
      <c r="H23" s="154"/>
    </row>
    <row r="24" spans="1:8" ht="43.2" x14ac:dyDescent="0.3">
      <c r="A24" s="92" t="s">
        <v>93</v>
      </c>
      <c r="B24" s="87" t="s">
        <v>2</v>
      </c>
      <c r="C24" s="86" t="s">
        <v>123</v>
      </c>
      <c r="D24" s="87" t="s">
        <v>3</v>
      </c>
      <c r="E24" s="87" t="s">
        <v>70</v>
      </c>
      <c r="F24" s="86" t="s">
        <v>121</v>
      </c>
      <c r="G24" s="86" t="s">
        <v>124</v>
      </c>
      <c r="H24" s="86" t="s">
        <v>125</v>
      </c>
    </row>
    <row r="26" spans="1:8" x14ac:dyDescent="0.3">
      <c r="A26" s="87">
        <v>13</v>
      </c>
      <c r="B26" s="93">
        <f t="shared" ref="B26:B37" si="5">B9</f>
        <v>43040</v>
      </c>
      <c r="C26" s="138">
        <f>39967.76+768969.65</f>
        <v>808937.41</v>
      </c>
      <c r="D26" s="97">
        <f>ROUND(((C26+C26+E26)/2)*G26/12,2)</f>
        <v>2727.72</v>
      </c>
      <c r="E26" s="98">
        <v>-62878.18</v>
      </c>
      <c r="F26" s="96">
        <f>C26+D26+E26</f>
        <v>748786.95</v>
      </c>
      <c r="G26" s="139">
        <f t="shared" ref="G26:G37" si="6">G9</f>
        <v>4.2099999999999999E-2</v>
      </c>
    </row>
    <row r="27" spans="1:8" x14ac:dyDescent="0.3">
      <c r="A27" s="87">
        <v>14</v>
      </c>
      <c r="B27" s="93">
        <f t="shared" si="5"/>
        <v>43071</v>
      </c>
      <c r="C27" s="95">
        <f>F26</f>
        <v>748786.95</v>
      </c>
      <c r="D27" s="97">
        <f t="shared" ref="D27:D37" si="7">ROUND(((C27+C27+E27)/2)*G27/12,2)</f>
        <v>2518.48</v>
      </c>
      <c r="E27" s="98">
        <v>-61863.62</v>
      </c>
      <c r="F27" s="96">
        <f t="shared" ref="F27:F37" si="8">C27+D27+E27</f>
        <v>689441.80999999994</v>
      </c>
      <c r="G27" s="139">
        <f t="shared" si="6"/>
        <v>4.2099999999999999E-2</v>
      </c>
    </row>
    <row r="28" spans="1:8" x14ac:dyDescent="0.3">
      <c r="A28" s="87">
        <v>15</v>
      </c>
      <c r="B28" s="93">
        <f t="shared" si="5"/>
        <v>43102</v>
      </c>
      <c r="C28" s="95">
        <f t="shared" ref="C28:C37" si="9">F27</f>
        <v>689441.80999999994</v>
      </c>
      <c r="D28" s="97">
        <f t="shared" si="7"/>
        <v>2324.5300000000002</v>
      </c>
      <c r="E28" s="98">
        <v>-66207.289999999994</v>
      </c>
      <c r="F28" s="96">
        <f t="shared" si="8"/>
        <v>625559.04999999993</v>
      </c>
      <c r="G28" s="139">
        <f t="shared" si="6"/>
        <v>4.2500000000000003E-2</v>
      </c>
    </row>
    <row r="29" spans="1:8" x14ac:dyDescent="0.3">
      <c r="A29" s="87">
        <v>16</v>
      </c>
      <c r="B29" s="93">
        <f t="shared" si="5"/>
        <v>43133</v>
      </c>
      <c r="C29" s="95">
        <f t="shared" si="9"/>
        <v>625559.04999999993</v>
      </c>
      <c r="D29" s="97">
        <f t="shared" si="7"/>
        <v>2096.21</v>
      </c>
      <c r="E29" s="98">
        <v>-67375.64</v>
      </c>
      <c r="F29" s="96">
        <f t="shared" si="8"/>
        <v>560279.61999999988</v>
      </c>
      <c r="G29" s="139">
        <f t="shared" si="6"/>
        <v>4.2500000000000003E-2</v>
      </c>
    </row>
    <row r="30" spans="1:8" x14ac:dyDescent="0.3">
      <c r="A30" s="91">
        <v>17</v>
      </c>
      <c r="B30" s="93">
        <f t="shared" si="5"/>
        <v>43164</v>
      </c>
      <c r="C30" s="95">
        <f t="shared" si="9"/>
        <v>560279.61999999988</v>
      </c>
      <c r="D30" s="97">
        <f t="shared" si="7"/>
        <v>1871.33</v>
      </c>
      <c r="E30" s="98">
        <v>-63806.12</v>
      </c>
      <c r="F30" s="96">
        <f t="shared" si="8"/>
        <v>498344.82999999984</v>
      </c>
      <c r="G30" s="139">
        <f t="shared" si="6"/>
        <v>4.2500000000000003E-2</v>
      </c>
    </row>
    <row r="31" spans="1:8" x14ac:dyDescent="0.3">
      <c r="A31" s="91">
        <v>18</v>
      </c>
      <c r="B31" s="93">
        <f t="shared" si="5"/>
        <v>43195</v>
      </c>
      <c r="C31" s="95">
        <f t="shared" si="9"/>
        <v>498344.82999999984</v>
      </c>
      <c r="D31" s="97">
        <f t="shared" si="7"/>
        <v>1741.22</v>
      </c>
      <c r="E31" s="98">
        <v>-61807.14</v>
      </c>
      <c r="F31" s="96">
        <f t="shared" si="8"/>
        <v>438278.9099999998</v>
      </c>
      <c r="G31" s="139">
        <f t="shared" si="6"/>
        <v>4.4699999999999997E-2</v>
      </c>
    </row>
    <row r="32" spans="1:8" x14ac:dyDescent="0.3">
      <c r="A32" s="91">
        <v>19</v>
      </c>
      <c r="B32" s="93">
        <f t="shared" si="5"/>
        <v>43226</v>
      </c>
      <c r="C32" s="95">
        <f t="shared" si="9"/>
        <v>438278.9099999998</v>
      </c>
      <c r="D32" s="97">
        <f t="shared" si="7"/>
        <v>1508.03</v>
      </c>
      <c r="E32" s="98">
        <v>-66875.539999999994</v>
      </c>
      <c r="F32" s="96">
        <f t="shared" si="8"/>
        <v>372911.39999999985</v>
      </c>
      <c r="G32" s="139">
        <f t="shared" si="6"/>
        <v>4.4699999999999997E-2</v>
      </c>
    </row>
    <row r="33" spans="1:8" x14ac:dyDescent="0.3">
      <c r="A33" s="91">
        <v>20</v>
      </c>
      <c r="B33" s="93">
        <f t="shared" si="5"/>
        <v>43257</v>
      </c>
      <c r="C33" s="95">
        <f t="shared" si="9"/>
        <v>372911.39999999985</v>
      </c>
      <c r="D33" s="97">
        <f t="shared" si="7"/>
        <v>1261.3900000000001</v>
      </c>
      <c r="E33" s="98">
        <v>-68567.360000000001</v>
      </c>
      <c r="F33" s="96">
        <f t="shared" si="8"/>
        <v>305605.42999999988</v>
      </c>
      <c r="G33" s="139">
        <f t="shared" si="6"/>
        <v>4.4699999999999997E-2</v>
      </c>
    </row>
    <row r="34" spans="1:8" x14ac:dyDescent="0.3">
      <c r="A34" s="91">
        <v>21</v>
      </c>
      <c r="B34" s="93">
        <f t="shared" si="5"/>
        <v>43288</v>
      </c>
      <c r="C34" s="95">
        <f t="shared" si="9"/>
        <v>305605.42999999988</v>
      </c>
      <c r="D34" s="97">
        <f t="shared" si="7"/>
        <v>1041.5999999999999</v>
      </c>
      <c r="E34" s="98">
        <v>-78197.289999999994</v>
      </c>
      <c r="F34" s="96">
        <f t="shared" si="8"/>
        <v>228449.73999999987</v>
      </c>
      <c r="G34" s="139">
        <f t="shared" si="6"/>
        <v>4.6899999999999997E-2</v>
      </c>
      <c r="H34" s="46"/>
    </row>
    <row r="35" spans="1:8" x14ac:dyDescent="0.3">
      <c r="A35" s="91">
        <v>22</v>
      </c>
      <c r="B35" s="93">
        <f t="shared" si="5"/>
        <v>43319</v>
      </c>
      <c r="C35" s="95">
        <f t="shared" si="9"/>
        <v>228449.73999999987</v>
      </c>
      <c r="D35" s="97">
        <f t="shared" si="7"/>
        <v>742.05</v>
      </c>
      <c r="E35" s="98">
        <f>-ROUND(H35*0.00038,2)</f>
        <v>-77170.75</v>
      </c>
      <c r="F35" s="96">
        <f t="shared" si="8"/>
        <v>152021.03999999986</v>
      </c>
      <c r="G35" s="139">
        <f t="shared" si="6"/>
        <v>4.6899999999999997E-2</v>
      </c>
      <c r="H35" s="46">
        <f>'wp6 14 18 Forecast Usage by Sch'!N7</f>
        <v>203080910.94615367</v>
      </c>
    </row>
    <row r="36" spans="1:8" x14ac:dyDescent="0.3">
      <c r="A36" s="91">
        <v>23</v>
      </c>
      <c r="B36" s="93">
        <f t="shared" si="5"/>
        <v>43350</v>
      </c>
      <c r="C36" s="95">
        <f t="shared" si="9"/>
        <v>152021.03999999986</v>
      </c>
      <c r="D36" s="97">
        <f t="shared" si="7"/>
        <v>461.84</v>
      </c>
      <c r="E36" s="98">
        <f t="shared" ref="E36:E37" si="10">-ROUND(H36*0.00038,2)</f>
        <v>-67704.72</v>
      </c>
      <c r="F36" s="96">
        <f t="shared" si="8"/>
        <v>84778.159999999858</v>
      </c>
      <c r="G36" s="139">
        <f t="shared" si="6"/>
        <v>4.6899999999999997E-2</v>
      </c>
      <c r="H36" s="46">
        <f>'wp6 14 18 Forecast Usage by Sch'!N8</f>
        <v>178170326.25831595</v>
      </c>
    </row>
    <row r="37" spans="1:8" x14ac:dyDescent="0.3">
      <c r="A37" s="91">
        <v>24</v>
      </c>
      <c r="B37" s="93">
        <f t="shared" si="5"/>
        <v>43381</v>
      </c>
      <c r="C37" s="95">
        <f t="shared" si="9"/>
        <v>84778.159999999858</v>
      </c>
      <c r="D37" s="97">
        <f t="shared" si="7"/>
        <v>201.69</v>
      </c>
      <c r="E37" s="98">
        <f t="shared" si="10"/>
        <v>-66345.429999999993</v>
      </c>
      <c r="F37" s="99">
        <f t="shared" si="8"/>
        <v>18634.419999999867</v>
      </c>
      <c r="G37" s="139">
        <f t="shared" si="6"/>
        <v>4.6899999999999997E-2</v>
      </c>
      <c r="H37" s="46">
        <f>'wp6 14 18 Forecast Usage by Sch'!N9</f>
        <v>174593226.7961354</v>
      </c>
    </row>
  </sheetData>
  <mergeCells count="6">
    <mergeCell ref="B1:H1"/>
    <mergeCell ref="B2:H2"/>
    <mergeCell ref="B3:H3"/>
    <mergeCell ref="B6:H6"/>
    <mergeCell ref="B23:H23"/>
    <mergeCell ref="B4:H4"/>
  </mergeCells>
  <pageMargins left="0.7" right="0.7" top="0.75" bottom="0.75" header="0.3" footer="0.3"/>
  <pageSetup orientation="portrait" r:id="rId1"/>
  <headerFooter>
    <oddFooter>&amp;CATTACHMENT A&amp;RPage 5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65"/>
  <sheetViews>
    <sheetView tabSelected="1" topLeftCell="A37" zoomScaleNormal="100" workbookViewId="0">
      <selection activeCell="B83" sqref="B83"/>
    </sheetView>
  </sheetViews>
  <sheetFormatPr defaultRowHeight="14.4" x14ac:dyDescent="0.3"/>
  <cols>
    <col min="1" max="1" width="7.44140625" style="75" customWidth="1"/>
    <col min="2" max="2" width="30.44140625" customWidth="1"/>
    <col min="4" max="4" width="15.33203125" customWidth="1"/>
    <col min="5" max="5" width="15" customWidth="1"/>
    <col min="6" max="6" width="4.6640625" customWidth="1"/>
    <col min="7" max="7" width="15.44140625" hidden="1" customWidth="1"/>
    <col min="8" max="8" width="9.6640625" hidden="1" customWidth="1"/>
    <col min="9" max="9" width="10.109375" customWidth="1"/>
    <col min="10" max="10" width="20.44140625" customWidth="1"/>
    <col min="11" max="11" width="17.109375" customWidth="1"/>
    <col min="12" max="12" width="16.33203125" customWidth="1"/>
    <col min="13" max="13" width="14" customWidth="1"/>
    <col min="14" max="14" width="15" customWidth="1"/>
    <col min="15" max="15" width="4.5546875" customWidth="1"/>
    <col min="16" max="16" width="25.33203125" customWidth="1"/>
    <col min="17" max="17" width="16.6640625" customWidth="1"/>
    <col min="18" max="18" width="17" customWidth="1"/>
    <col min="19" max="19" width="12.44140625" customWidth="1"/>
    <col min="20" max="20" width="13.5546875" customWidth="1"/>
  </cols>
  <sheetData>
    <row r="1" spans="1:8" x14ac:dyDescent="0.3">
      <c r="B1" s="147" t="s">
        <v>0</v>
      </c>
      <c r="C1" s="147"/>
      <c r="D1" s="147"/>
      <c r="E1" s="147"/>
      <c r="F1" s="147"/>
      <c r="G1" s="147"/>
      <c r="H1" s="147"/>
    </row>
    <row r="2" spans="1:8" x14ac:dyDescent="0.3">
      <c r="B2" s="147" t="s">
        <v>40</v>
      </c>
      <c r="C2" s="147"/>
      <c r="D2" s="147"/>
      <c r="E2" s="147"/>
      <c r="F2" s="147"/>
      <c r="G2" s="147"/>
      <c r="H2" s="147"/>
    </row>
    <row r="3" spans="1:8" x14ac:dyDescent="0.3">
      <c r="B3" s="147" t="s">
        <v>188</v>
      </c>
      <c r="C3" s="147"/>
      <c r="D3" s="147"/>
      <c r="E3" s="147"/>
      <c r="F3" s="147"/>
      <c r="G3" s="147"/>
      <c r="H3" s="147"/>
    </row>
    <row r="5" spans="1:8" x14ac:dyDescent="0.3">
      <c r="B5" s="78" t="s">
        <v>189</v>
      </c>
      <c r="C5" s="78"/>
      <c r="D5" s="78"/>
      <c r="E5" s="78"/>
      <c r="F5" s="78"/>
    </row>
    <row r="7" spans="1:8" x14ac:dyDescent="0.3">
      <c r="A7" s="75" t="s">
        <v>93</v>
      </c>
      <c r="D7" s="31" t="s">
        <v>41</v>
      </c>
      <c r="E7" s="31"/>
      <c r="F7" s="75"/>
      <c r="G7" s="31" t="s">
        <v>42</v>
      </c>
      <c r="H7" s="43"/>
    </row>
    <row r="9" spans="1:8" x14ac:dyDescent="0.3">
      <c r="A9" s="75">
        <v>1</v>
      </c>
      <c r="B9" t="s">
        <v>43</v>
      </c>
      <c r="D9" s="38">
        <v>1513706000</v>
      </c>
      <c r="G9" s="38">
        <v>272971000</v>
      </c>
      <c r="H9" s="38"/>
    </row>
    <row r="11" spans="1:8" x14ac:dyDescent="0.3">
      <c r="A11" s="75">
        <v>2</v>
      </c>
      <c r="B11" t="s">
        <v>44</v>
      </c>
      <c r="D11" s="38">
        <v>112202000</v>
      </c>
      <c r="G11" s="38">
        <v>16783000</v>
      </c>
      <c r="H11" s="38"/>
    </row>
    <row r="12" spans="1:8" x14ac:dyDescent="0.3">
      <c r="D12" s="38"/>
    </row>
    <row r="13" spans="1:8" x14ac:dyDescent="0.3">
      <c r="A13" s="75">
        <v>3</v>
      </c>
      <c r="B13" t="s">
        <v>45</v>
      </c>
      <c r="D13" s="36">
        <f>D11/D9</f>
        <v>7.4124037296542392E-2</v>
      </c>
      <c r="G13" s="36">
        <f>G11/G9</f>
        <v>6.1482721607789836E-2</v>
      </c>
      <c r="H13" s="36"/>
    </row>
    <row r="14" spans="1:8" x14ac:dyDescent="0.3">
      <c r="A14" s="75">
        <v>4</v>
      </c>
      <c r="B14" t="s">
        <v>46</v>
      </c>
      <c r="D14" s="36">
        <f>0.0729</f>
        <v>7.2900000000000006E-2</v>
      </c>
      <c r="G14" s="36">
        <v>7.3200000000000001E-2</v>
      </c>
      <c r="H14" s="36"/>
    </row>
    <row r="15" spans="1:8" x14ac:dyDescent="0.3">
      <c r="A15" s="75">
        <v>5</v>
      </c>
      <c r="B15" t="s">
        <v>47</v>
      </c>
      <c r="D15" s="37">
        <f>D13-D14</f>
        <v>1.2240372965423851E-3</v>
      </c>
      <c r="G15" s="37">
        <f>G13-G14</f>
        <v>-1.1717278392210165E-2</v>
      </c>
      <c r="H15" s="37"/>
    </row>
    <row r="17" spans="1:10" x14ac:dyDescent="0.3">
      <c r="A17" s="75">
        <v>6</v>
      </c>
      <c r="B17" t="s">
        <v>48</v>
      </c>
      <c r="D17" s="38">
        <f>IF(D15&gt;0,D9*D15,0)</f>
        <v>1852832.5999999875</v>
      </c>
      <c r="G17" s="38">
        <f>IF(G15&gt;0,G9*G15,0)</f>
        <v>0</v>
      </c>
      <c r="H17" s="38"/>
    </row>
    <row r="18" spans="1:10" x14ac:dyDescent="0.3">
      <c r="A18" s="75">
        <v>7</v>
      </c>
      <c r="B18" t="s">
        <v>49</v>
      </c>
      <c r="D18" s="39">
        <f>'Conversion Factor'!E112</f>
        <v>0.62039200000000005</v>
      </c>
      <c r="G18" s="39">
        <v>0.61944999999999995</v>
      </c>
      <c r="H18" s="39"/>
    </row>
    <row r="19" spans="1:10" x14ac:dyDescent="0.3">
      <c r="A19" s="75">
        <v>8</v>
      </c>
      <c r="B19" t="s">
        <v>50</v>
      </c>
      <c r="D19" s="38">
        <f>D17/D18</f>
        <v>2986551.4062076677</v>
      </c>
      <c r="G19" s="38">
        <f>G17/G18</f>
        <v>0</v>
      </c>
      <c r="H19" s="38"/>
      <c r="I19" s="38"/>
    </row>
    <row r="20" spans="1:10" ht="15" thickBot="1" x14ac:dyDescent="0.35">
      <c r="A20" s="75">
        <v>9</v>
      </c>
      <c r="B20" t="s">
        <v>51</v>
      </c>
      <c r="D20" s="40">
        <v>0.5</v>
      </c>
      <c r="G20" s="40">
        <v>0.5</v>
      </c>
      <c r="H20" s="40"/>
    </row>
    <row r="21" spans="1:10" ht="15.6" thickTop="1" thickBot="1" x14ac:dyDescent="0.35">
      <c r="A21" s="75">
        <v>10</v>
      </c>
      <c r="B21" t="s">
        <v>190</v>
      </c>
      <c r="D21" s="41">
        <f>D19*D20</f>
        <v>1493275.7031038338</v>
      </c>
      <c r="G21" s="41">
        <v>0</v>
      </c>
      <c r="H21" s="49"/>
    </row>
    <row r="22" spans="1:10" ht="15" thickTop="1" x14ac:dyDescent="0.3"/>
    <row r="24" spans="1:10" x14ac:dyDescent="0.3">
      <c r="B24" s="78" t="s">
        <v>185</v>
      </c>
      <c r="C24" s="78"/>
      <c r="D24" s="78"/>
      <c r="E24" s="78"/>
      <c r="F24" s="78"/>
      <c r="G24" s="78"/>
      <c r="H24" s="78"/>
    </row>
    <row r="26" spans="1:10" x14ac:dyDescent="0.3">
      <c r="A26" s="75">
        <v>11</v>
      </c>
      <c r="B26" t="s">
        <v>52</v>
      </c>
      <c r="D26" s="65">
        <v>231219047</v>
      </c>
      <c r="E26" s="36">
        <f>D26/D30</f>
        <v>0.51086787618577922</v>
      </c>
      <c r="F26" s="36"/>
      <c r="G26" s="65">
        <v>116284996</v>
      </c>
      <c r="H26" s="36">
        <f>G26/G30</f>
        <v>0.75882679845758572</v>
      </c>
      <c r="J26" t="s">
        <v>184</v>
      </c>
    </row>
    <row r="27" spans="1:10" x14ac:dyDescent="0.3">
      <c r="D27" s="66"/>
      <c r="G27" s="66"/>
      <c r="I27" s="36"/>
    </row>
    <row r="28" spans="1:10" x14ac:dyDescent="0.3">
      <c r="A28" s="75">
        <v>12</v>
      </c>
      <c r="B28" t="s">
        <v>53</v>
      </c>
      <c r="D28" s="65">
        <v>221381435</v>
      </c>
      <c r="E28" s="36">
        <f>D28/D30</f>
        <v>0.48913212381422078</v>
      </c>
      <c r="F28" s="36"/>
      <c r="G28" s="65">
        <f>33950044+3372711-364618</f>
        <v>36958137</v>
      </c>
      <c r="H28" s="36">
        <f>G28/G30</f>
        <v>0.24117320154241431</v>
      </c>
    </row>
    <row r="29" spans="1:10" x14ac:dyDescent="0.3">
      <c r="I29" s="36"/>
    </row>
    <row r="30" spans="1:10" x14ac:dyDescent="0.3">
      <c r="A30" s="75">
        <v>13</v>
      </c>
      <c r="B30" t="s">
        <v>54</v>
      </c>
      <c r="D30" s="38">
        <f>D26+D28</f>
        <v>452600482</v>
      </c>
      <c r="E30" s="37">
        <f>E26+E28</f>
        <v>1</v>
      </c>
      <c r="F30" s="37"/>
      <c r="G30" s="38">
        <f>G26+G28</f>
        <v>153243133</v>
      </c>
      <c r="H30" s="37">
        <f>H26+H28</f>
        <v>1</v>
      </c>
    </row>
    <row r="31" spans="1:10" x14ac:dyDescent="0.3">
      <c r="I31" s="37"/>
    </row>
    <row r="32" spans="1:10" x14ac:dyDescent="0.3">
      <c r="A32" s="84"/>
      <c r="D32" s="157" t="s">
        <v>112</v>
      </c>
      <c r="E32" s="157" t="s">
        <v>111</v>
      </c>
      <c r="I32" s="37"/>
    </row>
    <row r="33" spans="1:10" x14ac:dyDescent="0.3">
      <c r="B33" s="44" t="s">
        <v>55</v>
      </c>
      <c r="D33" s="157"/>
      <c r="E33" s="157"/>
    </row>
    <row r="34" spans="1:10" x14ac:dyDescent="0.3">
      <c r="A34" s="75">
        <v>14</v>
      </c>
      <c r="B34" t="s">
        <v>57</v>
      </c>
      <c r="D34" s="38">
        <f>D21*E26</f>
        <v>762866.58700448181</v>
      </c>
      <c r="E34" s="38">
        <f>ROUND(D34*'Conversion Factor'!E108,0)</f>
        <v>728117</v>
      </c>
      <c r="G34" s="38">
        <f>G21*H26</f>
        <v>0</v>
      </c>
    </row>
    <row r="35" spans="1:10" x14ac:dyDescent="0.3">
      <c r="A35" s="75">
        <v>15</v>
      </c>
      <c r="B35" t="s">
        <v>77</v>
      </c>
      <c r="D35" s="38">
        <f>D21*E28</f>
        <v>730409.11609935202</v>
      </c>
      <c r="E35" s="38">
        <f>ROUND(D35*'Conversion Factor'!E108,0)</f>
        <v>697138</v>
      </c>
      <c r="G35" s="38">
        <f>G21*H28</f>
        <v>0</v>
      </c>
    </row>
    <row r="36" spans="1:10" x14ac:dyDescent="0.3">
      <c r="A36" s="75">
        <v>16</v>
      </c>
      <c r="B36" t="s">
        <v>56</v>
      </c>
      <c r="D36" s="42">
        <f>SUM(D34:D35)</f>
        <v>1493275.7031038338</v>
      </c>
      <c r="E36" s="42">
        <f>SUM(E34:E35)</f>
        <v>1425255</v>
      </c>
      <c r="G36" s="42">
        <f>SUM(G34:G35)</f>
        <v>0</v>
      </c>
    </row>
    <row r="38" spans="1:10" ht="32.4" customHeight="1" x14ac:dyDescent="0.3">
      <c r="A38" s="75" t="s">
        <v>93</v>
      </c>
      <c r="B38" s="79" t="s">
        <v>61</v>
      </c>
      <c r="D38" s="85" t="s">
        <v>114</v>
      </c>
      <c r="E38" s="85" t="s">
        <v>115</v>
      </c>
      <c r="F38" s="85"/>
      <c r="J38" s="103"/>
    </row>
    <row r="39" spans="1:10" ht="32.4" customHeight="1" x14ac:dyDescent="0.3">
      <c r="A39" s="90">
        <v>1</v>
      </c>
      <c r="B39" s="158" t="s">
        <v>186</v>
      </c>
      <c r="C39" s="158"/>
      <c r="D39" s="89">
        <f>D26</f>
        <v>231219047</v>
      </c>
      <c r="E39" s="89">
        <f>D28</f>
        <v>221381435</v>
      </c>
      <c r="F39" s="89"/>
      <c r="J39" s="89"/>
    </row>
    <row r="41" spans="1:10" x14ac:dyDescent="0.3">
      <c r="A41" s="85">
        <v>2</v>
      </c>
      <c r="B41" t="s">
        <v>187</v>
      </c>
      <c r="D41" s="72">
        <f>'Electric 2018 Rate Calc'!E22</f>
        <v>2384168302.1545558</v>
      </c>
      <c r="E41" s="72">
        <f>'Electric 2018 Rate Calc'!K22</f>
        <v>2168455465.2012043</v>
      </c>
      <c r="F41" s="88"/>
      <c r="G41" s="72" t="e">
        <f>#REF!</f>
        <v>#REF!</v>
      </c>
      <c r="J41" t="s">
        <v>92</v>
      </c>
    </row>
    <row r="42" spans="1:10" ht="13.8" customHeight="1" x14ac:dyDescent="0.3"/>
    <row r="43" spans="1:10" x14ac:dyDescent="0.3">
      <c r="A43" s="85">
        <v>3</v>
      </c>
      <c r="B43" t="s">
        <v>58</v>
      </c>
      <c r="D43" s="47">
        <f>'Electric 2018 Rate Calc'!D28</f>
        <v>-1.16E-3</v>
      </c>
      <c r="E43" s="47">
        <f>'Electric 2018 Rate Calc'!J28</f>
        <v>5.4000000000000001E-4</v>
      </c>
    </row>
    <row r="44" spans="1:10" ht="11.4" customHeight="1" x14ac:dyDescent="0.3"/>
    <row r="45" spans="1:10" ht="14.4" customHeight="1" x14ac:dyDescent="0.3">
      <c r="A45" s="75">
        <v>4</v>
      </c>
      <c r="B45" t="s">
        <v>118</v>
      </c>
      <c r="D45" s="47">
        <v>4.45E-3</v>
      </c>
      <c r="E45" s="47">
        <v>4.0000000000000002E-4</v>
      </c>
    </row>
    <row r="46" spans="1:10" ht="14.4" customHeight="1" x14ac:dyDescent="0.3"/>
    <row r="47" spans="1:10" ht="14.4" customHeight="1" x14ac:dyDescent="0.3">
      <c r="A47" s="85">
        <v>5</v>
      </c>
      <c r="B47" t="s">
        <v>59</v>
      </c>
      <c r="D47" s="47">
        <f>D43-D45</f>
        <v>-5.6100000000000004E-3</v>
      </c>
      <c r="E47" s="47">
        <f>E43-E45</f>
        <v>1.3999999999999999E-4</v>
      </c>
    </row>
    <row r="48" spans="1:10" ht="15" customHeight="1" x14ac:dyDescent="0.3"/>
    <row r="49" spans="1:8" ht="15" customHeight="1" x14ac:dyDescent="0.3">
      <c r="A49" s="75">
        <v>6</v>
      </c>
      <c r="B49" t="s">
        <v>60</v>
      </c>
      <c r="D49" s="45">
        <f>D47*D41</f>
        <v>-13375184.175087059</v>
      </c>
      <c r="E49" s="45">
        <f>E47*E41</f>
        <v>303583.76512816857</v>
      </c>
      <c r="F49" s="45"/>
      <c r="G49" s="45" t="e">
        <f>#REF!+#REF!</f>
        <v>#REF!</v>
      </c>
    </row>
    <row r="50" spans="1:8" ht="12.6" customHeight="1" x14ac:dyDescent="0.3">
      <c r="D50" s="45"/>
      <c r="G50" s="45"/>
    </row>
    <row r="51" spans="1:8" ht="12.6" customHeight="1" x14ac:dyDescent="0.3">
      <c r="A51" s="75">
        <v>7</v>
      </c>
      <c r="B51" t="s">
        <v>62</v>
      </c>
      <c r="D51" s="48">
        <f>D49/D39</f>
        <v>-5.784637705511804E-2</v>
      </c>
      <c r="E51" s="48">
        <f>E49/E39</f>
        <v>1.3713153730716787E-3</v>
      </c>
      <c r="F51" s="48"/>
      <c r="G51" s="48"/>
    </row>
    <row r="52" spans="1:8" ht="13.2" customHeight="1" x14ac:dyDescent="0.3"/>
    <row r="53" spans="1:8" ht="13.2" customHeight="1" x14ac:dyDescent="0.3">
      <c r="A53" s="75">
        <v>8</v>
      </c>
      <c r="B53" t="s">
        <v>116</v>
      </c>
      <c r="D53" s="38">
        <f>IF(D51&gt;0.03,D26*0.03-D49,0)</f>
        <v>0</v>
      </c>
      <c r="E53" s="38">
        <f>IF(E47&gt;0.03,D28*0.03-E49,0)</f>
        <v>0</v>
      </c>
      <c r="G53" s="38"/>
    </row>
    <row r="54" spans="1:8" ht="12.6" customHeight="1" x14ac:dyDescent="0.3"/>
    <row r="55" spans="1:8" ht="12.6" customHeight="1" x14ac:dyDescent="0.3">
      <c r="A55" s="75">
        <v>9</v>
      </c>
      <c r="B55" t="s">
        <v>63</v>
      </c>
      <c r="D55" s="47">
        <f>ROUND(D53/D41,5)</f>
        <v>0</v>
      </c>
      <c r="E55" s="47">
        <f>ROUND(E53/E41,5)</f>
        <v>0</v>
      </c>
    </row>
    <row r="56" spans="1:8" ht="6" customHeight="1" x14ac:dyDescent="0.3"/>
    <row r="57" spans="1:8" x14ac:dyDescent="0.3">
      <c r="A57" s="75">
        <v>10</v>
      </c>
      <c r="B57" t="s">
        <v>64</v>
      </c>
      <c r="D57" s="47">
        <f>D43+D55</f>
        <v>-1.16E-3</v>
      </c>
      <c r="E57" s="47">
        <f>E43+E55</f>
        <v>5.4000000000000001E-4</v>
      </c>
    </row>
    <row r="58" spans="1:8" ht="13.8" customHeight="1" x14ac:dyDescent="0.3"/>
    <row r="59" spans="1:8" ht="13.8" customHeight="1" x14ac:dyDescent="0.3">
      <c r="A59" s="75">
        <v>11</v>
      </c>
      <c r="B59" t="s">
        <v>65</v>
      </c>
      <c r="D59" s="45">
        <f>(D57-D45)*D41</f>
        <v>-13375184.175087059</v>
      </c>
      <c r="E59" s="45">
        <f>(E57-E45)*E41</f>
        <v>303583.76512816857</v>
      </c>
      <c r="F59" s="45"/>
      <c r="G59" s="50" t="e">
        <f>#REF!+#REF!</f>
        <v>#REF!</v>
      </c>
    </row>
    <row r="60" spans="1:8" ht="14.4" customHeight="1" x14ac:dyDescent="0.3">
      <c r="D60" s="50"/>
      <c r="G60" s="50"/>
    </row>
    <row r="61" spans="1:8" ht="14.4" customHeight="1" x14ac:dyDescent="0.3">
      <c r="A61" s="75">
        <v>12</v>
      </c>
      <c r="B61" t="s">
        <v>66</v>
      </c>
      <c r="D61" s="48">
        <f>D59/D39</f>
        <v>-5.784637705511804E-2</v>
      </c>
      <c r="E61" s="48">
        <f t="shared" ref="E61" si="0">E59/E39</f>
        <v>1.3713153730716787E-3</v>
      </c>
      <c r="F61" s="48"/>
    </row>
    <row r="62" spans="1:8" ht="16.2" customHeight="1" x14ac:dyDescent="0.3"/>
    <row r="63" spans="1:8" ht="16.2" customHeight="1" x14ac:dyDescent="0.3">
      <c r="B63" t="s">
        <v>69</v>
      </c>
    </row>
    <row r="64" spans="1:8" ht="32.4" customHeight="1" x14ac:dyDescent="0.3">
      <c r="B64" s="156" t="s">
        <v>198</v>
      </c>
      <c r="C64" s="156"/>
      <c r="D64" s="156"/>
      <c r="E64" s="156"/>
      <c r="F64" s="156"/>
      <c r="G64" s="156"/>
      <c r="H64" s="156"/>
    </row>
    <row r="65" spans="1:8" ht="49.2" customHeight="1" x14ac:dyDescent="0.3">
      <c r="A65" s="85"/>
      <c r="B65" s="155" t="s">
        <v>117</v>
      </c>
      <c r="C65" s="155"/>
      <c r="D65" s="155"/>
      <c r="E65" s="155"/>
      <c r="F65" s="155"/>
      <c r="G65" s="155"/>
      <c r="H65" s="155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8">
    <mergeCell ref="B65:H65"/>
    <mergeCell ref="B64:H64"/>
    <mergeCell ref="B1:H1"/>
    <mergeCell ref="B2:H2"/>
    <mergeCell ref="B3:H3"/>
    <mergeCell ref="E32:E33"/>
    <mergeCell ref="D32:D33"/>
    <mergeCell ref="B39:C39"/>
  </mergeCells>
  <printOptions horizontalCentered="1"/>
  <pageMargins left="0.7" right="0.7" top="0.75" bottom="0.75" header="0.3" footer="0.3"/>
  <pageSetup scale="95" firstPageNumber="6" orientation="portrait" useFirstPageNumber="1" r:id="rId3"/>
  <headerFooter>
    <oddFooter>&amp;CATTACHMENT A&amp;RPage &amp;P of 9</oddFooter>
  </headerFooter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16"/>
  <sheetViews>
    <sheetView tabSelected="1" topLeftCell="A94" workbookViewId="0">
      <selection activeCell="B83" sqref="B83"/>
    </sheetView>
  </sheetViews>
  <sheetFormatPr defaultRowHeight="14.4" x14ac:dyDescent="0.3"/>
  <cols>
    <col min="1" max="1" width="6.44140625" customWidth="1"/>
    <col min="2" max="2" width="2.109375" customWidth="1"/>
    <col min="3" max="3" width="37.33203125" customWidth="1"/>
    <col min="5" max="5" width="11.44140625" bestFit="1" customWidth="1"/>
    <col min="6" max="6" width="2.33203125" customWidth="1"/>
  </cols>
  <sheetData>
    <row r="1" spans="1:5" ht="14.4" hidden="1" customHeight="1" x14ac:dyDescent="0.3">
      <c r="A1" s="1" t="s">
        <v>13</v>
      </c>
      <c r="B1" s="1"/>
      <c r="C1" s="1"/>
      <c r="D1" s="1"/>
      <c r="E1" s="2"/>
    </row>
    <row r="2" spans="1:5" hidden="1" x14ac:dyDescent="0.3">
      <c r="A2" s="160" t="s">
        <v>14</v>
      </c>
      <c r="B2" s="160"/>
      <c r="C2" s="160"/>
      <c r="D2" s="160"/>
      <c r="E2" s="160"/>
    </row>
    <row r="3" spans="1:5" hidden="1" x14ac:dyDescent="0.3">
      <c r="A3" s="160" t="s">
        <v>15</v>
      </c>
      <c r="B3" s="160"/>
      <c r="C3" s="160"/>
      <c r="D3" s="160"/>
      <c r="E3" s="160"/>
    </row>
    <row r="4" spans="1:5" ht="15.6" hidden="1" x14ac:dyDescent="0.3">
      <c r="A4" s="160" t="s">
        <v>16</v>
      </c>
      <c r="B4" s="163"/>
      <c r="C4" s="160"/>
      <c r="D4" s="160"/>
      <c r="E4" s="160"/>
    </row>
    <row r="5" spans="1:5" hidden="1" x14ac:dyDescent="0.3">
      <c r="A5" s="3"/>
      <c r="B5" s="3"/>
      <c r="C5" s="3"/>
      <c r="D5" s="3"/>
      <c r="E5" s="4"/>
    </row>
    <row r="6" spans="1:5" hidden="1" x14ac:dyDescent="0.3">
      <c r="A6" s="5" t="s">
        <v>17</v>
      </c>
      <c r="B6" s="5"/>
      <c r="C6" s="5"/>
      <c r="D6" s="5"/>
      <c r="E6" s="6"/>
    </row>
    <row r="7" spans="1:5" hidden="1" x14ac:dyDescent="0.3">
      <c r="A7" s="7" t="s">
        <v>18</v>
      </c>
      <c r="B7" s="5"/>
      <c r="C7" s="7" t="s">
        <v>19</v>
      </c>
      <c r="D7" s="8"/>
      <c r="E7" s="9" t="s">
        <v>20</v>
      </c>
    </row>
    <row r="8" spans="1:5" hidden="1" x14ac:dyDescent="0.3">
      <c r="A8" s="3"/>
      <c r="B8" s="3"/>
      <c r="C8" s="3"/>
      <c r="D8" s="3"/>
      <c r="E8" s="4"/>
    </row>
    <row r="9" spans="1:5" hidden="1" x14ac:dyDescent="0.3">
      <c r="A9" s="10">
        <v>1</v>
      </c>
      <c r="B9" s="3"/>
      <c r="C9" s="11" t="s">
        <v>21</v>
      </c>
      <c r="D9" s="3"/>
      <c r="E9" s="12">
        <v>1</v>
      </c>
    </row>
    <row r="10" spans="1:5" hidden="1" x14ac:dyDescent="0.3">
      <c r="A10" s="10"/>
      <c r="B10" s="3"/>
      <c r="C10" s="3"/>
      <c r="D10" s="3"/>
      <c r="E10" s="12"/>
    </row>
    <row r="11" spans="1:5" hidden="1" x14ac:dyDescent="0.3">
      <c r="A11" s="10"/>
      <c r="B11" s="3"/>
      <c r="C11" s="13" t="s">
        <v>22</v>
      </c>
      <c r="D11" s="14"/>
      <c r="E11" s="12"/>
    </row>
    <row r="12" spans="1:5" hidden="1" x14ac:dyDescent="0.3">
      <c r="A12" s="10">
        <v>2</v>
      </c>
      <c r="B12" s="3"/>
      <c r="C12" s="14" t="s">
        <v>23</v>
      </c>
      <c r="D12" s="14"/>
      <c r="E12" s="14">
        <v>4.849E-3</v>
      </c>
    </row>
    <row r="13" spans="1:5" hidden="1" x14ac:dyDescent="0.3">
      <c r="A13" s="10"/>
      <c r="B13" s="3"/>
      <c r="C13" s="14"/>
      <c r="D13" s="14"/>
      <c r="E13" s="14"/>
    </row>
    <row r="14" spans="1:5" hidden="1" x14ac:dyDescent="0.3">
      <c r="A14" s="10">
        <v>3</v>
      </c>
      <c r="B14" s="3"/>
      <c r="C14" s="14" t="s">
        <v>24</v>
      </c>
      <c r="D14" s="14"/>
      <c r="E14" s="14">
        <v>2E-3</v>
      </c>
    </row>
    <row r="15" spans="1:5" hidden="1" x14ac:dyDescent="0.3">
      <c r="A15" s="10"/>
      <c r="B15" s="3"/>
      <c r="C15" s="14"/>
      <c r="D15" s="14"/>
      <c r="E15" s="14"/>
    </row>
    <row r="16" spans="1:5" hidden="1" x14ac:dyDescent="0.3">
      <c r="A16" s="10">
        <v>4</v>
      </c>
      <c r="B16" s="3"/>
      <c r="C16" s="14" t="s">
        <v>25</v>
      </c>
      <c r="D16" s="14"/>
      <c r="E16" s="14">
        <v>3.8545999999999997E-2</v>
      </c>
    </row>
    <row r="17" spans="1:5" hidden="1" x14ac:dyDescent="0.3">
      <c r="A17" s="10"/>
      <c r="B17" s="3"/>
      <c r="C17" s="14"/>
      <c r="D17" s="14"/>
      <c r="E17" s="14"/>
    </row>
    <row r="18" spans="1:5" ht="15" hidden="1" thickBot="1" x14ac:dyDescent="0.35">
      <c r="A18" s="10">
        <v>5</v>
      </c>
      <c r="B18" s="3"/>
      <c r="C18" s="14" t="s">
        <v>26</v>
      </c>
      <c r="D18" s="14"/>
      <c r="E18" s="22">
        <f>SUM(E12:E16)</f>
        <v>4.5394999999999998E-2</v>
      </c>
    </row>
    <row r="19" spans="1:5" hidden="1" x14ac:dyDescent="0.3">
      <c r="A19" s="10"/>
      <c r="B19" s="3"/>
      <c r="C19" s="14"/>
      <c r="D19" s="14"/>
      <c r="E19" s="16"/>
    </row>
    <row r="20" spans="1:5" hidden="1" x14ac:dyDescent="0.3">
      <c r="A20" s="10">
        <v>6</v>
      </c>
      <c r="B20" s="3"/>
      <c r="C20" s="14" t="s">
        <v>27</v>
      </c>
      <c r="D20" s="14"/>
      <c r="E20" s="16">
        <f>E9-E18</f>
        <v>0.95460500000000004</v>
      </c>
    </row>
    <row r="21" spans="1:5" hidden="1" x14ac:dyDescent="0.3">
      <c r="A21" s="3"/>
      <c r="B21" s="3"/>
      <c r="C21" s="14"/>
      <c r="D21" s="14"/>
      <c r="E21" s="16"/>
    </row>
    <row r="22" spans="1:5" hidden="1" x14ac:dyDescent="0.3">
      <c r="A22" s="10">
        <v>7</v>
      </c>
      <c r="B22" s="3"/>
      <c r="C22" s="14" t="s">
        <v>28</v>
      </c>
      <c r="D22" s="17"/>
      <c r="E22" s="18">
        <f>ROUND(E20*0.35,6)</f>
        <v>0.33411200000000002</v>
      </c>
    </row>
    <row r="23" spans="1:5" hidden="1" x14ac:dyDescent="0.3">
      <c r="A23" s="3"/>
      <c r="B23" s="3"/>
      <c r="C23" s="14"/>
      <c r="D23" s="14"/>
      <c r="E23" s="16"/>
    </row>
    <row r="24" spans="1:5" ht="15" hidden="1" thickBot="1" x14ac:dyDescent="0.35">
      <c r="A24" s="10">
        <v>8</v>
      </c>
      <c r="B24" s="3"/>
      <c r="C24" s="13" t="s">
        <v>29</v>
      </c>
      <c r="D24" s="14"/>
      <c r="E24" s="19">
        <f>ROUND(E20-E22,5)</f>
        <v>0.62048999999999999</v>
      </c>
    </row>
    <row r="25" spans="1:5" hidden="1" x14ac:dyDescent="0.3">
      <c r="A25" s="20"/>
      <c r="B25" s="20"/>
      <c r="C25" s="20"/>
      <c r="D25" s="20"/>
      <c r="E25" s="20"/>
    </row>
    <row r="26" spans="1:5" hidden="1" x14ac:dyDescent="0.3">
      <c r="C26" t="s">
        <v>30</v>
      </c>
    </row>
    <row r="27" spans="1:5" hidden="1" x14ac:dyDescent="0.3">
      <c r="C27" t="s">
        <v>31</v>
      </c>
    </row>
    <row r="28" spans="1:5" hidden="1" x14ac:dyDescent="0.3">
      <c r="C28" t="s">
        <v>37</v>
      </c>
      <c r="E28">
        <f>1/E20</f>
        <v>1.0475537002215576</v>
      </c>
    </row>
    <row r="29" spans="1:5" hidden="1" x14ac:dyDescent="0.3"/>
    <row r="30" spans="1:5" ht="14.4" hidden="1" customHeight="1" x14ac:dyDescent="0.3">
      <c r="A30" s="1" t="s">
        <v>13</v>
      </c>
      <c r="B30" s="1"/>
      <c r="C30" s="1"/>
      <c r="D30" s="1">
        <f>D28+D29</f>
        <v>0</v>
      </c>
      <c r="E30" s="2"/>
    </row>
    <row r="31" spans="1:5" hidden="1" x14ac:dyDescent="0.3">
      <c r="A31" s="160" t="s">
        <v>14</v>
      </c>
      <c r="B31" s="160"/>
      <c r="C31" s="160"/>
      <c r="D31" s="160"/>
      <c r="E31" s="160"/>
    </row>
    <row r="32" spans="1:5" hidden="1" x14ac:dyDescent="0.3">
      <c r="A32" s="160" t="s">
        <v>15</v>
      </c>
      <c r="B32" s="160"/>
      <c r="C32" s="160"/>
      <c r="D32" s="160"/>
      <c r="E32" s="160"/>
    </row>
    <row r="33" spans="1:5" ht="15.6" hidden="1" x14ac:dyDescent="0.3">
      <c r="A33" s="160" t="s">
        <v>32</v>
      </c>
      <c r="B33" s="163"/>
      <c r="C33" s="160"/>
      <c r="D33" s="160"/>
      <c r="E33" s="160"/>
    </row>
    <row r="34" spans="1:5" hidden="1" x14ac:dyDescent="0.3">
      <c r="A34" s="3"/>
      <c r="B34" s="3"/>
      <c r="C34" s="3"/>
      <c r="D34" s="3"/>
      <c r="E34" s="4"/>
    </row>
    <row r="35" spans="1:5" hidden="1" x14ac:dyDescent="0.3">
      <c r="A35" s="5" t="s">
        <v>17</v>
      </c>
      <c r="B35" s="5"/>
      <c r="C35" s="5"/>
      <c r="D35" s="5"/>
      <c r="E35" s="6"/>
    </row>
    <row r="36" spans="1:5" hidden="1" x14ac:dyDescent="0.3">
      <c r="A36" s="7" t="s">
        <v>18</v>
      </c>
      <c r="B36" s="5"/>
      <c r="C36" s="7" t="s">
        <v>19</v>
      </c>
      <c r="D36" s="8"/>
      <c r="E36" s="9" t="s">
        <v>20</v>
      </c>
    </row>
    <row r="37" spans="1:5" hidden="1" x14ac:dyDescent="0.3">
      <c r="A37" s="3"/>
      <c r="B37" s="3"/>
      <c r="C37" s="3"/>
      <c r="D37" s="3"/>
      <c r="E37" s="4"/>
    </row>
    <row r="38" spans="1:5" hidden="1" x14ac:dyDescent="0.3">
      <c r="A38" s="10">
        <v>1</v>
      </c>
      <c r="B38" s="3"/>
      <c r="C38" s="11" t="s">
        <v>21</v>
      </c>
      <c r="D38" s="3"/>
      <c r="E38" s="12">
        <v>1</v>
      </c>
    </row>
    <row r="39" spans="1:5" hidden="1" x14ac:dyDescent="0.3">
      <c r="A39" s="10"/>
      <c r="B39" s="3"/>
      <c r="C39" s="3"/>
      <c r="D39" s="3"/>
      <c r="E39" s="12"/>
    </row>
    <row r="40" spans="1:5" hidden="1" x14ac:dyDescent="0.3">
      <c r="A40" s="10"/>
      <c r="B40" s="3"/>
      <c r="C40" s="13" t="s">
        <v>22</v>
      </c>
      <c r="D40" s="14"/>
      <c r="E40" s="12"/>
    </row>
    <row r="41" spans="1:5" hidden="1" x14ac:dyDescent="0.3">
      <c r="A41" s="10">
        <v>2</v>
      </c>
      <c r="B41" s="3"/>
      <c r="C41" s="14" t="s">
        <v>23</v>
      </c>
      <c r="D41" s="14"/>
      <c r="E41" s="14">
        <v>4.4488865114927787E-3</v>
      </c>
    </row>
    <row r="42" spans="1:5" hidden="1" x14ac:dyDescent="0.3">
      <c r="A42" s="10"/>
      <c r="B42" s="3"/>
      <c r="C42" s="14"/>
      <c r="D42" s="14"/>
      <c r="E42" s="14"/>
    </row>
    <row r="43" spans="1:5" hidden="1" x14ac:dyDescent="0.3">
      <c r="A43" s="10">
        <v>3</v>
      </c>
      <c r="B43" s="3"/>
      <c r="C43" s="14" t="s">
        <v>24</v>
      </c>
      <c r="D43" s="14"/>
      <c r="E43" s="14">
        <v>2E-3</v>
      </c>
    </row>
    <row r="44" spans="1:5" hidden="1" x14ac:dyDescent="0.3">
      <c r="A44" s="10"/>
      <c r="B44" s="3"/>
      <c r="C44" s="14"/>
      <c r="D44" s="14"/>
      <c r="E44" s="14"/>
    </row>
    <row r="45" spans="1:5" hidden="1" x14ac:dyDescent="0.3">
      <c r="A45" s="10">
        <v>4</v>
      </c>
      <c r="B45" s="3"/>
      <c r="C45" s="14" t="s">
        <v>25</v>
      </c>
      <c r="D45" s="14"/>
      <c r="E45" s="14">
        <v>3.8561676829863833E-2</v>
      </c>
    </row>
    <row r="46" spans="1:5" hidden="1" x14ac:dyDescent="0.3">
      <c r="A46" s="10"/>
      <c r="B46" s="3"/>
      <c r="C46" s="14"/>
      <c r="D46" s="14"/>
      <c r="E46" s="14"/>
    </row>
    <row r="47" spans="1:5" hidden="1" x14ac:dyDescent="0.3">
      <c r="A47" s="10">
        <v>5</v>
      </c>
      <c r="B47" s="3"/>
      <c r="C47" s="14" t="s">
        <v>33</v>
      </c>
      <c r="D47" s="14"/>
      <c r="E47" s="14">
        <v>0</v>
      </c>
    </row>
    <row r="48" spans="1:5" hidden="1" x14ac:dyDescent="0.3">
      <c r="A48" s="10"/>
      <c r="B48" s="3"/>
      <c r="C48" s="14"/>
      <c r="D48" s="14"/>
      <c r="E48" s="14"/>
    </row>
    <row r="49" spans="1:5" hidden="1" x14ac:dyDescent="0.3">
      <c r="A49" s="10">
        <v>6</v>
      </c>
      <c r="B49" s="3"/>
      <c r="C49" s="14" t="s">
        <v>26</v>
      </c>
      <c r="D49" s="14"/>
      <c r="E49" s="15">
        <f>SUM(E41:E47)</f>
        <v>4.5010563341356613E-2</v>
      </c>
    </row>
    <row r="50" spans="1:5" hidden="1" x14ac:dyDescent="0.3">
      <c r="A50" s="3"/>
      <c r="B50" s="3"/>
      <c r="C50" s="14"/>
      <c r="D50" s="14"/>
      <c r="E50" s="16"/>
    </row>
    <row r="51" spans="1:5" hidden="1" x14ac:dyDescent="0.3">
      <c r="A51" s="10">
        <v>7</v>
      </c>
      <c r="B51" s="3"/>
      <c r="C51" s="14" t="s">
        <v>27</v>
      </c>
      <c r="D51" s="14"/>
      <c r="E51" s="16">
        <f>E38-E49</f>
        <v>0.95498943665864333</v>
      </c>
    </row>
    <row r="52" spans="1:5" hidden="1" x14ac:dyDescent="0.3">
      <c r="A52" s="3"/>
      <c r="B52" s="3"/>
      <c r="C52" s="14"/>
      <c r="D52" s="14"/>
      <c r="E52" s="16"/>
    </row>
    <row r="53" spans="1:5" hidden="1" x14ac:dyDescent="0.3">
      <c r="A53" s="10">
        <v>8</v>
      </c>
      <c r="B53" s="3"/>
      <c r="C53" s="14" t="s">
        <v>28</v>
      </c>
      <c r="D53" s="17"/>
      <c r="E53" s="18">
        <f>ROUND(E51*0.35,6)</f>
        <v>0.33424599999999999</v>
      </c>
    </row>
    <row r="54" spans="1:5" hidden="1" x14ac:dyDescent="0.3">
      <c r="A54" s="3"/>
      <c r="B54" s="3"/>
      <c r="C54" s="14"/>
      <c r="D54" s="14"/>
      <c r="E54" s="16"/>
    </row>
    <row r="55" spans="1:5" ht="15" hidden="1" thickBot="1" x14ac:dyDescent="0.35">
      <c r="A55" s="10">
        <v>9</v>
      </c>
      <c r="B55" s="3"/>
      <c r="C55" s="13" t="s">
        <v>29</v>
      </c>
      <c r="D55" s="14"/>
      <c r="E55" s="21">
        <f>ROUND(E51-E53,5)</f>
        <v>0.62073999999999996</v>
      </c>
    </row>
    <row r="56" spans="1:5" hidden="1" x14ac:dyDescent="0.3">
      <c r="A56" s="20"/>
      <c r="B56" s="20"/>
      <c r="C56" s="20"/>
      <c r="D56" s="20"/>
      <c r="E56" s="20"/>
    </row>
    <row r="57" spans="1:5" hidden="1" x14ac:dyDescent="0.3">
      <c r="C57" t="s">
        <v>30</v>
      </c>
    </row>
    <row r="58" spans="1:5" hidden="1" x14ac:dyDescent="0.3">
      <c r="C58" t="s">
        <v>34</v>
      </c>
    </row>
    <row r="59" spans="1:5" hidden="1" x14ac:dyDescent="0.3">
      <c r="C59" t="s">
        <v>37</v>
      </c>
      <c r="E59">
        <f>1/E51</f>
        <v>1.0471320012699215</v>
      </c>
    </row>
    <row r="60" spans="1:5" hidden="1" x14ac:dyDescent="0.3"/>
    <row r="61" spans="1:5" hidden="1" x14ac:dyDescent="0.3">
      <c r="A61" s="159" t="s">
        <v>14</v>
      </c>
      <c r="B61" s="159"/>
      <c r="C61" s="159"/>
      <c r="D61" s="159"/>
      <c r="E61" s="159"/>
    </row>
    <row r="62" spans="1:5" hidden="1" x14ac:dyDescent="0.3">
      <c r="A62" s="160" t="s">
        <v>15</v>
      </c>
      <c r="B62" s="160"/>
      <c r="C62" s="160"/>
      <c r="D62" s="160"/>
      <c r="E62" s="160"/>
    </row>
    <row r="63" spans="1:5" ht="15.6" hidden="1" customHeight="1" x14ac:dyDescent="0.3">
      <c r="A63" s="161" t="s">
        <v>35</v>
      </c>
      <c r="B63" s="162"/>
      <c r="C63" s="161"/>
      <c r="D63" s="161"/>
      <c r="E63" s="161"/>
    </row>
    <row r="64" spans="1:5" hidden="1" x14ac:dyDescent="0.3">
      <c r="A64" s="3"/>
      <c r="B64" s="3"/>
      <c r="C64" s="3"/>
      <c r="D64" s="3"/>
      <c r="E64" s="4"/>
    </row>
    <row r="65" spans="1:5" hidden="1" x14ac:dyDescent="0.3">
      <c r="A65" s="5" t="s">
        <v>17</v>
      </c>
      <c r="B65" s="5"/>
      <c r="C65" s="5"/>
      <c r="D65" s="5"/>
      <c r="E65" s="6"/>
    </row>
    <row r="66" spans="1:5" hidden="1" x14ac:dyDescent="0.3">
      <c r="A66" s="7" t="s">
        <v>18</v>
      </c>
      <c r="B66" s="5"/>
      <c r="C66" s="7" t="s">
        <v>19</v>
      </c>
      <c r="D66" s="8"/>
      <c r="E66" s="9" t="s">
        <v>20</v>
      </c>
    </row>
    <row r="67" spans="1:5" hidden="1" x14ac:dyDescent="0.3">
      <c r="A67" s="3"/>
      <c r="B67" s="3"/>
      <c r="C67" s="3"/>
      <c r="D67" s="3"/>
      <c r="E67" s="4"/>
    </row>
    <row r="68" spans="1:5" hidden="1" x14ac:dyDescent="0.3">
      <c r="A68" s="10">
        <v>1</v>
      </c>
      <c r="B68" s="3"/>
      <c r="C68" s="11" t="s">
        <v>21</v>
      </c>
      <c r="D68" s="3"/>
      <c r="E68" s="12">
        <v>1</v>
      </c>
    </row>
    <row r="69" spans="1:5" hidden="1" x14ac:dyDescent="0.3">
      <c r="A69" s="10"/>
      <c r="B69" s="3"/>
      <c r="C69" s="3"/>
      <c r="D69" s="3"/>
      <c r="E69" s="12"/>
    </row>
    <row r="70" spans="1:5" hidden="1" x14ac:dyDescent="0.3">
      <c r="A70" s="10"/>
      <c r="B70" s="3"/>
      <c r="C70" s="13" t="s">
        <v>22</v>
      </c>
      <c r="D70" s="14"/>
      <c r="E70" s="12"/>
    </row>
    <row r="71" spans="1:5" hidden="1" x14ac:dyDescent="0.3">
      <c r="A71" s="10">
        <v>2</v>
      </c>
      <c r="B71" s="3"/>
      <c r="C71" s="14" t="s">
        <v>23</v>
      </c>
      <c r="D71" s="14"/>
      <c r="E71" s="14">
        <v>5.8552999999999999E-3</v>
      </c>
    </row>
    <row r="72" spans="1:5" hidden="1" x14ac:dyDescent="0.3">
      <c r="A72" s="10"/>
      <c r="B72" s="3"/>
      <c r="C72" s="14"/>
      <c r="D72" s="14"/>
      <c r="E72" s="14"/>
    </row>
    <row r="73" spans="1:5" hidden="1" x14ac:dyDescent="0.3">
      <c r="A73" s="10">
        <v>3</v>
      </c>
      <c r="B73" s="3"/>
      <c r="C73" s="14" t="s">
        <v>24</v>
      </c>
      <c r="D73" s="14"/>
      <c r="E73" s="14">
        <v>2E-3</v>
      </c>
    </row>
    <row r="74" spans="1:5" hidden="1" x14ac:dyDescent="0.3">
      <c r="A74" s="10"/>
      <c r="B74" s="3"/>
      <c r="C74" s="14"/>
      <c r="D74" s="14"/>
      <c r="E74" s="14"/>
    </row>
    <row r="75" spans="1:5" hidden="1" x14ac:dyDescent="0.3">
      <c r="A75" s="10">
        <v>4</v>
      </c>
      <c r="B75" s="3"/>
      <c r="C75" s="14" t="s">
        <v>25</v>
      </c>
      <c r="D75" s="14"/>
      <c r="E75" s="14">
        <v>3.8507300000000001E-2</v>
      </c>
    </row>
    <row r="76" spans="1:5" hidden="1" x14ac:dyDescent="0.3">
      <c r="A76" s="10"/>
      <c r="B76" s="3"/>
      <c r="C76" s="14"/>
      <c r="D76" s="14"/>
      <c r="E76" s="14"/>
    </row>
    <row r="77" spans="1:5" hidden="1" x14ac:dyDescent="0.3">
      <c r="A77" s="10">
        <v>5</v>
      </c>
      <c r="B77" s="3"/>
      <c r="C77" s="14" t="s">
        <v>26</v>
      </c>
      <c r="D77" s="14"/>
      <c r="E77" s="15">
        <f>SUM(E71:E75)</f>
        <v>4.6362600000000004E-2</v>
      </c>
    </row>
    <row r="78" spans="1:5" hidden="1" x14ac:dyDescent="0.3">
      <c r="A78" s="10"/>
      <c r="B78" s="3"/>
      <c r="C78" s="14"/>
      <c r="D78" s="14"/>
      <c r="E78" s="16"/>
    </row>
    <row r="79" spans="1:5" hidden="1" x14ac:dyDescent="0.3">
      <c r="A79" s="10">
        <v>6</v>
      </c>
      <c r="B79" s="3"/>
      <c r="C79" s="14" t="s">
        <v>27</v>
      </c>
      <c r="D79" s="14"/>
      <c r="E79" s="16">
        <f>E68-E77</f>
        <v>0.95363739999999997</v>
      </c>
    </row>
    <row r="80" spans="1:5" hidden="1" x14ac:dyDescent="0.3">
      <c r="A80" s="3"/>
      <c r="B80" s="3"/>
      <c r="C80" s="14"/>
      <c r="D80" s="14"/>
      <c r="E80" s="16"/>
    </row>
    <row r="81" spans="1:5" hidden="1" x14ac:dyDescent="0.3">
      <c r="A81" s="10">
        <v>7</v>
      </c>
      <c r="B81" s="3"/>
      <c r="C81" s="14" t="s">
        <v>28</v>
      </c>
      <c r="D81" s="17"/>
      <c r="E81" s="18">
        <f>ROUND(E79*0.35,6)</f>
        <v>0.33377299999999999</v>
      </c>
    </row>
    <row r="82" spans="1:5" hidden="1" x14ac:dyDescent="0.3">
      <c r="A82" s="3"/>
      <c r="B82" s="3"/>
      <c r="C82" s="14"/>
      <c r="D82" s="14"/>
      <c r="E82" s="16"/>
    </row>
    <row r="83" spans="1:5" ht="15" hidden="1" thickBot="1" x14ac:dyDescent="0.35">
      <c r="A83" s="10">
        <v>8</v>
      </c>
      <c r="B83" s="3"/>
      <c r="C83" s="13" t="s">
        <v>29</v>
      </c>
      <c r="D83" s="14"/>
      <c r="E83" s="23">
        <f>ROUND(E79-E81,6)</f>
        <v>0.61986399999999997</v>
      </c>
    </row>
    <row r="84" spans="1:5" hidden="1" x14ac:dyDescent="0.3"/>
    <row r="85" spans="1:5" hidden="1" x14ac:dyDescent="0.3">
      <c r="C85" t="s">
        <v>36</v>
      </c>
    </row>
    <row r="86" spans="1:5" hidden="1" x14ac:dyDescent="0.3">
      <c r="C86" t="s">
        <v>34</v>
      </c>
    </row>
    <row r="87" spans="1:5" hidden="1" x14ac:dyDescent="0.3">
      <c r="C87" t="s">
        <v>37</v>
      </c>
      <c r="E87">
        <f>1/E79</f>
        <v>1.0486165915892141</v>
      </c>
    </row>
    <row r="88" spans="1:5" hidden="1" x14ac:dyDescent="0.3"/>
    <row r="89" spans="1:5" x14ac:dyDescent="0.3">
      <c r="A89" s="1" t="s">
        <v>13</v>
      </c>
      <c r="B89" s="1"/>
      <c r="C89" s="1"/>
      <c r="D89" s="1"/>
      <c r="E89" s="2"/>
    </row>
    <row r="90" spans="1:5" x14ac:dyDescent="0.3">
      <c r="A90" s="1" t="s">
        <v>14</v>
      </c>
      <c r="B90" s="1"/>
      <c r="C90" s="1"/>
      <c r="D90" s="1"/>
      <c r="E90" s="2"/>
    </row>
    <row r="91" spans="1:5" x14ac:dyDescent="0.3">
      <c r="A91" s="1" t="s">
        <v>15</v>
      </c>
      <c r="B91" s="1"/>
      <c r="C91" s="1"/>
      <c r="D91" s="1"/>
      <c r="E91" s="2"/>
    </row>
    <row r="92" spans="1:5" x14ac:dyDescent="0.3">
      <c r="A92" s="1" t="s">
        <v>180</v>
      </c>
      <c r="B92" s="1"/>
      <c r="C92" s="1"/>
      <c r="D92" s="1"/>
      <c r="E92" s="2"/>
    </row>
    <row r="93" spans="1:5" x14ac:dyDescent="0.3">
      <c r="A93" s="3"/>
      <c r="B93" s="3"/>
      <c r="C93" s="3"/>
      <c r="D93" s="3"/>
      <c r="E93" s="4"/>
    </row>
    <row r="94" spans="1:5" x14ac:dyDescent="0.3">
      <c r="A94" s="5" t="s">
        <v>17</v>
      </c>
      <c r="B94" s="5"/>
      <c r="C94" s="5"/>
      <c r="D94" s="5"/>
      <c r="E94" s="6"/>
    </row>
    <row r="95" spans="1:5" x14ac:dyDescent="0.3">
      <c r="A95" s="7" t="s">
        <v>18</v>
      </c>
      <c r="B95" s="5"/>
      <c r="C95" s="7" t="s">
        <v>19</v>
      </c>
      <c r="D95" s="8"/>
      <c r="E95" s="9" t="s">
        <v>20</v>
      </c>
    </row>
    <row r="96" spans="1:5" x14ac:dyDescent="0.3">
      <c r="A96" s="3"/>
      <c r="B96" s="3"/>
      <c r="C96" s="3"/>
      <c r="D96" s="3"/>
      <c r="E96" s="4"/>
    </row>
    <row r="97" spans="1:5" x14ac:dyDescent="0.3">
      <c r="A97" s="10">
        <v>1</v>
      </c>
      <c r="B97" s="3"/>
      <c r="C97" s="11" t="s">
        <v>21</v>
      </c>
      <c r="D97" s="3"/>
      <c r="E97" s="12">
        <v>1</v>
      </c>
    </row>
    <row r="98" spans="1:5" x14ac:dyDescent="0.3">
      <c r="A98" s="10"/>
      <c r="B98" s="3"/>
      <c r="C98" s="3"/>
      <c r="D98" s="3"/>
      <c r="E98" s="12"/>
    </row>
    <row r="99" spans="1:5" x14ac:dyDescent="0.3">
      <c r="A99" s="10"/>
      <c r="B99" s="3"/>
      <c r="C99" s="13" t="s">
        <v>22</v>
      </c>
      <c r="D99" s="14"/>
      <c r="E99" s="12"/>
    </row>
    <row r="100" spans="1:5" x14ac:dyDescent="0.3">
      <c r="A100" s="10">
        <v>2</v>
      </c>
      <c r="B100" s="3"/>
      <c r="C100" s="14" t="s">
        <v>23</v>
      </c>
      <c r="D100" s="14"/>
      <c r="E100" s="101">
        <v>5.0109999999999998E-3</v>
      </c>
    </row>
    <row r="101" spans="1:5" x14ac:dyDescent="0.3">
      <c r="A101" s="10"/>
      <c r="B101" s="3"/>
      <c r="C101" s="14"/>
      <c r="D101" s="14"/>
      <c r="E101" s="101"/>
    </row>
    <row r="102" spans="1:5" x14ac:dyDescent="0.3">
      <c r="A102" s="10">
        <v>3</v>
      </c>
      <c r="B102" s="3"/>
      <c r="C102" s="14" t="s">
        <v>24</v>
      </c>
      <c r="D102" s="14"/>
      <c r="E102" s="101">
        <v>2E-3</v>
      </c>
    </row>
    <row r="103" spans="1:5" x14ac:dyDescent="0.3">
      <c r="A103" s="10"/>
      <c r="B103" s="3"/>
      <c r="C103" s="14"/>
      <c r="D103" s="14"/>
      <c r="E103" s="101"/>
    </row>
    <row r="104" spans="1:5" x14ac:dyDescent="0.3">
      <c r="A104" s="10">
        <v>4</v>
      </c>
      <c r="B104" s="3"/>
      <c r="C104" s="14" t="s">
        <v>25</v>
      </c>
      <c r="D104" s="14"/>
      <c r="E104" s="101">
        <v>3.8539999999999998E-2</v>
      </c>
    </row>
    <row r="105" spans="1:5" x14ac:dyDescent="0.3">
      <c r="A105" s="10"/>
      <c r="B105" s="3"/>
      <c r="C105" s="14"/>
      <c r="D105" s="14"/>
      <c r="E105" s="14"/>
    </row>
    <row r="106" spans="1:5" x14ac:dyDescent="0.3">
      <c r="A106" s="10">
        <v>5</v>
      </c>
      <c r="B106" s="3"/>
      <c r="C106" s="14" t="s">
        <v>26</v>
      </c>
      <c r="D106" s="14"/>
      <c r="E106" s="15">
        <f>SUM(E100:E105)</f>
        <v>4.5550999999999994E-2</v>
      </c>
    </row>
    <row r="107" spans="1:5" x14ac:dyDescent="0.3">
      <c r="A107" s="3"/>
      <c r="B107" s="3"/>
      <c r="C107" s="14"/>
      <c r="D107" s="14"/>
      <c r="E107" s="16"/>
    </row>
    <row r="108" spans="1:5" x14ac:dyDescent="0.3">
      <c r="A108" s="10">
        <v>6</v>
      </c>
      <c r="B108" s="3"/>
      <c r="C108" s="14" t="s">
        <v>27</v>
      </c>
      <c r="D108" s="14"/>
      <c r="E108" s="16">
        <f>E97-E106</f>
        <v>0.95444899999999999</v>
      </c>
    </row>
    <row r="109" spans="1:5" x14ac:dyDescent="0.3">
      <c r="A109" s="3"/>
      <c r="B109" s="3"/>
      <c r="C109" s="14"/>
      <c r="D109" s="14"/>
      <c r="E109" s="16"/>
    </row>
    <row r="110" spans="1:5" x14ac:dyDescent="0.3">
      <c r="A110" s="10">
        <v>7</v>
      </c>
      <c r="B110" s="3"/>
      <c r="C110" s="14" t="s">
        <v>28</v>
      </c>
      <c r="D110" s="17"/>
      <c r="E110" s="18">
        <f>ROUND(E108*0.35,6)</f>
        <v>0.33405699999999999</v>
      </c>
    </row>
    <row r="111" spans="1:5" x14ac:dyDescent="0.3">
      <c r="A111" s="3"/>
      <c r="B111" s="3"/>
      <c r="C111" s="14"/>
      <c r="D111" s="14"/>
      <c r="E111" s="16"/>
    </row>
    <row r="112" spans="1:5" ht="15" thickBot="1" x14ac:dyDescent="0.35">
      <c r="A112" s="10">
        <v>8</v>
      </c>
      <c r="B112" s="3"/>
      <c r="C112" s="13" t="s">
        <v>29</v>
      </c>
      <c r="D112" s="14"/>
      <c r="E112" s="24">
        <f>ROUND(E108-E110,6)</f>
        <v>0.62039200000000005</v>
      </c>
    </row>
    <row r="113" spans="1:5" ht="15" thickTop="1" x14ac:dyDescent="0.3">
      <c r="A113" s="3"/>
      <c r="B113" s="3"/>
      <c r="C113" s="3"/>
      <c r="D113" s="3"/>
      <c r="E113" s="4"/>
    </row>
    <row r="114" spans="1:5" x14ac:dyDescent="0.3">
      <c r="A114" s="75">
        <v>9</v>
      </c>
      <c r="C114" t="s">
        <v>37</v>
      </c>
      <c r="E114">
        <f>ROUND(1/E108,6)</f>
        <v>1.047725</v>
      </c>
    </row>
    <row r="116" spans="1:5" x14ac:dyDescent="0.3">
      <c r="A116" t="s">
        <v>181</v>
      </c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9">
    <mergeCell ref="A61:E61"/>
    <mergeCell ref="A62:E62"/>
    <mergeCell ref="A63:E63"/>
    <mergeCell ref="A32:E32"/>
    <mergeCell ref="A2:E2"/>
    <mergeCell ref="A3:E3"/>
    <mergeCell ref="A4:E4"/>
    <mergeCell ref="A31:E31"/>
    <mergeCell ref="A33:E33"/>
  </mergeCells>
  <printOptions horizontalCentered="1"/>
  <pageMargins left="0.7" right="0.7" top="0.75" bottom="0.75" header="0.3" footer="0.3"/>
  <pageSetup orientation="portrait" r:id="rId3"/>
  <headerFooter>
    <oddFooter>&amp;CATTACHMENT A&amp;RPage 8 of 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1:M38"/>
  <sheetViews>
    <sheetView tabSelected="1" topLeftCell="A66" zoomScaleNormal="100" workbookViewId="0">
      <selection activeCell="B83" sqref="B83"/>
    </sheetView>
  </sheetViews>
  <sheetFormatPr defaultRowHeight="14.4" x14ac:dyDescent="0.3"/>
  <cols>
    <col min="1" max="1" width="2.109375" customWidth="1"/>
    <col min="2" max="2" width="23.33203125" customWidth="1"/>
    <col min="3" max="3" width="8.44140625" customWidth="1"/>
    <col min="4" max="4" width="13.77734375" customWidth="1"/>
    <col min="5" max="5" width="10" customWidth="1"/>
    <col min="6" max="6" width="13.109375" customWidth="1"/>
    <col min="7" max="7" width="13.21875" customWidth="1"/>
    <col min="8" max="8" width="12.33203125" customWidth="1"/>
    <col min="9" max="9" width="11.44140625" customWidth="1"/>
    <col min="10" max="10" width="12.33203125" customWidth="1"/>
    <col min="11" max="11" width="1.6640625" customWidth="1"/>
    <col min="12" max="12" width="13.21875" customWidth="1"/>
    <col min="13" max="13" width="7.77734375" customWidth="1"/>
  </cols>
  <sheetData>
    <row r="1" spans="2:13" x14ac:dyDescent="0.3">
      <c r="B1" t="s">
        <v>0</v>
      </c>
    </row>
    <row r="2" spans="2:13" x14ac:dyDescent="0.3">
      <c r="B2" t="s">
        <v>129</v>
      </c>
    </row>
    <row r="3" spans="2:13" x14ac:dyDescent="0.3">
      <c r="B3" t="s">
        <v>182</v>
      </c>
    </row>
    <row r="4" spans="2:13" x14ac:dyDescent="0.3">
      <c r="B4" t="s">
        <v>41</v>
      </c>
    </row>
    <row r="6" spans="2:13" x14ac:dyDescent="0.3">
      <c r="D6" s="104" t="s">
        <v>130</v>
      </c>
      <c r="E6" s="104" t="s">
        <v>131</v>
      </c>
      <c r="F6" s="104" t="s">
        <v>132</v>
      </c>
      <c r="G6" s="104" t="s">
        <v>133</v>
      </c>
      <c r="H6" s="104" t="s">
        <v>134</v>
      </c>
      <c r="I6" s="104" t="s">
        <v>134</v>
      </c>
      <c r="J6" s="104" t="s">
        <v>135</v>
      </c>
      <c r="L6" s="104" t="s">
        <v>132</v>
      </c>
    </row>
    <row r="7" spans="2:13" x14ac:dyDescent="0.3">
      <c r="B7" s="105" t="s">
        <v>136</v>
      </c>
      <c r="C7" s="105" t="s">
        <v>137</v>
      </c>
      <c r="D7" s="104" t="s">
        <v>138</v>
      </c>
      <c r="E7" s="104" t="s">
        <v>130</v>
      </c>
      <c r="F7" s="104" t="s">
        <v>130</v>
      </c>
      <c r="G7" s="104" t="s">
        <v>130</v>
      </c>
      <c r="H7" s="104" t="s">
        <v>130</v>
      </c>
      <c r="I7" s="104" t="s">
        <v>130</v>
      </c>
      <c r="J7" s="104" t="s">
        <v>139</v>
      </c>
      <c r="L7" s="104" t="s">
        <v>140</v>
      </c>
    </row>
    <row r="8" spans="2:13" x14ac:dyDescent="0.3">
      <c r="B8" s="106" t="s">
        <v>141</v>
      </c>
      <c r="C8" s="106" t="s">
        <v>142</v>
      </c>
      <c r="D8" s="107" t="s">
        <v>143</v>
      </c>
      <c r="E8" s="107" t="s">
        <v>139</v>
      </c>
      <c r="F8" s="107" t="s">
        <v>144</v>
      </c>
      <c r="G8" s="107" t="s">
        <v>194</v>
      </c>
      <c r="H8" s="107" t="s">
        <v>144</v>
      </c>
      <c r="I8" s="107" t="s">
        <v>139</v>
      </c>
      <c r="J8" s="108" t="s">
        <v>145</v>
      </c>
      <c r="L8" s="109" t="s">
        <v>144</v>
      </c>
    </row>
    <row r="9" spans="2:13" x14ac:dyDescent="0.3">
      <c r="B9" s="105" t="s">
        <v>146</v>
      </c>
      <c r="C9" s="105" t="s">
        <v>147</v>
      </c>
      <c r="D9" s="105" t="s">
        <v>148</v>
      </c>
      <c r="E9" s="105" t="s">
        <v>149</v>
      </c>
      <c r="F9" s="105" t="s">
        <v>150</v>
      </c>
      <c r="G9" s="105" t="s">
        <v>151</v>
      </c>
      <c r="H9" s="105" t="s">
        <v>152</v>
      </c>
      <c r="I9" s="105" t="s">
        <v>153</v>
      </c>
      <c r="J9" s="109" t="s">
        <v>154</v>
      </c>
    </row>
    <row r="10" spans="2:13" x14ac:dyDescent="0.3">
      <c r="B10" s="110"/>
      <c r="C10" s="105"/>
    </row>
    <row r="11" spans="2:13" x14ac:dyDescent="0.3">
      <c r="B11" s="132" t="s">
        <v>114</v>
      </c>
      <c r="C11" s="133" t="s">
        <v>155</v>
      </c>
      <c r="D11" s="128">
        <f>SUM('wp6 14 18 Forecast Usage by Sch'!C10:C21)</f>
        <v>2384168302.1545558</v>
      </c>
      <c r="E11" s="134">
        <v>4.45E-3</v>
      </c>
      <c r="F11" s="135">
        <f>D11*E11</f>
        <v>10609548.944587773</v>
      </c>
      <c r="G11" s="136">
        <f>H11-F11</f>
        <v>-13375184.175087057</v>
      </c>
      <c r="H11" s="129">
        <f>D11*I11</f>
        <v>-2765635.2304992848</v>
      </c>
      <c r="I11" s="114">
        <v>-1.16E-3</v>
      </c>
      <c r="J11" s="137">
        <f>ROUND(I11-E11,5)</f>
        <v>-5.6100000000000004E-3</v>
      </c>
      <c r="K11" s="44"/>
      <c r="L11" s="136">
        <f>231219047</f>
        <v>231219047</v>
      </c>
      <c r="M11" s="131">
        <f>G11/L11</f>
        <v>-5.7846377055118026E-2</v>
      </c>
    </row>
    <row r="12" spans="2:13" x14ac:dyDescent="0.3">
      <c r="B12" s="110"/>
      <c r="C12" s="105"/>
      <c r="F12" s="45"/>
      <c r="G12" s="45"/>
      <c r="H12" s="38"/>
      <c r="I12" s="114"/>
      <c r="J12" s="115"/>
      <c r="L12" s="65"/>
      <c r="M12" s="36"/>
    </row>
    <row r="13" spans="2:13" x14ac:dyDescent="0.3">
      <c r="B13" s="110" t="s">
        <v>156</v>
      </c>
      <c r="C13" s="116" t="s">
        <v>157</v>
      </c>
      <c r="D13" s="112">
        <f>SUM('wp6 14 18 Forecast Usage by Sch'!D10:E21)</f>
        <v>626441376.37971902</v>
      </c>
      <c r="E13" s="113">
        <v>4.0000000000000002E-4</v>
      </c>
      <c r="F13" s="45">
        <f t="shared" ref="F13:F17" si="0">D13*E13</f>
        <v>250576.55055188763</v>
      </c>
      <c r="G13" s="45">
        <f>H13-F13</f>
        <v>87701.79269316062</v>
      </c>
      <c r="H13" s="38">
        <f>D13*I13</f>
        <v>338278.34324504825</v>
      </c>
      <c r="I13" s="114">
        <v>5.4000000000000001E-4</v>
      </c>
      <c r="J13" s="115">
        <f t="shared" ref="J13:J17" si="1">I13-E13</f>
        <v>1.3999999999999999E-4</v>
      </c>
      <c r="L13" s="65">
        <v>77951257</v>
      </c>
      <c r="M13" s="36">
        <f t="shared" ref="M13:M25" si="2">G13/L13</f>
        <v>1.1250850347821924E-3</v>
      </c>
    </row>
    <row r="14" spans="2:13" x14ac:dyDescent="0.3">
      <c r="B14" s="110"/>
      <c r="C14" s="105"/>
      <c r="F14" s="45"/>
      <c r="G14" s="45"/>
      <c r="H14" s="38"/>
      <c r="I14" s="114"/>
      <c r="J14" s="115"/>
      <c r="L14" s="65"/>
      <c r="M14" s="36"/>
    </row>
    <row r="15" spans="2:13" x14ac:dyDescent="0.3">
      <c r="B15" s="110" t="s">
        <v>158</v>
      </c>
      <c r="C15" s="111" t="s">
        <v>159</v>
      </c>
      <c r="D15" s="112">
        <f>SUM('wp6 14 18 Forecast Usage by Sch'!F10:G21)</f>
        <v>1399790113.1168194</v>
      </c>
      <c r="E15" s="113">
        <v>4.0000000000000002E-4</v>
      </c>
      <c r="F15" s="45">
        <f t="shared" si="0"/>
        <v>559916.04524672776</v>
      </c>
      <c r="G15" s="45">
        <f>H15-F15</f>
        <v>195970.61583635467</v>
      </c>
      <c r="H15" s="38">
        <f>D15*I15</f>
        <v>755886.66108308244</v>
      </c>
      <c r="I15" s="114">
        <v>5.4000000000000001E-4</v>
      </c>
      <c r="J15" s="115">
        <f t="shared" si="1"/>
        <v>1.3999999999999999E-4</v>
      </c>
      <c r="L15" s="65">
        <v>131676803</v>
      </c>
      <c r="M15" s="36">
        <f t="shared" si="2"/>
        <v>1.4882698499017681E-3</v>
      </c>
    </row>
    <row r="16" spans="2:13" x14ac:dyDescent="0.3">
      <c r="B16" s="110"/>
      <c r="C16" s="105"/>
      <c r="F16" s="45"/>
      <c r="G16" s="45"/>
      <c r="H16" s="38"/>
      <c r="I16" s="114"/>
      <c r="J16" s="115"/>
      <c r="L16" s="65"/>
      <c r="M16" s="36"/>
    </row>
    <row r="17" spans="2:13" x14ac:dyDescent="0.3">
      <c r="B17" s="110" t="s">
        <v>160</v>
      </c>
      <c r="C17" s="111" t="s">
        <v>161</v>
      </c>
      <c r="D17" s="112">
        <f>SUM('wp6 14 18 Forecast Usage by Sch'!I10:J21)</f>
        <v>142223975.70466557</v>
      </c>
      <c r="E17" s="113">
        <v>4.0000000000000002E-4</v>
      </c>
      <c r="F17" s="45">
        <f t="shared" si="0"/>
        <v>56889.590281866229</v>
      </c>
      <c r="G17" s="45">
        <f>H17-F17</f>
        <v>19911.356598653176</v>
      </c>
      <c r="H17" s="38">
        <f>D17*I17</f>
        <v>76800.946880519405</v>
      </c>
      <c r="I17" s="114">
        <v>5.4000000000000001E-4</v>
      </c>
      <c r="J17" s="115">
        <f t="shared" si="1"/>
        <v>1.3999999999999999E-4</v>
      </c>
      <c r="L17" s="65">
        <v>11753375</v>
      </c>
      <c r="M17" s="36">
        <f t="shared" si="2"/>
        <v>1.6940969379989302E-3</v>
      </c>
    </row>
    <row r="18" spans="2:13" x14ac:dyDescent="0.3">
      <c r="B18" s="110"/>
      <c r="C18" s="111"/>
      <c r="D18" s="112"/>
      <c r="E18" s="113"/>
      <c r="F18" s="45"/>
      <c r="G18" s="45"/>
      <c r="H18" s="38"/>
      <c r="I18" s="114"/>
      <c r="J18" s="115"/>
      <c r="L18" s="65"/>
      <c r="M18" s="36"/>
    </row>
    <row r="19" spans="2:13" x14ac:dyDescent="0.3">
      <c r="B19" s="110" t="s">
        <v>162</v>
      </c>
      <c r="C19" s="111">
        <v>25</v>
      </c>
      <c r="D19" s="117" t="s">
        <v>163</v>
      </c>
      <c r="E19" s="113"/>
      <c r="F19" s="45"/>
      <c r="G19" s="45"/>
      <c r="H19" s="38"/>
      <c r="I19" s="114"/>
      <c r="J19" s="115"/>
      <c r="L19" s="65">
        <v>67667531</v>
      </c>
      <c r="M19" s="36">
        <v>0</v>
      </c>
    </row>
    <row r="20" spans="2:13" x14ac:dyDescent="0.3">
      <c r="B20" s="110"/>
      <c r="C20" s="111"/>
      <c r="D20" s="117"/>
      <c r="E20" s="113"/>
      <c r="F20" s="45"/>
      <c r="G20" s="45"/>
      <c r="H20" s="38"/>
      <c r="I20" s="114"/>
      <c r="J20" s="115"/>
      <c r="L20" s="65"/>
      <c r="M20" s="36"/>
    </row>
    <row r="21" spans="2:13" x14ac:dyDescent="0.3">
      <c r="B21" s="110" t="s">
        <v>164</v>
      </c>
      <c r="C21" s="111" t="s">
        <v>165</v>
      </c>
      <c r="D21" s="117" t="s">
        <v>163</v>
      </c>
      <c r="E21" s="113"/>
      <c r="F21" s="45"/>
      <c r="G21" s="45"/>
      <c r="H21" s="38"/>
      <c r="I21" s="114"/>
      <c r="J21" s="115"/>
      <c r="L21" s="65">
        <v>6776437</v>
      </c>
      <c r="M21" s="36">
        <v>0</v>
      </c>
    </row>
    <row r="22" spans="2:13" x14ac:dyDescent="0.3">
      <c r="B22" s="110"/>
      <c r="C22" s="105"/>
      <c r="L22" s="45"/>
      <c r="M22" s="36"/>
    </row>
    <row r="23" spans="2:13" x14ac:dyDescent="0.3">
      <c r="B23" s="118" t="s">
        <v>56</v>
      </c>
      <c r="C23" s="105"/>
      <c r="D23" s="112">
        <f>SUM(D11:D17)</f>
        <v>4552623767.3557596</v>
      </c>
      <c r="F23" s="38">
        <f>SUM(F11:F17)</f>
        <v>11476931.130668255</v>
      </c>
      <c r="G23" s="38">
        <f>SUM(G11:G17)</f>
        <v>-13071600.40995889</v>
      </c>
      <c r="H23" s="38">
        <f>SUM(H11:H17)</f>
        <v>-1594669.2792906349</v>
      </c>
      <c r="L23" s="119">
        <f>SUM(L11:L21)</f>
        <v>527044450</v>
      </c>
      <c r="M23" s="36">
        <f t="shared" si="2"/>
        <v>-2.4801703935899314E-2</v>
      </c>
    </row>
    <row r="25" spans="2:13" x14ac:dyDescent="0.3">
      <c r="B25" s="44" t="s">
        <v>166</v>
      </c>
      <c r="D25" s="128">
        <f>SUM(D13:D17)</f>
        <v>2168455465.2012038</v>
      </c>
      <c r="E25" s="44"/>
      <c r="F25" s="129">
        <f>SUM(F13:F17)</f>
        <v>867382.18608048162</v>
      </c>
      <c r="G25" s="130">
        <f t="shared" ref="G25:H25" si="3">SUM(G13:G17)</f>
        <v>303583.76512816845</v>
      </c>
      <c r="H25" s="129">
        <f t="shared" si="3"/>
        <v>1170965.9512086501</v>
      </c>
      <c r="I25" s="44"/>
      <c r="J25" s="44"/>
      <c r="K25" s="44"/>
      <c r="L25" s="129">
        <f t="shared" ref="L25" si="4">SUM(L13:L17)</f>
        <v>221381435</v>
      </c>
      <c r="M25" s="131">
        <f t="shared" si="2"/>
        <v>1.3713153730716781E-3</v>
      </c>
    </row>
    <row r="27" spans="2:13" x14ac:dyDescent="0.3">
      <c r="G27" s="36"/>
      <c r="H27" s="104" t="s">
        <v>167</v>
      </c>
      <c r="J27" s="141" t="s">
        <v>168</v>
      </c>
      <c r="K27" s="120"/>
    </row>
    <row r="28" spans="2:13" x14ac:dyDescent="0.3">
      <c r="G28" s="121"/>
      <c r="H28" s="122" t="s">
        <v>169</v>
      </c>
      <c r="I28" s="123">
        <v>9</v>
      </c>
      <c r="J28" s="123">
        <f>I28</f>
        <v>9</v>
      </c>
      <c r="K28" s="120"/>
      <c r="L28" s="96"/>
    </row>
    <row r="29" spans="2:13" x14ac:dyDescent="0.3">
      <c r="G29" s="36"/>
      <c r="H29" s="122" t="s">
        <v>170</v>
      </c>
      <c r="I29" s="47">
        <v>8.1699999999999995E-2</v>
      </c>
      <c r="J29" s="123">
        <f>ROUND(800*I29,2)</f>
        <v>65.36</v>
      </c>
    </row>
    <row r="30" spans="2:13" x14ac:dyDescent="0.3">
      <c r="H30" s="122" t="s">
        <v>171</v>
      </c>
      <c r="I30" s="47">
        <v>9.4020000000000006E-2</v>
      </c>
      <c r="J30" s="142">
        <f>ROUND(138*I30,2)</f>
        <v>12.97</v>
      </c>
    </row>
    <row r="31" spans="2:13" x14ac:dyDescent="0.3">
      <c r="H31" s="122" t="s">
        <v>172</v>
      </c>
      <c r="I31" s="47">
        <v>0.10913</v>
      </c>
      <c r="J31" s="123">
        <f>ROUND(0*I31,2)</f>
        <v>0</v>
      </c>
    </row>
    <row r="32" spans="2:13" x14ac:dyDescent="0.3">
      <c r="H32" s="104" t="s">
        <v>183</v>
      </c>
      <c r="J32" s="124">
        <f>SUM(J28:J31)</f>
        <v>87.33</v>
      </c>
    </row>
    <row r="33" spans="8:12" x14ac:dyDescent="0.3">
      <c r="H33" s="122" t="s">
        <v>173</v>
      </c>
      <c r="I33" s="115">
        <f>J11</f>
        <v>-5.6100000000000004E-3</v>
      </c>
      <c r="J33" s="142">
        <f>ROUND(I33*938,2)</f>
        <v>-5.26</v>
      </c>
    </row>
    <row r="34" spans="8:12" x14ac:dyDescent="0.3">
      <c r="H34" s="104" t="s">
        <v>174</v>
      </c>
      <c r="J34" s="124">
        <f>J32+J33</f>
        <v>82.07</v>
      </c>
      <c r="L34" s="120"/>
    </row>
    <row r="35" spans="8:12" x14ac:dyDescent="0.3">
      <c r="H35" s="104" t="s">
        <v>191</v>
      </c>
      <c r="J35" s="36">
        <f>J33/J32</f>
        <v>-6.0231306538417496E-2</v>
      </c>
    </row>
    <row r="36" spans="8:12" x14ac:dyDescent="0.3">
      <c r="J36" s="125"/>
    </row>
    <row r="37" spans="8:12" x14ac:dyDescent="0.3">
      <c r="J37" s="125"/>
    </row>
    <row r="38" spans="8:12" x14ac:dyDescent="0.3">
      <c r="J38" s="96"/>
      <c r="L38" s="36"/>
    </row>
  </sheetData>
  <printOptions horizontalCentered="1"/>
  <pageMargins left="0.45" right="0.45" top="0.75" bottom="0.75" header="0.3" footer="0.55000000000000004"/>
  <pageSetup scale="90" orientation="landscape" r:id="rId1"/>
  <headerFooter>
    <oddFooter>&amp;CATTACHMENT A&amp;RPage 9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F76D97CE6385419569574D0F429477" ma:contentTypeVersion="76" ma:contentTypeDescription="" ma:contentTypeScope="" ma:versionID="c4ea5ede09f6f815be440764eea04cc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2018-08-17T07:00:00+00:00</OpenedDate>
    <SignificantOrder xmlns="dc463f71-b30c-4ab2-9473-d307f9d35888">false</SignificantOrder>
    <Date1 xmlns="dc463f71-b30c-4ab2-9473-d307f9d35888">2018-08-17T07:00:00+00:00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180702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EF1184-9050-46CD-9936-E38929484151}"/>
</file>

<file path=customXml/itemProps2.xml><?xml version="1.0" encoding="utf-8"?>
<ds:datastoreItem xmlns:ds="http://schemas.openxmlformats.org/officeDocument/2006/customXml" ds:itemID="{CD081B31-BF13-4A35-BF0D-AAB411504B7D}"/>
</file>

<file path=customXml/itemProps3.xml><?xml version="1.0" encoding="utf-8"?>
<ds:datastoreItem xmlns:ds="http://schemas.openxmlformats.org/officeDocument/2006/customXml" ds:itemID="{CA6775EF-D8EC-4A8B-AFB6-D371FFABE5FF}"/>
</file>

<file path=customXml/itemProps4.xml><?xml version="1.0" encoding="utf-8"?>
<ds:datastoreItem xmlns:ds="http://schemas.openxmlformats.org/officeDocument/2006/customXml" ds:itemID="{81090E19-B271-4267-8B0E-765CBDF84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wp6 14 18 Forecast Usage by Sch</vt:lpstr>
      <vt:lpstr>Electric 2018 Rate Calc</vt:lpstr>
      <vt:lpstr>Prior Year Amortization</vt:lpstr>
      <vt:lpstr>Earnings Test and 3% Test</vt:lpstr>
      <vt:lpstr>Conversion Factor</vt:lpstr>
      <vt:lpstr>Bill Impact</vt:lpstr>
      <vt:lpstr>'Conversion Factor'!Print_Area</vt:lpstr>
      <vt:lpstr>'Earnings Test and 3% Test'!Print_Area</vt:lpstr>
      <vt:lpstr>'Electric 2018 Rate Calc'!Print_Area</vt:lpstr>
      <vt:lpstr>'Prior Year Amortization'!Print_Area</vt:lpstr>
      <vt:lpstr>'Earnings Test and 3% Test'!Print_Titles</vt:lpstr>
      <vt:lpstr>'Electric 2018 Rate Calc'!Print_Titles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2018-08-14T16:09:09Z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0x0101006E56B4D1795A2E4DB2F0B01679ED314A004AF76D97CE6385419569574D0F429477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