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905" windowWidth="23070" windowHeight="4950"/>
  </bookViews>
  <sheets>
    <sheet name="Tariff Sheets" sheetId="14" r:id="rId1"/>
    <sheet name="Blended Summary" sheetId="9" r:id="rId2"/>
    <sheet name="Blended Calculation (R)" sheetId="7" r:id="rId3"/>
    <sheet name="Inputs-----&gt;" sheetId="13" r:id="rId4"/>
    <sheet name="Cost of Capital" sheetId="12" r:id="rId5"/>
    <sheet name="Losses" sheetId="11" r:id="rId6"/>
    <sheet name="RevTax" sheetId="10" r:id="rId7"/>
    <sheet name="Admin. Costs (R)" sheetId="5" r:id="rId8"/>
  </sheets>
  <definedNames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MARGIN_WO_QTR." localSheetId="0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localSheetId="0" hidden="1">{#N/A,#N/A,FALSE,"2002 Small Tool OH";#N/A,#N/A,FALSE,"QA"}</definedName>
    <definedName name="wrn.Small._.Tools._.Overhead." hidden="1">{#N/A,#N/A,FALSE,"2002 Small Tool OH";#N/A,#N/A,FALSE,"QA"}</definedName>
  </definedNames>
  <calcPr calcId="145621"/>
</workbook>
</file>

<file path=xl/calcChain.xml><?xml version="1.0" encoding="utf-8"?>
<calcChain xmlns="http://schemas.openxmlformats.org/spreadsheetml/2006/main">
  <c r="B8" i="9" l="1"/>
  <c r="B3" i="9"/>
  <c r="F19" i="12" l="1"/>
  <c r="E18" i="12"/>
  <c r="F18" i="12" s="1"/>
  <c r="F20" i="12" s="1"/>
  <c r="F15" i="12"/>
  <c r="F14" i="12"/>
  <c r="F16" i="12" s="1"/>
  <c r="F69" i="14" l="1"/>
  <c r="F66" i="14"/>
  <c r="F60" i="14"/>
  <c r="F57" i="14"/>
  <c r="F54" i="14"/>
  <c r="F45" i="14"/>
  <c r="F42" i="14"/>
  <c r="F39" i="14"/>
  <c r="F34" i="14"/>
  <c r="F31" i="14"/>
  <c r="F25" i="14"/>
  <c r="F22" i="14"/>
  <c r="F19" i="14"/>
  <c r="F14" i="14"/>
  <c r="F11" i="14"/>
  <c r="F8" i="14"/>
  <c r="F5" i="14"/>
  <c r="E69" i="14"/>
  <c r="E66" i="14"/>
  <c r="E60" i="14"/>
  <c r="E57" i="14"/>
  <c r="E54" i="14"/>
  <c r="E45" i="14"/>
  <c r="E42" i="14"/>
  <c r="E39" i="14"/>
  <c r="E34" i="14"/>
  <c r="E31" i="14"/>
  <c r="E25" i="14"/>
  <c r="E22" i="14"/>
  <c r="E19" i="14"/>
  <c r="E14" i="14"/>
  <c r="E11" i="14"/>
  <c r="E8" i="14"/>
  <c r="E5" i="14"/>
  <c r="D69" i="14"/>
  <c r="D66" i="14"/>
  <c r="D60" i="14"/>
  <c r="D57" i="14"/>
  <c r="D54" i="14"/>
  <c r="D48" i="14"/>
  <c r="D45" i="14"/>
  <c r="D42" i="14"/>
  <c r="D39" i="14"/>
  <c r="D34" i="14"/>
  <c r="D31" i="14"/>
  <c r="D25" i="14"/>
  <c r="D22" i="14"/>
  <c r="D19" i="14"/>
  <c r="D14" i="14"/>
  <c r="D11" i="14"/>
  <c r="D8" i="14"/>
  <c r="D5" i="14"/>
  <c r="C69" i="14"/>
  <c r="C66" i="14"/>
  <c r="C60" i="14"/>
  <c r="C57" i="14"/>
  <c r="C54" i="14"/>
  <c r="C48" i="14"/>
  <c r="C45" i="14"/>
  <c r="C42" i="14"/>
  <c r="C39" i="14"/>
  <c r="C34" i="14"/>
  <c r="C31" i="14"/>
  <c r="C25" i="14"/>
  <c r="C22" i="14"/>
  <c r="C19" i="14"/>
  <c r="C14" i="14"/>
  <c r="C11" i="14"/>
  <c r="C8" i="14"/>
  <c r="C5" i="14"/>
  <c r="B69" i="14"/>
  <c r="B66" i="14"/>
  <c r="B60" i="14"/>
  <c r="B57" i="14"/>
  <c r="B54" i="14"/>
  <c r="B48" i="14"/>
  <c r="B45" i="14"/>
  <c r="B42" i="14"/>
  <c r="B39" i="14"/>
  <c r="B34" i="14"/>
  <c r="B31" i="14"/>
  <c r="B25" i="14"/>
  <c r="B22" i="14"/>
  <c r="B19" i="14"/>
  <c r="B14" i="14"/>
  <c r="B11" i="14"/>
  <c r="B8" i="14"/>
  <c r="B5" i="14"/>
  <c r="G57" i="11" l="1"/>
  <c r="D57" i="11"/>
  <c r="B57" i="11"/>
  <c r="G56" i="11"/>
  <c r="D56" i="11"/>
  <c r="D58" i="11" s="1"/>
  <c r="B56" i="11"/>
  <c r="G55" i="11"/>
  <c r="G58" i="11" s="1"/>
  <c r="D55" i="11"/>
  <c r="B55" i="11"/>
  <c r="D47" i="11"/>
  <c r="B47" i="11"/>
  <c r="F45" i="11"/>
  <c r="E45" i="11"/>
  <c r="E44" i="11"/>
  <c r="E43" i="11"/>
  <c r="F43" i="11" s="1"/>
  <c r="G38" i="11"/>
  <c r="D38" i="11"/>
  <c r="C38" i="11"/>
  <c r="C29" i="11" s="1"/>
  <c r="B38" i="11"/>
  <c r="C36" i="11"/>
  <c r="C28" i="11"/>
  <c r="J11" i="11"/>
  <c r="B11" i="11"/>
  <c r="B10" i="11"/>
  <c r="B9" i="11"/>
  <c r="I38" i="11" s="1"/>
  <c r="E29" i="11" l="1"/>
  <c r="F29" i="11" s="1"/>
  <c r="H29" i="11" s="1"/>
  <c r="E28" i="11"/>
  <c r="F28" i="11" s="1"/>
  <c r="H28" i="11" s="1"/>
  <c r="E36" i="11"/>
  <c r="F36" i="11" s="1"/>
  <c r="H36" i="11" s="1"/>
  <c r="E47" i="11"/>
  <c r="F47" i="11" s="1"/>
  <c r="F44" i="11"/>
  <c r="C25" i="11"/>
  <c r="C33" i="11"/>
  <c r="K38" i="11"/>
  <c r="C24" i="11"/>
  <c r="C32" i="11"/>
  <c r="B58" i="11"/>
  <c r="C34" i="11"/>
  <c r="C30" i="11"/>
  <c r="C26" i="11"/>
  <c r="J9" i="11"/>
  <c r="C35" i="11"/>
  <c r="C31" i="11"/>
  <c r="C27" i="11"/>
  <c r="J10" i="11"/>
  <c r="E34" i="11" l="1"/>
  <c r="F34" i="11" s="1"/>
  <c r="H34" i="11" s="1"/>
  <c r="J12" i="11"/>
  <c r="E32" i="11"/>
  <c r="F32" i="11" s="1"/>
  <c r="H32" i="11" s="1"/>
  <c r="E27" i="11"/>
  <c r="F27" i="11" s="1"/>
  <c r="H27" i="11" s="1"/>
  <c r="E26" i="11"/>
  <c r="F26" i="11" s="1"/>
  <c r="H26" i="11" s="1"/>
  <c r="E24" i="11"/>
  <c r="E31" i="11"/>
  <c r="F31" i="11" s="1"/>
  <c r="H31" i="11" s="1"/>
  <c r="E30" i="11"/>
  <c r="F30" i="11" s="1"/>
  <c r="H30" i="11" s="1"/>
  <c r="C56" i="11"/>
  <c r="E35" i="11"/>
  <c r="F35" i="11" s="1"/>
  <c r="H35" i="11" s="1"/>
  <c r="C57" i="11"/>
  <c r="E33" i="11"/>
  <c r="F33" i="11" s="1"/>
  <c r="H33" i="11" s="1"/>
  <c r="E25" i="11"/>
  <c r="F25" i="11" s="1"/>
  <c r="H25" i="11" s="1"/>
  <c r="C55" i="11"/>
  <c r="E57" i="11" l="1"/>
  <c r="F57" i="11" s="1"/>
  <c r="H56" i="11"/>
  <c r="C58" i="11"/>
  <c r="E55" i="11"/>
  <c r="H57" i="11"/>
  <c r="E56" i="11"/>
  <c r="F56" i="11" s="1"/>
  <c r="E38" i="11"/>
  <c r="F38" i="11" s="1"/>
  <c r="F24" i="11"/>
  <c r="H24" i="11" s="1"/>
  <c r="H38" i="11" l="1"/>
  <c r="I24" i="11" s="1"/>
  <c r="H55" i="11"/>
  <c r="H58" i="11" s="1"/>
  <c r="E58" i="11"/>
  <c r="F55" i="11"/>
  <c r="K24" i="11" l="1"/>
  <c r="J24" i="11"/>
  <c r="I28" i="11"/>
  <c r="I29" i="11"/>
  <c r="I36" i="11"/>
  <c r="I31" i="11"/>
  <c r="I26" i="11"/>
  <c r="I25" i="11"/>
  <c r="I32" i="11"/>
  <c r="I27" i="11"/>
  <c r="I35" i="11"/>
  <c r="I34" i="11"/>
  <c r="I30" i="11"/>
  <c r="I33" i="11"/>
  <c r="K26" i="11" l="1"/>
  <c r="J26" i="11"/>
  <c r="J38" i="11" s="1"/>
  <c r="K11" i="11"/>
  <c r="K27" i="11"/>
  <c r="J27" i="11"/>
  <c r="K30" i="11"/>
  <c r="J30" i="11"/>
  <c r="K32" i="11"/>
  <c r="J32" i="11"/>
  <c r="I55" i="11"/>
  <c r="K36" i="11"/>
  <c r="J36" i="11"/>
  <c r="K34" i="11"/>
  <c r="J34" i="11"/>
  <c r="K25" i="11"/>
  <c r="J25" i="11"/>
  <c r="K29" i="11"/>
  <c r="G45" i="11" s="1"/>
  <c r="H45" i="11" s="1"/>
  <c r="I45" i="11" s="1"/>
  <c r="J29" i="11"/>
  <c r="K10" i="11"/>
  <c r="I56" i="11"/>
  <c r="K35" i="11"/>
  <c r="J35" i="11"/>
  <c r="K28" i="11"/>
  <c r="J28" i="11"/>
  <c r="I57" i="11"/>
  <c r="K33" i="11"/>
  <c r="K9" i="11"/>
  <c r="K12" i="11" s="1"/>
  <c r="J33" i="11"/>
  <c r="K31" i="11"/>
  <c r="J31" i="11"/>
  <c r="K45" i="11" l="1"/>
  <c r="J45" i="11"/>
  <c r="G43" i="11"/>
  <c r="G44" i="11"/>
  <c r="H44" i="11" s="1"/>
  <c r="I44" i="11" s="1"/>
  <c r="K57" i="11"/>
  <c r="J57" i="11"/>
  <c r="K55" i="11"/>
  <c r="I58" i="11"/>
  <c r="J55" i="11"/>
  <c r="K56" i="11"/>
  <c r="J56" i="11"/>
  <c r="J58" i="11" l="1"/>
  <c r="K44" i="11"/>
  <c r="J44" i="11"/>
  <c r="G47" i="11"/>
  <c r="H43" i="11"/>
  <c r="I43" i="11" l="1"/>
  <c r="H47" i="11"/>
  <c r="J43" i="11" l="1"/>
  <c r="J47" i="11" s="1"/>
  <c r="I47" i="11"/>
  <c r="K47" i="11" s="1"/>
  <c r="K43" i="11"/>
  <c r="E12" i="9" l="1"/>
  <c r="E11" i="9"/>
  <c r="E10" i="9"/>
  <c r="D5" i="9"/>
  <c r="E5" i="9"/>
  <c r="D6" i="9"/>
  <c r="E6" i="9"/>
  <c r="D7" i="9"/>
  <c r="E7" i="9"/>
  <c r="C7" i="9"/>
  <c r="C6" i="9"/>
  <c r="C5" i="9"/>
  <c r="F7" i="9" l="1"/>
  <c r="F12" i="9"/>
  <c r="F11" i="9"/>
  <c r="F6" i="9"/>
  <c r="F10" i="9"/>
  <c r="F5" i="9"/>
  <c r="G12" i="9" l="1"/>
  <c r="G7" i="9"/>
  <c r="G11" i="9"/>
  <c r="G6" i="9"/>
  <c r="G10" i="9"/>
  <c r="G5" i="9"/>
  <c r="H12" i="9" l="1"/>
  <c r="H7" i="9"/>
  <c r="H11" i="9"/>
  <c r="H6" i="9"/>
  <c r="H10" i="9"/>
  <c r="H5" i="9"/>
  <c r="I12" i="9" l="1"/>
  <c r="I7" i="9"/>
  <c r="I6" i="9"/>
  <c r="I11" i="9"/>
  <c r="I5" i="9"/>
  <c r="I10" i="9"/>
  <c r="J7" i="9" l="1"/>
  <c r="J12" i="9"/>
  <c r="J6" i="9"/>
  <c r="J11" i="9"/>
  <c r="J10" i="9"/>
  <c r="J5" i="9"/>
  <c r="K12" i="9" l="1"/>
  <c r="K7" i="9"/>
  <c r="K11" i="9"/>
  <c r="K6" i="9"/>
  <c r="K10" i="9"/>
  <c r="K5" i="9"/>
  <c r="L12" i="9" l="1"/>
  <c r="L7" i="9"/>
  <c r="L11" i="9"/>
  <c r="L6" i="9"/>
  <c r="L10" i="9"/>
  <c r="L5" i="9"/>
  <c r="M10" i="9"/>
  <c r="M12" i="9" l="1"/>
  <c r="M7" i="9"/>
  <c r="M11" i="9"/>
  <c r="M6" i="9"/>
  <c r="N10" i="9"/>
  <c r="N7" i="9" l="1"/>
  <c r="N12" i="9"/>
  <c r="N11" i="9"/>
  <c r="N6" i="9"/>
  <c r="O12" i="9" l="1"/>
  <c r="O7" i="9"/>
  <c r="O11" i="9"/>
  <c r="O6" i="9"/>
  <c r="P7" i="9" l="1"/>
  <c r="P12" i="9"/>
  <c r="P11" i="9"/>
  <c r="P6" i="9"/>
  <c r="Q7" i="9" l="1"/>
  <c r="Q12" i="9"/>
  <c r="Q6" i="9"/>
  <c r="Q11" i="9"/>
  <c r="R11" i="9"/>
  <c r="R7" i="9" l="1"/>
  <c r="R12" i="9"/>
  <c r="S11" i="9"/>
  <c r="S12" i="9" l="1"/>
  <c r="S7" i="9"/>
  <c r="T12" i="9" l="1"/>
  <c r="T7" i="9"/>
  <c r="U12" i="9" l="1"/>
  <c r="U7" i="9"/>
  <c r="V12" i="9" l="1"/>
  <c r="V7" i="9"/>
</calcChain>
</file>

<file path=xl/comments1.xml><?xml version="1.0" encoding="utf-8"?>
<comments xmlns="http://schemas.openxmlformats.org/spreadsheetml/2006/main">
  <authors>
    <author>Lorin Molander</author>
  </authors>
  <commentList>
    <comment ref="B9" authorId="0">
      <text>
        <r>
          <rPr>
            <b/>
            <sz val="8"/>
            <color indexed="81"/>
            <rFont val="Tahoma"/>
            <family val="2"/>
          </rPr>
          <t>Chun:</t>
        </r>
        <r>
          <rPr>
            <sz val="8"/>
            <color indexed="81"/>
            <rFont val="Tahoma"/>
            <family val="2"/>
          </rPr>
          <t xml:space="preserve">
Loss Factor of 7.3% applied to net GPI.</t>
        </r>
      </text>
    </comment>
  </commentList>
</comments>
</file>

<file path=xl/sharedStrings.xml><?xml version="1.0" encoding="utf-8"?>
<sst xmlns="http://schemas.openxmlformats.org/spreadsheetml/2006/main" count="346" uniqueCount="185">
  <si>
    <t>LC</t>
  </si>
  <si>
    <t>NPV</t>
  </si>
  <si>
    <t>Nameplate Output</t>
  </si>
  <si>
    <t>MWh</t>
  </si>
  <si>
    <t>PPA Price</t>
  </si>
  <si>
    <t>$/MWh</t>
  </si>
  <si>
    <t>$</t>
  </si>
  <si>
    <t>Total Annual Cost (at Full Output-Yr)</t>
  </si>
  <si>
    <t>20 Year  PPA</t>
  </si>
  <si>
    <t>X</t>
  </si>
  <si>
    <t>Losses</t>
  </si>
  <si>
    <t>Delivered Rate</t>
  </si>
  <si>
    <t>Revenue Taxes</t>
  </si>
  <si>
    <t>Cost to the Customer</t>
  </si>
  <si>
    <t>Customer pays</t>
  </si>
  <si>
    <t>PPA Output</t>
  </si>
  <si>
    <t>Project Output</t>
  </si>
  <si>
    <t>Amortization of Cap Expense</t>
  </si>
  <si>
    <t>Years</t>
  </si>
  <si>
    <t>Cap Factor</t>
  </si>
  <si>
    <t>Cost per Year</t>
  </si>
  <si>
    <t>Subscribed</t>
  </si>
  <si>
    <t>aMW</t>
  </si>
  <si>
    <t>Cost Rounded</t>
  </si>
  <si>
    <t>per MWh</t>
  </si>
  <si>
    <t>Total</t>
  </si>
  <si>
    <t>Annual REC reporting Cost</t>
  </si>
  <si>
    <t>10 Year Contract</t>
  </si>
  <si>
    <t>15 Year Contract</t>
  </si>
  <si>
    <t>20 Year Contract</t>
  </si>
  <si>
    <t>Project Degredation (% annual)</t>
  </si>
  <si>
    <t>Project Output - Year 1 (MWh)</t>
  </si>
  <si>
    <t>Cost of Capital (%)</t>
  </si>
  <si>
    <t>PPA Escalation (% annual)</t>
  </si>
  <si>
    <t>Phase 1</t>
  </si>
  <si>
    <t>Annual Sales Phase 1</t>
  </si>
  <si>
    <t>Annual Sales Phase 2</t>
  </si>
  <si>
    <t>Annual TOTAL</t>
  </si>
  <si>
    <t>Total MWH</t>
  </si>
  <si>
    <t>Phase 2</t>
  </si>
  <si>
    <t>Annual Administrative Cost</t>
  </si>
  <si>
    <t>Amin Cost per MWH</t>
  </si>
  <si>
    <t>PPA Term (years)</t>
  </si>
  <si>
    <t>PPA Price &amp; Output - by Calendar Year</t>
  </si>
  <si>
    <t>Blended Calculation</t>
  </si>
  <si>
    <t>Calculated Rates - Blended</t>
  </si>
  <si>
    <t>Fully Burdened Program Cost - by Calendar Year ($/MWh)</t>
  </si>
  <si>
    <t>Fully Burdened Program Cost - by Calendar Year ($,000)</t>
  </si>
  <si>
    <t>PPAs Price &amp; Output - by Calendar Year</t>
  </si>
  <si>
    <t>Blended - Phase 1</t>
  </si>
  <si>
    <t xml:space="preserve">10 Year </t>
  </si>
  <si>
    <t>15 Year</t>
  </si>
  <si>
    <t>20 Year</t>
  </si>
  <si>
    <t>Blended - Phase 2</t>
  </si>
  <si>
    <t>18 Year</t>
  </si>
  <si>
    <t>Revenue Taxes (%)</t>
  </si>
  <si>
    <t>Docket No. UE-180282</t>
  </si>
  <si>
    <t>Adjustment 18.03</t>
  </si>
  <si>
    <t>PUGET SOUND ENERGY-ELECTRIC</t>
  </si>
  <si>
    <t>CONVERSION FACTOR - ELECTRIC</t>
  </si>
  <si>
    <t>FOR THE TWELVE MONTHS ENDED SEPTEMBER 30, 2016</t>
  </si>
  <si>
    <t>2017 GENERAL RATE INCREASE - UE-180282</t>
  </si>
  <si>
    <t>Tax Reform Filing</t>
  </si>
  <si>
    <t>LINE</t>
  </si>
  <si>
    <t>NO.</t>
  </si>
  <si>
    <t>DESCRIPTION</t>
  </si>
  <si>
    <t>RATE</t>
  </si>
  <si>
    <t>BAD DEBTS</t>
  </si>
  <si>
    <t>ANNUAL FILING FEE</t>
  </si>
  <si>
    <t>STATE UTILITY TAX - NET OF BAD DEBTS ( 3.8734% - ( LINE 1 * 3.8734%) )</t>
  </si>
  <si>
    <t>SUM OF TAXES OTHER</t>
  </si>
  <si>
    <t>CONVERSION FACTOR EXCLUDING FEDERAL INCOME TAX ( 1 - LINE 5)</t>
  </si>
  <si>
    <t>FEDERAL INCOME TAX ( LINE 7 * 21%)</t>
  </si>
  <si>
    <t xml:space="preserve">CONVERSION FACTOR INCL FEDERAL INCOME TAX ( LINE 5 + LINE 8 ) </t>
  </si>
  <si>
    <t>MWac</t>
  </si>
  <si>
    <t>Losses (%)*</t>
  </si>
  <si>
    <t>Cost per MWh per year</t>
  </si>
  <si>
    <t>ANNUAL ENERGY LOSS ALLOCATIONS BY BILLING SCHEDULE</t>
  </si>
  <si>
    <t>12 MONTHS ENDED SEPTEMBER 30, 2016</t>
  </si>
  <si>
    <t>Delivery</t>
  </si>
  <si>
    <t>% of Total</t>
  </si>
  <si>
    <t>% of Annual</t>
  </si>
  <si>
    <t>NET GPI</t>
  </si>
  <si>
    <t>Voltage Level</t>
  </si>
  <si>
    <t>Billed kWh</t>
  </si>
  <si>
    <t>Energy Losses</t>
  </si>
  <si>
    <t>KWH LOSSES</t>
  </si>
  <si>
    <t>High Voltage (Sch 46,49)</t>
  </si>
  <si>
    <t>MISC USAGE</t>
  </si>
  <si>
    <t>Primary (Sch 05,31,35,40,43)</t>
  </si>
  <si>
    <t>KWH BILLED</t>
  </si>
  <si>
    <t>Secondary (7,24,25,26,29,Lighting)</t>
  </si>
  <si>
    <t>Total (not incl. transportation)</t>
  </si>
  <si>
    <t>(1a)</t>
  </si>
  <si>
    <t>(2a)</t>
  </si>
  <si>
    <t>(3a)</t>
  </si>
  <si>
    <t>(4a)</t>
  </si>
  <si>
    <t>(5a)</t>
  </si>
  <si>
    <t>(6a)</t>
  </si>
  <si>
    <t>(7a)</t>
  </si>
  <si>
    <t>(8a)</t>
  </si>
  <si>
    <t>(9a)</t>
  </si>
  <si>
    <t>(10a)</t>
  </si>
  <si>
    <t>(11a)</t>
  </si>
  <si>
    <t>Ave Monthly</t>
  </si>
  <si>
    <t>Annual kWh</t>
  </si>
  <si>
    <t>Percent</t>
  </si>
  <si>
    <t>Annual</t>
  </si>
  <si>
    <t>Misc. Use</t>
  </si>
  <si>
    <t>Average</t>
  </si>
  <si>
    <t>Coincident</t>
  </si>
  <si>
    <t>Annual Loss</t>
  </si>
  <si>
    <t>(incl. losses</t>
  </si>
  <si>
    <t>Class</t>
  </si>
  <si>
    <t>Actual kWh</t>
  </si>
  <si>
    <t>Allocation</t>
  </si>
  <si>
    <t>Coincident kW</t>
  </si>
  <si>
    <t>kW</t>
  </si>
  <si>
    <t>Load Factor</t>
  </si>
  <si>
    <t>kW Losses</t>
  </si>
  <si>
    <t>kWh Losses</t>
  </si>
  <si>
    <t>&amp; misc. usage)</t>
  </si>
  <si>
    <t>(2a/sum(2a)</t>
  </si>
  <si>
    <t>(SAS Output)</t>
  </si>
  <si>
    <t>((2+3)/8784)</t>
  </si>
  <si>
    <t>(5/4)</t>
  </si>
  <si>
    <t>(6*7*8760)</t>
  </si>
  <si>
    <t>8/sum(8)</t>
  </si>
  <si>
    <t>(2+3+9)</t>
  </si>
  <si>
    <t>(9/(2+3))</t>
  </si>
  <si>
    <t>*misc use)</t>
  </si>
  <si>
    <t>*total kWh losses</t>
  </si>
  <si>
    <t>============</t>
  </si>
  <si>
    <t>=================</t>
  </si>
  <si>
    <t>07</t>
  </si>
  <si>
    <t>Small Resale (05)</t>
  </si>
  <si>
    <t>50-54,57-59</t>
  </si>
  <si>
    <t>Transportation Schedules:</t>
  </si>
  <si>
    <t>449 HV</t>
  </si>
  <si>
    <t>449 PV</t>
  </si>
  <si>
    <t>Total Transp.</t>
  </si>
  <si>
    <t>Column K (11a) is used as an input for LINECST2 and SUBCSTA4 allocation programs.</t>
  </si>
  <si>
    <t>Data in 4a and 7a are calculated in Losses.sas program -- for system schedules (non-transportation)</t>
  </si>
  <si>
    <t>Data in 4a and 7a are calculated in 'Avg CP kW and Losses OFFSYS' sheet for off-system schedules (transportation)</t>
  </si>
  <si>
    <t>Secondary Volt.</t>
  </si>
  <si>
    <t>Primary Volt.</t>
  </si>
  <si>
    <t>Transm. Volt.</t>
  </si>
  <si>
    <t>Adjustment 18.02</t>
  </si>
  <si>
    <t>PRO FORMA COST OF CAPITAL</t>
  </si>
  <si>
    <t>PRO FORMA</t>
  </si>
  <si>
    <t>COST OF</t>
  </si>
  <si>
    <t>CAPITAL %</t>
  </si>
  <si>
    <t>COST %</t>
  </si>
  <si>
    <t>CAPITAL</t>
  </si>
  <si>
    <t>SHORT &amp; LONG TERM DEBT</t>
  </si>
  <si>
    <t>EQUITY</t>
  </si>
  <si>
    <t>TOTAL COST OF CAPITAL</t>
  </si>
  <si>
    <t>AFTER TAX DEBT</t>
  </si>
  <si>
    <t>TOTAL AFTER TAX COST OF CAPITAL</t>
  </si>
  <si>
    <t>*Billing system updates in SAP: cost of dyanamic IT solution enabling the SAP billing system to include the Renewable Energy Charge and the Energy Resource Credit on the customer's monthly bill; reducing manual inputs, and allowing for monthly and annual reporting.</t>
  </si>
  <si>
    <t xml:space="preserve">**Cost for Green-e: Calculated based on Appendix C -- Green-e Energy Certification Fee Schedule </t>
  </si>
  <si>
    <t>*** WREGIS: Calculated based on WREGIS Fee Matrix, effective January 1, 2017</t>
  </si>
  <si>
    <t>Adminstrative Costs</t>
  </si>
  <si>
    <t>Billing System Updates in SAP *</t>
  </si>
  <si>
    <t>Cost for Green-e **</t>
  </si>
  <si>
    <t>WREGIS ***</t>
  </si>
  <si>
    <t>Administrative Costs ($/MWh)</t>
  </si>
  <si>
    <t>Administrative Costs</t>
  </si>
  <si>
    <t>Generator receives</t>
  </si>
  <si>
    <t>Eastern WA Solar (EWS)</t>
  </si>
  <si>
    <t>NPV Target</t>
  </si>
  <si>
    <t>NPV Calc</t>
  </si>
  <si>
    <r>
      <t>9.</t>
    </r>
    <r>
      <rPr>
        <sz val="7"/>
        <color theme="1"/>
        <rFont val="Times New Roman"/>
        <family val="1"/>
      </rPr>
      <t xml:space="preserve">      </t>
    </r>
    <r>
      <rPr>
        <b/>
        <sz val="10"/>
        <color theme="1"/>
        <rFont val="Arial"/>
        <family val="2"/>
      </rPr>
      <t>RESOURCE OPTIONS:</t>
    </r>
  </si>
  <si>
    <r>
      <t>a.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Arial"/>
        <family val="2"/>
      </rPr>
      <t>Solar &amp; Wind: 20 Year (13902SW20) Fuel Mix: Solar 33%; Wind 67%</t>
    </r>
  </si>
  <si>
    <t>Calendar Year</t>
  </si>
  <si>
    <t>Rate per kWh</t>
  </si>
  <si>
    <t>Only available for meters located at service address already under contract for Renewable Energy and enrolled under this tariff schedule from the previous Open Season.</t>
  </si>
  <si>
    <r>
      <t>b.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Arial"/>
        <family val="2"/>
      </rPr>
      <t>Solar &amp; Wind: 15 Year (13902SW15) Fuel Mix: Solar 34%; Wind 66%</t>
    </r>
  </si>
  <si>
    <r>
      <t>c.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Arial"/>
        <family val="2"/>
      </rPr>
      <t xml:space="preserve">Solar &amp; Wind: 10 Year (13902SW10) Fuel Mix: Solar 36%; Wind 64% </t>
    </r>
  </si>
  <si>
    <r>
      <t>d.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Arial"/>
        <family val="2"/>
      </rPr>
      <t xml:space="preserve">Solar &amp; Wind: 18 Year (13903SW18) Fuel Mix: Solar 37%; Wind 63% </t>
    </r>
  </si>
  <si>
    <t>Not available for meters located at service address already under contract for Renewable Energy and enrolled under this tariff schedule from the previous Open Season.</t>
  </si>
  <si>
    <r>
      <t>e.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Arial"/>
        <family val="2"/>
      </rPr>
      <t>Solar &amp; Wind: 15 Year (13903SW15) Fuel Mix: Solar 36%; Wind 64%</t>
    </r>
  </si>
  <si>
    <r>
      <t>f.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Arial"/>
        <family val="2"/>
      </rPr>
      <t>Solar &amp; Wind: 10 Year (13903SW10) Fuel Mix: Solar 35%; Wind 65%</t>
    </r>
  </si>
  <si>
    <t>Blended</t>
  </si>
  <si>
    <t>REDACTED 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</si>
</sst>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\(#,##0\);@_)"/>
    <numFmt numFmtId="165" formatCode="_(* #,##0_);_(* \(#,##0\);_(* &quot;-&quot;??_);_(@_)"/>
    <numFmt numFmtId="166" formatCode="0.0%_);\(0.0%\);@_)"/>
    <numFmt numFmtId="167" formatCode="#,##0.00_);\(#,##0.00\);@_)"/>
    <numFmt numFmtId="168" formatCode="&quot;$&quot;#,##0.00_);\(&quot;$&quot;#,##0.00\);@_)"/>
    <numFmt numFmtId="169" formatCode="#,##0.0_);\(#,##0.0\);@_)"/>
    <numFmt numFmtId="170" formatCode="&quot;$&quot;#,##0.0_);\(&quot;$&quot;#,##0.0\);@_)"/>
    <numFmt numFmtId="171" formatCode="0.0%"/>
    <numFmt numFmtId="172" formatCode="_(&quot;$&quot;* #,##0.0000_);_(&quot;$&quot;* \(#,##0.0000\);_(&quot;$&quot;* &quot;-&quot;??_);_(@_)"/>
    <numFmt numFmtId="173" formatCode="&quot;$&quot;#,##0_);\(&quot;$&quot;#,##0\);@_)"/>
    <numFmt numFmtId="174" formatCode="_(&quot;$&quot;* #,##0_);_(&quot;$&quot;* \(#,##0\);_(&quot;$&quot;* &quot;-&quot;??_);_(@_)"/>
    <numFmt numFmtId="175" formatCode="_(&quot;$&quot;* #,##0.000_);_(&quot;$&quot;* \(#,##0.000\);_(&quot;$&quot;* &quot;-&quot;??_);_(@_)"/>
    <numFmt numFmtId="176" formatCode="_(&quot;$&quot;* #,##0.000000_);_(&quot;$&quot;* \(#,##0.000000\);_(&quot;$&quot;* &quot;-&quot;??_);_(@_)"/>
    <numFmt numFmtId="177" formatCode="0.00%_);\(0.00%\);@_)"/>
    <numFmt numFmtId="178" formatCode="#,##0.0000"/>
    <numFmt numFmtId="179" formatCode="0.00000"/>
    <numFmt numFmtId="180" formatCode="[Blue]#,##0_);[Magenta]\(#,##0\)"/>
    <numFmt numFmtId="181" formatCode="0.00_)"/>
    <numFmt numFmtId="182" formatCode="0.000000"/>
    <numFmt numFmtId="183" formatCode="&quot;$&quot;#,##0.00000_);[Red]\(&quot;$&quot;#,##0.00000\)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Times New Roman"/>
      <family val="1"/>
    </font>
    <font>
      <sz val="11"/>
      <color rgb="FF000000"/>
      <name val="Calibri"/>
      <family val="2"/>
    </font>
    <font>
      <i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800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color rgb="FFFF0000"/>
      <name val="Arial"/>
      <family val="2"/>
    </font>
    <font>
      <u/>
      <sz val="8"/>
      <name val="Arial"/>
      <family val="2"/>
    </font>
    <font>
      <u/>
      <sz val="10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color indexed="12"/>
      <name val="Arial"/>
      <family val="2"/>
    </font>
    <font>
      <b/>
      <i/>
      <sz val="16"/>
      <name val="Helv"/>
    </font>
    <font>
      <sz val="8"/>
      <color theme="1"/>
      <name val="Times New Roman"/>
      <family val="1"/>
    </font>
    <font>
      <sz val="11"/>
      <name val="Calibri"/>
      <family val="2"/>
      <scheme val="minor"/>
    </font>
    <font>
      <sz val="7"/>
      <color theme="1"/>
      <name val="Times New Roman"/>
      <family val="1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3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8" fillId="0" borderId="0"/>
    <xf numFmtId="9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180" fontId="31" fillId="0" borderId="0"/>
    <xf numFmtId="38" fontId="21" fillId="11" borderId="0" applyNumberFormat="0" applyBorder="0" applyAlignment="0" applyProtection="0"/>
    <xf numFmtId="38" fontId="22" fillId="0" borderId="0"/>
    <xf numFmtId="40" fontId="22" fillId="0" borderId="0"/>
    <xf numFmtId="10" fontId="21" fillId="15" borderId="5" applyNumberFormat="0" applyBorder="0" applyAlignment="0" applyProtection="0"/>
    <xf numFmtId="44" fontId="19" fillId="0" borderId="47" applyNumberFormat="0" applyFont="0" applyAlignment="0">
      <alignment horizontal="center"/>
    </xf>
    <xf numFmtId="44" fontId="19" fillId="0" borderId="48" applyNumberFormat="0" applyFont="0" applyAlignment="0">
      <alignment horizontal="center"/>
    </xf>
    <xf numFmtId="181" fontId="32" fillId="0" borderId="0"/>
    <xf numFmtId="0" fontId="18" fillId="0" borderId="0"/>
    <xf numFmtId="0" fontId="1" fillId="0" borderId="0"/>
    <xf numFmtId="0" fontId="1" fillId="0" borderId="0"/>
    <xf numFmtId="0" fontId="1" fillId="0" borderId="0"/>
    <xf numFmtId="10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38" fontId="21" fillId="0" borderId="49"/>
    <xf numFmtId="38" fontId="22" fillId="0" borderId="16"/>
    <xf numFmtId="182" fontId="18" fillId="0" borderId="0">
      <alignment horizontal="left" wrapText="1"/>
    </xf>
  </cellStyleXfs>
  <cellXfs count="348">
    <xf numFmtId="0" fontId="0" fillId="0" borderId="0" xfId="0"/>
    <xf numFmtId="0" fontId="2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0" xfId="0" applyBorder="1"/>
    <xf numFmtId="0" fontId="2" fillId="0" borderId="0" xfId="0" applyFont="1" applyBorder="1"/>
    <xf numFmtId="0" fontId="0" fillId="0" borderId="2" xfId="0" applyBorder="1" applyAlignment="1">
      <alignment horizontal="left" indent="2"/>
    </xf>
    <xf numFmtId="0" fontId="0" fillId="0" borderId="3" xfId="0" applyBorder="1" applyAlignment="1">
      <alignment horizontal="left" indent="2"/>
    </xf>
    <xf numFmtId="164" fontId="0" fillId="0" borderId="0" xfId="0" applyNumberFormat="1" applyFont="1" applyBorder="1"/>
    <xf numFmtId="164" fontId="0" fillId="0" borderId="4" xfId="0" applyNumberFormat="1" applyFont="1" applyBorder="1"/>
    <xf numFmtId="0" fontId="0" fillId="0" borderId="0" xfId="0" applyBorder="1" applyAlignment="1">
      <alignment horizontal="left" indent="2"/>
    </xf>
    <xf numFmtId="0" fontId="0" fillId="0" borderId="0" xfId="0" applyFill="1" applyBorder="1"/>
    <xf numFmtId="6" fontId="0" fillId="0" borderId="0" xfId="0" applyNumberForma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Fill="1" applyBorder="1" applyAlignment="1">
      <alignment horizontal="center"/>
    </xf>
    <xf numFmtId="170" fontId="0" fillId="0" borderId="3" xfId="0" applyNumberFormat="1" applyFont="1" applyBorder="1"/>
    <xf numFmtId="0" fontId="3" fillId="0" borderId="0" xfId="0" applyFont="1" applyFill="1" applyBorder="1" applyAlignment="1">
      <alignment horizontal="left" indent="2"/>
    </xf>
    <xf numFmtId="0" fontId="3" fillId="0" borderId="0" xfId="0" applyFont="1"/>
    <xf numFmtId="168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8" fontId="0" fillId="0" borderId="0" xfId="0" applyNumberFormat="1"/>
    <xf numFmtId="0" fontId="0" fillId="2" borderId="5" xfId="0" applyFill="1" applyBorder="1"/>
    <xf numFmtId="171" fontId="0" fillId="0" borderId="0" xfId="2" applyNumberFormat="1" applyFont="1"/>
    <xf numFmtId="8" fontId="0" fillId="0" borderId="0" xfId="0" applyNumberFormat="1" applyBorder="1"/>
    <xf numFmtId="172" fontId="0" fillId="0" borderId="0" xfId="0" applyNumberFormat="1"/>
    <xf numFmtId="0" fontId="0" fillId="0" borderId="6" xfId="0" applyBorder="1" applyAlignment="1"/>
    <xf numFmtId="8" fontId="0" fillId="3" borderId="7" xfId="0" applyNumberFormat="1" applyFill="1" applyBorder="1"/>
    <xf numFmtId="8" fontId="0" fillId="4" borderId="7" xfId="0" applyNumberFormat="1" applyFill="1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/>
    <xf numFmtId="0" fontId="0" fillId="2" borderId="12" xfId="0" applyFill="1" applyBorder="1"/>
    <xf numFmtId="0" fontId="2" fillId="0" borderId="0" xfId="0" applyFont="1"/>
    <xf numFmtId="2" fontId="0" fillId="0" borderId="0" xfId="0" applyNumberFormat="1"/>
    <xf numFmtId="164" fontId="0" fillId="2" borderId="13" xfId="0" applyNumberFormat="1" applyFont="1" applyFill="1" applyBorder="1"/>
    <xf numFmtId="170" fontId="0" fillId="0" borderId="0" xfId="0" applyNumberFormat="1" applyFont="1" applyBorder="1"/>
    <xf numFmtId="168" fontId="0" fillId="3" borderId="2" xfId="0" applyNumberFormat="1" applyFont="1" applyFill="1" applyBorder="1"/>
    <xf numFmtId="168" fontId="0" fillId="4" borderId="4" xfId="0" applyNumberFormat="1" applyFont="1" applyFill="1" applyBorder="1"/>
    <xf numFmtId="0" fontId="3" fillId="0" borderId="4" xfId="0" applyFont="1" applyBorder="1" applyAlignment="1">
      <alignment horizontal="left" indent="2"/>
    </xf>
    <xf numFmtId="0" fontId="5" fillId="0" borderId="0" xfId="0" applyFont="1"/>
    <xf numFmtId="174" fontId="0" fillId="0" borderId="0" xfId="3" applyNumberFormat="1" applyFont="1"/>
    <xf numFmtId="9" fontId="0" fillId="0" borderId="0" xfId="2" applyFont="1"/>
    <xf numFmtId="0" fontId="6" fillId="0" borderId="0" xfId="0" applyFont="1"/>
    <xf numFmtId="44" fontId="6" fillId="0" borderId="0" xfId="0" applyNumberFormat="1" applyFont="1"/>
    <xf numFmtId="175" fontId="0" fillId="0" borderId="0" xfId="3" applyNumberFormat="1" applyFont="1"/>
    <xf numFmtId="176" fontId="6" fillId="0" borderId="0" xfId="0" applyNumberFormat="1" applyFont="1"/>
    <xf numFmtId="0" fontId="0" fillId="0" borderId="0" xfId="0" applyFill="1"/>
    <xf numFmtId="0" fontId="0" fillId="5" borderId="0" xfId="0" applyFill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9" fontId="0" fillId="5" borderId="0" xfId="2" applyFont="1" applyFill="1"/>
    <xf numFmtId="0" fontId="0" fillId="6" borderId="15" xfId="0" applyFill="1" applyBorder="1"/>
    <xf numFmtId="3" fontId="0" fillId="6" borderId="16" xfId="0" applyNumberFormat="1" applyFill="1" applyBorder="1"/>
    <xf numFmtId="0" fontId="0" fillId="6" borderId="17" xfId="0" applyFill="1" applyBorder="1"/>
    <xf numFmtId="0" fontId="0" fillId="6" borderId="18" xfId="0" applyFill="1" applyBorder="1"/>
    <xf numFmtId="3" fontId="0" fillId="6" borderId="0" xfId="0" applyNumberFormat="1" applyFill="1" applyBorder="1"/>
    <xf numFmtId="0" fontId="0" fillId="6" borderId="19" xfId="0" applyFill="1" applyBorder="1"/>
    <xf numFmtId="0" fontId="0" fillId="5" borderId="20" xfId="0" applyFill="1" applyBorder="1"/>
    <xf numFmtId="3" fontId="0" fillId="5" borderId="21" xfId="0" applyNumberFormat="1" applyFill="1" applyBorder="1"/>
    <xf numFmtId="0" fontId="0" fillId="5" borderId="14" xfId="0" applyFill="1" applyBorder="1"/>
    <xf numFmtId="44" fontId="6" fillId="7" borderId="0" xfId="0" applyNumberFormat="1" applyFont="1" applyFill="1"/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77" fontId="3" fillId="2" borderId="5" xfId="0" applyNumberFormat="1" applyFont="1" applyFill="1" applyBorder="1"/>
    <xf numFmtId="164" fontId="0" fillId="2" borderId="5" xfId="0" applyNumberFormat="1" applyFont="1" applyFill="1" applyBorder="1"/>
    <xf numFmtId="0" fontId="3" fillId="0" borderId="3" xfId="0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0" xfId="0" applyBorder="1" applyAlignment="1">
      <alignment horizontal="centerContinuous"/>
    </xf>
    <xf numFmtId="164" fontId="0" fillId="0" borderId="2" xfId="0" applyNumberFormat="1" applyFont="1" applyBorder="1" applyAlignment="1">
      <alignment horizontal="centerContinuous"/>
    </xf>
    <xf numFmtId="6" fontId="0" fillId="0" borderId="0" xfId="0" applyNumberFormat="1" applyBorder="1" applyAlignment="1">
      <alignment horizontal="centerContinuous"/>
    </xf>
    <xf numFmtId="0" fontId="0" fillId="0" borderId="2" xfId="0" applyFill="1" applyBorder="1"/>
    <xf numFmtId="0" fontId="0" fillId="0" borderId="22" xfId="0" applyFill="1" applyBorder="1"/>
    <xf numFmtId="0" fontId="2" fillId="0" borderId="22" xfId="0" applyFont="1" applyFill="1" applyBorder="1" applyAlignment="1">
      <alignment horizontal="left"/>
    </xf>
    <xf numFmtId="0" fontId="2" fillId="0" borderId="22" xfId="0" applyFont="1" applyFill="1" applyBorder="1" applyAlignment="1">
      <alignment horizontal="center"/>
    </xf>
    <xf numFmtId="0" fontId="0" fillId="0" borderId="3" xfId="0" applyFill="1" applyBorder="1"/>
    <xf numFmtId="0" fontId="0" fillId="3" borderId="2" xfId="0" applyFill="1" applyBorder="1" applyAlignment="1">
      <alignment horizontal="left" indent="2"/>
    </xf>
    <xf numFmtId="0" fontId="0" fillId="3" borderId="2" xfId="0" applyFill="1" applyBorder="1" applyAlignment="1">
      <alignment horizontal="center"/>
    </xf>
    <xf numFmtId="0" fontId="0" fillId="4" borderId="4" xfId="0" applyFill="1" applyBorder="1" applyAlignment="1">
      <alignment horizontal="left" indent="2"/>
    </xf>
    <xf numFmtId="0" fontId="0" fillId="4" borderId="4" xfId="0" applyFill="1" applyBorder="1" applyAlignment="1">
      <alignment horizontal="center"/>
    </xf>
    <xf numFmtId="0" fontId="5" fillId="0" borderId="0" xfId="0" applyFont="1" applyAlignment="1">
      <alignment horizontal="left"/>
    </xf>
    <xf numFmtId="170" fontId="0" fillId="0" borderId="2" xfId="0" applyNumberFormat="1" applyFont="1" applyFill="1" applyBorder="1"/>
    <xf numFmtId="170" fontId="0" fillId="0" borderId="0" xfId="0" applyNumberFormat="1" applyFont="1" applyFill="1" applyBorder="1"/>
    <xf numFmtId="0" fontId="7" fillId="9" borderId="0" xfId="0" applyFont="1" applyFill="1" applyBorder="1" applyAlignment="1">
      <alignment horizontal="center"/>
    </xf>
    <xf numFmtId="0" fontId="2" fillId="0" borderId="5" xfId="0" applyFont="1" applyBorder="1"/>
    <xf numFmtId="168" fontId="0" fillId="0" borderId="5" xfId="0" applyNumberFormat="1" applyFont="1" applyBorder="1"/>
    <xf numFmtId="0" fontId="9" fillId="0" borderId="23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10" fillId="0" borderId="25" xfId="0" applyFont="1" applyBorder="1" applyAlignment="1">
      <alignment horizontal="right" vertical="center"/>
    </xf>
    <xf numFmtId="0" fontId="9" fillId="0" borderId="26" xfId="0" applyFont="1" applyBorder="1" applyAlignment="1">
      <alignment vertical="center"/>
    </xf>
    <xf numFmtId="0" fontId="8" fillId="0" borderId="0" xfId="0" applyFont="1"/>
    <xf numFmtId="0" fontId="10" fillId="0" borderId="27" xfId="0" applyFont="1" applyBorder="1" applyAlignment="1">
      <alignment horizontal="right" vertical="center"/>
    </xf>
    <xf numFmtId="0" fontId="10" fillId="0" borderId="26" xfId="0" applyFont="1" applyBorder="1" applyAlignment="1">
      <alignment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vertical="center"/>
    </xf>
    <xf numFmtId="0" fontId="10" fillId="0" borderId="31" xfId="0" applyFont="1" applyBorder="1" applyAlignment="1">
      <alignment horizontal="right" vertical="center"/>
    </xf>
    <xf numFmtId="0" fontId="8" fillId="0" borderId="26" xfId="0" applyFont="1" applyBorder="1" applyAlignment="1">
      <alignment vertical="center"/>
    </xf>
    <xf numFmtId="0" fontId="8" fillId="0" borderId="27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27" xfId="0" applyFont="1" applyBorder="1" applyAlignment="1">
      <alignment horizontal="right" vertical="center"/>
    </xf>
    <xf numFmtId="10" fontId="8" fillId="0" borderId="0" xfId="0" applyNumberFormat="1" applyFont="1" applyAlignment="1">
      <alignment horizontal="right" vertical="center"/>
    </xf>
    <xf numFmtId="0" fontId="8" fillId="0" borderId="31" xfId="0" applyFont="1" applyBorder="1" applyAlignment="1">
      <alignment horizontal="right" vertical="center"/>
    </xf>
    <xf numFmtId="0" fontId="8" fillId="0" borderId="27" xfId="0" applyFont="1" applyBorder="1" applyAlignment="1">
      <alignment vertical="center"/>
    </xf>
    <xf numFmtId="9" fontId="8" fillId="0" borderId="0" xfId="0" applyNumberFormat="1" applyFont="1" applyAlignment="1">
      <alignment horizontal="right" vertical="center"/>
    </xf>
    <xf numFmtId="0" fontId="8" fillId="0" borderId="32" xfId="0" applyFont="1" applyBorder="1" applyAlignment="1">
      <alignment horizontal="right" vertical="center"/>
    </xf>
    <xf numFmtId="0" fontId="11" fillId="0" borderId="29" xfId="0" applyFont="1" applyBorder="1" applyAlignment="1">
      <alignment vertical="center"/>
    </xf>
    <xf numFmtId="0" fontId="11" fillId="0" borderId="30" xfId="0" applyFont="1" applyBorder="1" applyAlignment="1">
      <alignment vertical="center"/>
    </xf>
    <xf numFmtId="0" fontId="11" fillId="0" borderId="31" xfId="0" applyFont="1" applyBorder="1" applyAlignment="1">
      <alignment vertical="center"/>
    </xf>
    <xf numFmtId="177" fontId="12" fillId="2" borderId="5" xfId="0" applyNumberFormat="1" applyFont="1" applyFill="1" applyBorder="1"/>
    <xf numFmtId="164" fontId="13" fillId="2" borderId="5" xfId="0" applyNumberFormat="1" applyFont="1" applyFill="1" applyBorder="1"/>
    <xf numFmtId="164" fontId="13" fillId="2" borderId="13" xfId="0" applyNumberFormat="1" applyFont="1" applyFill="1" applyBorder="1"/>
    <xf numFmtId="0" fontId="14" fillId="0" borderId="1" xfId="0" applyFont="1" applyBorder="1" applyAlignment="1">
      <alignment horizontal="center"/>
    </xf>
    <xf numFmtId="164" fontId="15" fillId="0" borderId="4" xfId="0" applyNumberFormat="1" applyFont="1" applyBorder="1"/>
    <xf numFmtId="165" fontId="15" fillId="0" borderId="4" xfId="0" applyNumberFormat="1" applyFont="1" applyBorder="1"/>
    <xf numFmtId="168" fontId="15" fillId="0" borderId="3" xfId="0" applyNumberFormat="1" applyFont="1" applyBorder="1"/>
    <xf numFmtId="164" fontId="15" fillId="0" borderId="2" xfId="0" applyNumberFormat="1" applyFont="1" applyBorder="1"/>
    <xf numFmtId="165" fontId="15" fillId="0" borderId="2" xfId="0" applyNumberFormat="1" applyFont="1" applyBorder="1"/>
    <xf numFmtId="10" fontId="13" fillId="2" borderId="5" xfId="0" applyNumberFormat="1" applyFont="1" applyFill="1" applyBorder="1"/>
    <xf numFmtId="0" fontId="14" fillId="0" borderId="0" xfId="0" applyFont="1" applyBorder="1" applyAlignment="1">
      <alignment horizontal="center"/>
    </xf>
    <xf numFmtId="168" fontId="15" fillId="0" borderId="0" xfId="0" applyNumberFormat="1" applyFont="1" applyBorder="1"/>
    <xf numFmtId="173" fontId="15" fillId="0" borderId="3" xfId="0" applyNumberFormat="1" applyFont="1" applyBorder="1"/>
    <xf numFmtId="173" fontId="15" fillId="0" borderId="0" xfId="0" applyNumberFormat="1" applyFont="1" applyBorder="1"/>
    <xf numFmtId="168" fontId="16" fillId="2" borderId="11" xfId="0" applyNumberFormat="1" applyFont="1" applyFill="1" applyBorder="1"/>
    <xf numFmtId="168" fontId="15" fillId="0" borderId="2" xfId="0" applyNumberFormat="1" applyFont="1" applyFill="1" applyBorder="1"/>
    <xf numFmtId="8" fontId="15" fillId="0" borderId="2" xfId="0" applyNumberFormat="1" applyFont="1" applyFill="1" applyBorder="1"/>
    <xf numFmtId="168" fontId="15" fillId="0" borderId="0" xfId="0" applyNumberFormat="1" applyFont="1" applyFill="1" applyBorder="1"/>
    <xf numFmtId="8" fontId="15" fillId="0" borderId="0" xfId="0" applyNumberFormat="1" applyFont="1" applyFill="1" applyBorder="1"/>
    <xf numFmtId="168" fontId="15" fillId="0" borderId="3" xfId="0" applyNumberFormat="1" applyFont="1" applyFill="1" applyBorder="1"/>
    <xf numFmtId="8" fontId="15" fillId="0" borderId="3" xfId="0" applyNumberFormat="1" applyFont="1" applyFill="1" applyBorder="1"/>
    <xf numFmtId="8" fontId="13" fillId="5" borderId="2" xfId="1" applyNumberFormat="1" applyFont="1" applyFill="1" applyBorder="1"/>
    <xf numFmtId="8" fontId="13" fillId="5" borderId="0" xfId="1" applyNumberFormat="1" applyFont="1" applyFill="1" applyBorder="1"/>
    <xf numFmtId="8" fontId="13" fillId="5" borderId="3" xfId="1" applyNumberFormat="1" applyFont="1" applyFill="1" applyBorder="1"/>
    <xf numFmtId="168" fontId="16" fillId="0" borderId="5" xfId="0" applyNumberFormat="1" applyFont="1" applyBorder="1"/>
    <xf numFmtId="0" fontId="2" fillId="0" borderId="33" xfId="0" applyFont="1" applyBorder="1"/>
    <xf numFmtId="168" fontId="16" fillId="0" borderId="33" xfId="0" applyNumberFormat="1" applyFont="1" applyBorder="1"/>
    <xf numFmtId="0" fontId="2" fillId="8" borderId="34" xfId="0" applyFont="1" applyFill="1" applyBorder="1"/>
    <xf numFmtId="0" fontId="2" fillId="8" borderId="35" xfId="0" applyFont="1" applyFill="1" applyBorder="1" applyAlignment="1">
      <alignment horizontal="center"/>
    </xf>
    <xf numFmtId="0" fontId="2" fillId="8" borderId="36" xfId="0" applyFont="1" applyFill="1" applyBorder="1" applyAlignment="1">
      <alignment horizontal="center"/>
    </xf>
    <xf numFmtId="168" fontId="0" fillId="0" borderId="33" xfId="0" applyNumberFormat="1" applyFont="1" applyBorder="1"/>
    <xf numFmtId="0" fontId="2" fillId="10" borderId="34" xfId="0" applyFont="1" applyFill="1" applyBorder="1"/>
    <xf numFmtId="0" fontId="2" fillId="10" borderId="35" xfId="0" applyFont="1" applyFill="1" applyBorder="1"/>
    <xf numFmtId="0" fontId="2" fillId="10" borderId="35" xfId="0" applyFont="1" applyFill="1" applyBorder="1" applyAlignment="1">
      <alignment horizontal="center"/>
    </xf>
    <xf numFmtId="0" fontId="2" fillId="10" borderId="36" xfId="0" applyFont="1" applyFill="1" applyBorder="1" applyAlignment="1">
      <alignment horizontal="center"/>
    </xf>
    <xf numFmtId="168" fontId="4" fillId="0" borderId="2" xfId="0" applyNumberFormat="1" applyFont="1" applyFill="1" applyBorder="1"/>
    <xf numFmtId="168" fontId="4" fillId="0" borderId="0" xfId="0" applyNumberFormat="1" applyFont="1" applyFill="1" applyBorder="1"/>
    <xf numFmtId="168" fontId="4" fillId="0" borderId="3" xfId="0" applyNumberFormat="1" applyFont="1" applyFill="1" applyBorder="1"/>
    <xf numFmtId="166" fontId="3" fillId="5" borderId="0" xfId="2" applyNumberFormat="1" applyFont="1" applyFill="1"/>
    <xf numFmtId="169" fontId="0" fillId="5" borderId="0" xfId="0" applyNumberFormat="1" applyFont="1" applyFill="1"/>
    <xf numFmtId="167" fontId="0" fillId="5" borderId="0" xfId="0" applyNumberFormat="1" applyFont="1" applyFill="1"/>
    <xf numFmtId="0" fontId="17" fillId="0" borderId="0" xfId="0" applyFont="1"/>
    <xf numFmtId="0" fontId="0" fillId="5" borderId="0" xfId="0" applyFill="1" applyAlignment="1">
      <alignment horizontal="center"/>
    </xf>
    <xf numFmtId="0" fontId="0" fillId="5" borderId="0" xfId="2" applyNumberFormat="1" applyFont="1" applyFill="1" applyAlignment="1">
      <alignment horizontal="center"/>
    </xf>
    <xf numFmtId="0" fontId="8" fillId="0" borderId="0" xfId="0" applyFont="1" applyAlignment="1">
      <alignment vertical="center"/>
    </xf>
    <xf numFmtId="0" fontId="8" fillId="0" borderId="27" xfId="0" applyFont="1" applyBorder="1" applyAlignment="1">
      <alignment vertical="center"/>
    </xf>
    <xf numFmtId="0" fontId="19" fillId="0" borderId="0" xfId="4" applyFont="1" applyAlignment="1">
      <alignment horizontal="center"/>
    </xf>
    <xf numFmtId="0" fontId="18" fillId="0" borderId="0" xfId="4" applyFont="1" applyAlignment="1">
      <alignment horizontal="center"/>
    </xf>
    <xf numFmtId="0" fontId="18" fillId="0" borderId="0" xfId="4" applyFont="1" applyAlignment="1">
      <alignment horizontal="right"/>
    </xf>
    <xf numFmtId="0" fontId="18" fillId="0" borderId="0" xfId="4" applyFont="1" applyAlignment="1"/>
    <xf numFmtId="0" fontId="20" fillId="0" borderId="0" xfId="4" applyFont="1" applyAlignment="1">
      <alignment horizontal="centerContinuous"/>
    </xf>
    <xf numFmtId="0" fontId="18" fillId="0" borderId="0" xfId="4" applyFont="1" applyAlignment="1">
      <alignment horizontal="centerContinuous"/>
    </xf>
    <xf numFmtId="0" fontId="18" fillId="0" borderId="0" xfId="4" applyFont="1" applyAlignment="1">
      <alignment horizontal="left"/>
    </xf>
    <xf numFmtId="0" fontId="19" fillId="11" borderId="23" xfId="4" applyFont="1" applyFill="1" applyBorder="1" applyAlignment="1">
      <alignment horizontal="centerContinuous"/>
    </xf>
    <xf numFmtId="0" fontId="19" fillId="11" borderId="24" xfId="4" applyFont="1" applyFill="1" applyBorder="1" applyAlignment="1">
      <alignment horizontal="centerContinuous"/>
    </xf>
    <xf numFmtId="0" fontId="19" fillId="11" borderId="24" xfId="4" applyFont="1" applyFill="1" applyBorder="1" applyAlignment="1">
      <alignment horizontal="center"/>
    </xf>
    <xf numFmtId="0" fontId="19" fillId="11" borderId="25" xfId="4" applyFont="1" applyFill="1" applyBorder="1" applyAlignment="1">
      <alignment horizontal="center"/>
    </xf>
    <xf numFmtId="0" fontId="18" fillId="11" borderId="23" xfId="4" applyFont="1" applyFill="1" applyBorder="1" applyAlignment="1"/>
    <xf numFmtId="3" fontId="18" fillId="0" borderId="25" xfId="4" applyNumberFormat="1" applyFont="1" applyBorder="1"/>
    <xf numFmtId="3" fontId="18" fillId="0" borderId="0" xfId="4" applyNumberFormat="1" applyFont="1" applyAlignment="1"/>
    <xf numFmtId="0" fontId="19" fillId="11" borderId="26" xfId="4" applyFont="1" applyFill="1" applyBorder="1" applyAlignment="1">
      <alignment horizontal="centerContinuous"/>
    </xf>
    <xf numFmtId="0" fontId="19" fillId="11" borderId="0" xfId="4" applyFont="1" applyFill="1" applyBorder="1" applyAlignment="1">
      <alignment horizontal="centerContinuous"/>
    </xf>
    <xf numFmtId="0" fontId="19" fillId="11" borderId="0" xfId="4" applyFont="1" applyFill="1" applyBorder="1" applyAlignment="1">
      <alignment horizontal="center"/>
    </xf>
    <xf numFmtId="0" fontId="19" fillId="11" borderId="27" xfId="4" applyFont="1" applyFill="1" applyBorder="1" applyAlignment="1">
      <alignment horizontal="center"/>
    </xf>
    <xf numFmtId="0" fontId="18" fillId="11" borderId="26" xfId="4" applyFont="1" applyFill="1" applyBorder="1" applyAlignment="1"/>
    <xf numFmtId="3" fontId="18" fillId="12" borderId="27" xfId="4" applyNumberFormat="1" applyFont="1" applyFill="1" applyBorder="1" applyAlignment="1"/>
    <xf numFmtId="0" fontId="18" fillId="11" borderId="0" xfId="4" applyFont="1" applyFill="1" applyBorder="1" applyAlignment="1"/>
    <xf numFmtId="10" fontId="18" fillId="0" borderId="0" xfId="4" applyNumberFormat="1" applyFont="1" applyBorder="1" applyAlignment="1"/>
    <xf numFmtId="10" fontId="18" fillId="0" borderId="27" xfId="4" applyNumberFormat="1" applyFont="1" applyBorder="1" applyAlignment="1"/>
    <xf numFmtId="37" fontId="18" fillId="0" borderId="37" xfId="4" applyNumberFormat="1" applyFont="1" applyBorder="1" applyAlignment="1"/>
    <xf numFmtId="0" fontId="18" fillId="11" borderId="38" xfId="4" applyFont="1" applyFill="1" applyBorder="1" applyAlignment="1"/>
    <xf numFmtId="3" fontId="18" fillId="0" borderId="39" xfId="4" applyNumberFormat="1" applyFont="1" applyBorder="1" applyAlignment="1"/>
    <xf numFmtId="178" fontId="18" fillId="0" borderId="0" xfId="4" applyNumberFormat="1" applyFont="1" applyAlignment="1"/>
    <xf numFmtId="0" fontId="18" fillId="11" borderId="40" xfId="4" applyFont="1" applyFill="1" applyBorder="1" applyAlignment="1"/>
    <xf numFmtId="0" fontId="18" fillId="11" borderId="21" xfId="4" applyFont="1" applyFill="1" applyBorder="1" applyAlignment="1"/>
    <xf numFmtId="10" fontId="18" fillId="0" borderId="21" xfId="4" applyNumberFormat="1" applyFont="1" applyBorder="1" applyAlignment="1"/>
    <xf numFmtId="10" fontId="18" fillId="0" borderId="37" xfId="4" applyNumberFormat="1" applyFont="1" applyBorder="1" applyAlignment="1"/>
    <xf numFmtId="0" fontId="18" fillId="11" borderId="29" xfId="4" applyFont="1" applyFill="1" applyBorder="1" applyAlignment="1"/>
    <xf numFmtId="0" fontId="18" fillId="11" borderId="30" xfId="4" applyFont="1" applyFill="1" applyBorder="1" applyAlignment="1">
      <alignment horizontal="centerContinuous"/>
    </xf>
    <xf numFmtId="10" fontId="18" fillId="0" borderId="30" xfId="4" applyNumberFormat="1" applyFont="1" applyBorder="1" applyAlignment="1"/>
    <xf numFmtId="10" fontId="18" fillId="0" borderId="31" xfId="4" applyNumberFormat="1" applyFont="1" applyBorder="1" applyAlignment="1">
      <alignment horizontal="right"/>
    </xf>
    <xf numFmtId="0" fontId="18" fillId="0" borderId="0" xfId="4" applyFont="1" applyAlignment="1">
      <alignment horizontal="center" wrapText="1"/>
    </xf>
    <xf numFmtId="0" fontId="18" fillId="0" borderId="0" xfId="4" applyFont="1" applyFill="1" applyAlignment="1">
      <alignment horizontal="center" wrapText="1"/>
    </xf>
    <xf numFmtId="0" fontId="21" fillId="11" borderId="23" xfId="4" quotePrefix="1" applyFont="1" applyFill="1" applyBorder="1" applyAlignment="1">
      <alignment horizontal="center"/>
    </xf>
    <xf numFmtId="0" fontId="21" fillId="11" borderId="24" xfId="4" quotePrefix="1" applyFont="1" applyFill="1" applyBorder="1" applyAlignment="1">
      <alignment horizontal="center"/>
    </xf>
    <xf numFmtId="0" fontId="21" fillId="11" borderId="25" xfId="4" quotePrefix="1" applyFont="1" applyFill="1" applyBorder="1" applyAlignment="1">
      <alignment horizontal="center"/>
    </xf>
    <xf numFmtId="0" fontId="21" fillId="0" borderId="0" xfId="4" applyFont="1" applyAlignment="1">
      <alignment horizontal="right"/>
    </xf>
    <xf numFmtId="0" fontId="21" fillId="0" borderId="0" xfId="4" applyFont="1" applyAlignment="1">
      <alignment horizontal="center"/>
    </xf>
    <xf numFmtId="0" fontId="21" fillId="0" borderId="0" xfId="4" applyFont="1" applyAlignment="1"/>
    <xf numFmtId="0" fontId="22" fillId="11" borderId="26" xfId="4" applyFont="1" applyFill="1" applyBorder="1" applyAlignment="1">
      <alignment horizontal="center"/>
    </xf>
    <xf numFmtId="0" fontId="22" fillId="11" borderId="0" xfId="4" applyFont="1" applyFill="1" applyBorder="1" applyAlignment="1">
      <alignment horizontal="center"/>
    </xf>
    <xf numFmtId="0" fontId="22" fillId="11" borderId="27" xfId="4" applyFont="1" applyFill="1" applyBorder="1" applyAlignment="1">
      <alignment horizontal="center"/>
    </xf>
    <xf numFmtId="0" fontId="21" fillId="0" borderId="0" xfId="4" applyFont="1" applyBorder="1" applyAlignment="1"/>
    <xf numFmtId="0" fontId="21" fillId="0" borderId="0" xfId="4" applyFont="1" applyBorder="1" applyAlignment="1">
      <alignment horizontal="center"/>
    </xf>
    <xf numFmtId="0" fontId="21" fillId="0" borderId="0" xfId="4" applyFont="1" applyBorder="1" applyAlignment="1">
      <alignment horizontal="left"/>
    </xf>
    <xf numFmtId="3" fontId="18" fillId="0" borderId="0" xfId="4" applyNumberFormat="1" applyFont="1" applyBorder="1" applyAlignment="1">
      <alignment horizontal="right"/>
    </xf>
    <xf numFmtId="0" fontId="21" fillId="0" borderId="0" xfId="4" quotePrefix="1" applyFont="1" applyBorder="1" applyAlignment="1">
      <alignment horizontal="center"/>
    </xf>
    <xf numFmtId="0" fontId="18" fillId="11" borderId="26" xfId="4" applyFont="1" applyFill="1" applyBorder="1"/>
    <xf numFmtId="0" fontId="18" fillId="11" borderId="0" xfId="4" applyFont="1" applyFill="1" applyBorder="1"/>
    <xf numFmtId="0" fontId="18" fillId="11" borderId="27" xfId="4" applyFont="1" applyFill="1" applyBorder="1" applyAlignment="1">
      <alignment horizontal="center"/>
    </xf>
    <xf numFmtId="0" fontId="18" fillId="0" borderId="0" xfId="4" applyFont="1" applyBorder="1" applyAlignment="1">
      <alignment horizontal="center"/>
    </xf>
    <xf numFmtId="0" fontId="21" fillId="11" borderId="26" xfId="4" applyFont="1" applyFill="1" applyBorder="1" applyAlignment="1">
      <alignment horizontal="center"/>
    </xf>
    <xf numFmtId="0" fontId="21" fillId="11" borderId="0" xfId="4" applyFont="1" applyFill="1" applyBorder="1" applyAlignment="1">
      <alignment horizontal="center"/>
    </xf>
    <xf numFmtId="0" fontId="21" fillId="11" borderId="0" xfId="4" quotePrefix="1" applyFont="1" applyFill="1" applyBorder="1" applyAlignment="1">
      <alignment horizontal="center"/>
    </xf>
    <xf numFmtId="0" fontId="21" fillId="11" borderId="27" xfId="4" quotePrefix="1" applyFont="1" applyFill="1" applyBorder="1" applyAlignment="1">
      <alignment horizontal="center"/>
    </xf>
    <xf numFmtId="0" fontId="23" fillId="0" borderId="0" xfId="4" applyFont="1" applyAlignment="1"/>
    <xf numFmtId="0" fontId="22" fillId="0" borderId="26" xfId="4" quotePrefix="1" applyFont="1" applyBorder="1" applyAlignment="1">
      <alignment horizontal="center"/>
    </xf>
    <xf numFmtId="0" fontId="22" fillId="0" borderId="0" xfId="4" quotePrefix="1" applyFont="1" applyBorder="1" applyAlignment="1">
      <alignment horizontal="right"/>
    </xf>
    <xf numFmtId="0" fontId="22" fillId="0" borderId="27" xfId="4" quotePrefix="1" applyFont="1" applyBorder="1" applyAlignment="1">
      <alignment horizontal="right"/>
    </xf>
    <xf numFmtId="0" fontId="22" fillId="0" borderId="0" xfId="4" applyFont="1" applyAlignment="1">
      <alignment horizontal="right"/>
    </xf>
    <xf numFmtId="0" fontId="24" fillId="0" borderId="0" xfId="4" applyFont="1" applyBorder="1" applyAlignment="1">
      <alignment horizontal="center"/>
    </xf>
    <xf numFmtId="3" fontId="25" fillId="0" borderId="0" xfId="4" applyNumberFormat="1" applyFont="1" applyBorder="1" applyAlignment="1">
      <alignment horizontal="center"/>
    </xf>
    <xf numFmtId="0" fontId="22" fillId="0" borderId="0" xfId="4" applyFont="1" applyAlignment="1">
      <alignment horizontal="center"/>
    </xf>
    <xf numFmtId="0" fontId="22" fillId="0" borderId="0" xfId="4" applyFont="1" applyBorder="1" applyAlignment="1">
      <alignment horizontal="center"/>
    </xf>
    <xf numFmtId="0" fontId="21" fillId="0" borderId="41" xfId="4" quotePrefix="1" applyFont="1" applyBorder="1" applyAlignment="1">
      <alignment horizontal="center"/>
    </xf>
    <xf numFmtId="3" fontId="21" fillId="0" borderId="42" xfId="4" applyNumberFormat="1" applyFont="1" applyFill="1" applyBorder="1" applyAlignment="1">
      <alignment horizontal="right"/>
    </xf>
    <xf numFmtId="3" fontId="21" fillId="0" borderId="42" xfId="4" applyNumberFormat="1" applyFont="1" applyBorder="1" applyAlignment="1">
      <alignment horizontal="right"/>
    </xf>
    <xf numFmtId="3" fontId="21" fillId="13" borderId="42" xfId="4" applyNumberFormat="1" applyFont="1" applyFill="1" applyBorder="1" applyAlignment="1">
      <alignment horizontal="right"/>
    </xf>
    <xf numFmtId="179" fontId="21" fillId="0" borderId="42" xfId="4" applyNumberFormat="1" applyFont="1" applyBorder="1" applyAlignment="1">
      <alignment horizontal="right"/>
    </xf>
    <xf numFmtId="10" fontId="21" fillId="0" borderId="43" xfId="4" applyNumberFormat="1" applyFont="1" applyBorder="1" applyAlignment="1">
      <alignment horizontal="right"/>
    </xf>
    <xf numFmtId="10" fontId="21" fillId="0" borderId="0" xfId="5" applyNumberFormat="1" applyFont="1" applyAlignment="1">
      <alignment horizontal="right"/>
    </xf>
    <xf numFmtId="0" fontId="21" fillId="0" borderId="0" xfId="5" applyNumberFormat="1" applyFont="1" applyAlignment="1">
      <alignment horizontal="center"/>
    </xf>
    <xf numFmtId="0" fontId="21" fillId="0" borderId="41" xfId="4" applyFont="1" applyBorder="1" applyAlignment="1">
      <alignment horizontal="center"/>
    </xf>
    <xf numFmtId="10" fontId="21" fillId="0" borderId="0" xfId="5" applyNumberFormat="1" applyFont="1" applyBorder="1" applyAlignment="1">
      <alignment horizontal="right"/>
    </xf>
    <xf numFmtId="0" fontId="26" fillId="0" borderId="0" xfId="5" applyNumberFormat="1" applyFont="1" applyBorder="1" applyAlignment="1">
      <alignment horizontal="left"/>
    </xf>
    <xf numFmtId="0" fontId="26" fillId="0" borderId="0" xfId="5" applyNumberFormat="1" applyFont="1" applyBorder="1" applyAlignment="1">
      <alignment horizontal="center"/>
    </xf>
    <xf numFmtId="3" fontId="26" fillId="0" borderId="0" xfId="4" applyNumberFormat="1" applyFont="1" applyBorder="1" applyAlignment="1"/>
    <xf numFmtId="0" fontId="26" fillId="0" borderId="0" xfId="4" applyFont="1" applyBorder="1" applyAlignment="1">
      <alignment horizontal="center"/>
    </xf>
    <xf numFmtId="10" fontId="26" fillId="0" borderId="0" xfId="4" applyNumberFormat="1" applyFont="1" applyBorder="1" applyAlignment="1">
      <alignment horizontal="right"/>
    </xf>
    <xf numFmtId="10" fontId="27" fillId="0" borderId="0" xfId="5" applyNumberFormat="1" applyFont="1" applyBorder="1" applyAlignment="1">
      <alignment horizontal="right"/>
    </xf>
    <xf numFmtId="10" fontId="26" fillId="0" borderId="0" xfId="5" applyNumberFormat="1" applyFont="1" applyBorder="1" applyAlignment="1">
      <alignment horizontal="right"/>
    </xf>
    <xf numFmtId="3" fontId="21" fillId="0" borderId="0" xfId="4" applyNumberFormat="1" applyFont="1" applyBorder="1" applyAlignment="1">
      <alignment horizontal="center"/>
    </xf>
    <xf numFmtId="0" fontId="21" fillId="0" borderId="26" xfId="4" applyFont="1" applyBorder="1" applyAlignment="1">
      <alignment horizontal="center"/>
    </xf>
    <xf numFmtId="3" fontId="21" fillId="0" borderId="0" xfId="4" applyNumberFormat="1" applyFont="1" applyBorder="1" applyAlignment="1">
      <alignment horizontal="right"/>
    </xf>
    <xf numFmtId="37" fontId="21" fillId="0" borderId="0" xfId="4" applyNumberFormat="1" applyFont="1" applyBorder="1" applyAlignment="1">
      <alignment horizontal="right"/>
    </xf>
    <xf numFmtId="179" fontId="21" fillId="0" borderId="0" xfId="4" applyNumberFormat="1" applyFont="1" applyBorder="1" applyAlignment="1">
      <alignment horizontal="right"/>
    </xf>
    <xf numFmtId="10" fontId="21" fillId="0" borderId="27" xfId="4" applyNumberFormat="1" applyFont="1" applyBorder="1" applyAlignment="1">
      <alignment horizontal="right"/>
    </xf>
    <xf numFmtId="0" fontId="21" fillId="0" borderId="29" xfId="4" applyFont="1" applyBorder="1" applyAlignment="1">
      <alignment horizontal="center"/>
    </xf>
    <xf numFmtId="0" fontId="21" fillId="0" borderId="30" xfId="4" applyFont="1" applyBorder="1" applyAlignment="1">
      <alignment horizontal="center"/>
    </xf>
    <xf numFmtId="3" fontId="21" fillId="0" borderId="30" xfId="4" applyNumberFormat="1" applyFont="1" applyBorder="1" applyAlignment="1">
      <alignment horizontal="center"/>
    </xf>
    <xf numFmtId="0" fontId="21" fillId="0" borderId="31" xfId="4" applyFont="1" applyBorder="1" applyAlignment="1">
      <alignment horizontal="center"/>
    </xf>
    <xf numFmtId="0" fontId="26" fillId="0" borderId="0" xfId="4" applyFont="1" applyAlignment="1">
      <alignment horizontal="center"/>
    </xf>
    <xf numFmtId="0" fontId="22" fillId="0" borderId="26" xfId="4" applyFont="1" applyBorder="1" applyAlignment="1">
      <alignment horizontal="left"/>
    </xf>
    <xf numFmtId="0" fontId="21" fillId="0" borderId="0" xfId="4" applyFont="1" applyFill="1" applyBorder="1" applyAlignment="1">
      <alignment horizontal="center"/>
    </xf>
    <xf numFmtId="0" fontId="21" fillId="0" borderId="44" xfId="4" applyFont="1" applyBorder="1" applyAlignment="1">
      <alignment horizontal="center"/>
    </xf>
    <xf numFmtId="3" fontId="21" fillId="0" borderId="45" xfId="4" applyNumberFormat="1" applyFont="1" applyFill="1" applyBorder="1" applyAlignment="1">
      <alignment horizontal="right"/>
    </xf>
    <xf numFmtId="3" fontId="21" fillId="0" borderId="45" xfId="4" applyNumberFormat="1" applyFont="1" applyBorder="1" applyAlignment="1">
      <alignment horizontal="right"/>
    </xf>
    <xf numFmtId="3" fontId="21" fillId="14" borderId="45" xfId="4" applyNumberFormat="1" applyFont="1" applyFill="1" applyBorder="1" applyAlignment="1">
      <alignment horizontal="right"/>
    </xf>
    <xf numFmtId="179" fontId="21" fillId="0" borderId="45" xfId="4" applyNumberFormat="1" applyFont="1" applyFill="1" applyBorder="1" applyAlignment="1">
      <alignment horizontal="right"/>
    </xf>
    <xf numFmtId="10" fontId="21" fillId="0" borderId="46" xfId="4" applyNumberFormat="1" applyFont="1" applyBorder="1" applyAlignment="1">
      <alignment horizontal="right"/>
    </xf>
    <xf numFmtId="3" fontId="21" fillId="14" borderId="42" xfId="4" applyNumberFormat="1" applyFont="1" applyFill="1" applyBorder="1" applyAlignment="1">
      <alignment horizontal="right"/>
    </xf>
    <xf numFmtId="179" fontId="21" fillId="0" borderId="42" xfId="4" applyNumberFormat="1" applyFont="1" applyFill="1" applyBorder="1" applyAlignment="1">
      <alignment horizontal="right"/>
    </xf>
    <xf numFmtId="0" fontId="21" fillId="0" borderId="26" xfId="4" quotePrefix="1" applyFont="1" applyBorder="1" applyAlignment="1">
      <alignment horizontal="center"/>
    </xf>
    <xf numFmtId="0" fontId="21" fillId="0" borderId="0" xfId="4" quotePrefix="1" applyFont="1" applyBorder="1" applyAlignment="1">
      <alignment horizontal="right"/>
    </xf>
    <xf numFmtId="0" fontId="21" fillId="0" borderId="27" xfId="4" quotePrefix="1" applyFont="1" applyBorder="1" applyAlignment="1">
      <alignment horizontal="right"/>
    </xf>
    <xf numFmtId="0" fontId="18" fillId="0" borderId="0" xfId="4" applyFont="1" applyBorder="1" applyAlignment="1">
      <alignment horizontal="left"/>
    </xf>
    <xf numFmtId="0" fontId="28" fillId="0" borderId="0" xfId="4" applyFont="1" applyAlignment="1">
      <alignment horizontal="center"/>
    </xf>
    <xf numFmtId="41" fontId="26" fillId="0" borderId="0" xfId="4" applyNumberFormat="1" applyFont="1" applyFill="1" applyBorder="1" applyAlignment="1">
      <alignment horizontal="right"/>
    </xf>
    <xf numFmtId="3" fontId="26" fillId="0" borderId="0" xfId="4" applyNumberFormat="1" applyFont="1" applyFill="1" applyBorder="1" applyAlignment="1">
      <alignment horizontal="right"/>
    </xf>
    <xf numFmtId="179" fontId="26" fillId="0" borderId="0" xfId="4" applyNumberFormat="1" applyFont="1" applyFill="1" applyBorder="1" applyAlignment="1">
      <alignment horizontal="right"/>
    </xf>
    <xf numFmtId="10" fontId="26" fillId="0" borderId="0" xfId="4" applyNumberFormat="1" applyFont="1" applyFill="1" applyBorder="1" applyAlignment="1">
      <alignment horizontal="right"/>
    </xf>
    <xf numFmtId="0" fontId="28" fillId="0" borderId="21" xfId="4" applyFont="1" applyBorder="1" applyAlignment="1">
      <alignment horizontal="center"/>
    </xf>
    <xf numFmtId="41" fontId="26" fillId="0" borderId="21" xfId="4" applyNumberFormat="1" applyFont="1" applyFill="1" applyBorder="1" applyAlignment="1">
      <alignment horizontal="right"/>
    </xf>
    <xf numFmtId="3" fontId="26" fillId="0" borderId="21" xfId="4" applyNumberFormat="1" applyFont="1" applyFill="1" applyBorder="1" applyAlignment="1">
      <alignment horizontal="right"/>
    </xf>
    <xf numFmtId="179" fontId="26" fillId="0" borderId="21" xfId="4" applyNumberFormat="1" applyFont="1" applyFill="1" applyBorder="1" applyAlignment="1">
      <alignment horizontal="right"/>
    </xf>
    <xf numFmtId="10" fontId="26" fillId="0" borderId="21" xfId="4" applyNumberFormat="1" applyFont="1" applyFill="1" applyBorder="1" applyAlignment="1">
      <alignment horizontal="right"/>
    </xf>
    <xf numFmtId="0" fontId="10" fillId="0" borderId="23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33" fillId="0" borderId="26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10" fontId="8" fillId="0" borderId="27" xfId="0" applyNumberFormat="1" applyFont="1" applyBorder="1" applyAlignment="1">
      <alignment horizontal="right" vertical="center"/>
    </xf>
    <xf numFmtId="10" fontId="8" fillId="0" borderId="30" xfId="0" applyNumberFormat="1" applyFont="1" applyBorder="1" applyAlignment="1">
      <alignment horizontal="right" vertical="center"/>
    </xf>
    <xf numFmtId="10" fontId="8" fillId="0" borderId="24" xfId="0" applyNumberFormat="1" applyFont="1" applyBorder="1" applyAlignment="1">
      <alignment horizontal="right" vertical="center"/>
    </xf>
    <xf numFmtId="10" fontId="8" fillId="0" borderId="25" xfId="0" applyNumberFormat="1" applyFont="1" applyBorder="1" applyAlignment="1">
      <alignment horizontal="right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vertical="center"/>
    </xf>
    <xf numFmtId="0" fontId="8" fillId="0" borderId="31" xfId="0" applyFont="1" applyBorder="1" applyAlignment="1">
      <alignment vertical="center"/>
    </xf>
    <xf numFmtId="0" fontId="13" fillId="0" borderId="2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34" fillId="0" borderId="0" xfId="0" applyFont="1" applyAlignment="1">
      <alignment horizontal="left" wrapText="1"/>
    </xf>
    <xf numFmtId="0" fontId="34" fillId="0" borderId="0" xfId="0" applyFont="1" applyAlignment="1">
      <alignment horizontal="left" vertical="top" wrapText="1"/>
    </xf>
    <xf numFmtId="0" fontId="8" fillId="0" borderId="27" xfId="0" applyFont="1" applyBorder="1" applyAlignment="1">
      <alignment vertical="center"/>
    </xf>
    <xf numFmtId="0" fontId="9" fillId="0" borderId="0" xfId="0" applyFont="1" applyAlignment="1">
      <alignment horizontal="left" vertical="center" indent="2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indent="5"/>
    </xf>
    <xf numFmtId="0" fontId="36" fillId="0" borderId="32" xfId="0" applyFont="1" applyBorder="1" applyAlignment="1">
      <alignment horizontal="center" vertical="center" wrapText="1"/>
    </xf>
    <xf numFmtId="0" fontId="36" fillId="0" borderId="50" xfId="0" applyFont="1" applyBorder="1" applyAlignment="1">
      <alignment horizontal="center" vertical="center" wrapText="1"/>
    </xf>
    <xf numFmtId="0" fontId="36" fillId="0" borderId="51" xfId="0" applyFont="1" applyBorder="1" applyAlignment="1">
      <alignment horizontal="center" vertical="center" wrapText="1"/>
    </xf>
    <xf numFmtId="183" fontId="9" fillId="0" borderId="31" xfId="0" applyNumberFormat="1" applyFont="1" applyBorder="1" applyAlignment="1">
      <alignment horizontal="center" vertical="center" wrapText="1"/>
    </xf>
    <xf numFmtId="0" fontId="37" fillId="0" borderId="0" xfId="0" applyFont="1" applyAlignment="1">
      <alignment vertical="center"/>
    </xf>
    <xf numFmtId="0" fontId="0" fillId="0" borderId="0" xfId="0" applyAlignment="1">
      <alignment horizontal="left" vertical="center" indent="5"/>
    </xf>
    <xf numFmtId="0" fontId="37" fillId="0" borderId="0" xfId="0" applyFont="1" applyAlignment="1">
      <alignment horizontal="right" vertical="center" indent="7"/>
    </xf>
    <xf numFmtId="0" fontId="9" fillId="0" borderId="0" xfId="0" applyFont="1" applyAlignment="1">
      <alignment horizontal="right" vertical="center" indent="7"/>
    </xf>
    <xf numFmtId="0" fontId="9" fillId="0" borderId="0" xfId="0" applyFont="1"/>
    <xf numFmtId="0" fontId="38" fillId="0" borderId="0" xfId="0" applyFont="1"/>
    <xf numFmtId="0" fontId="3" fillId="16" borderId="4" xfId="0" applyFont="1" applyFill="1" applyBorder="1"/>
    <xf numFmtId="168" fontId="15" fillId="16" borderId="3" xfId="0" applyNumberFormat="1" applyFont="1" applyFill="1" applyBorder="1"/>
    <xf numFmtId="164" fontId="15" fillId="16" borderId="2" xfId="0" applyNumberFormat="1" applyFont="1" applyFill="1" applyBorder="1"/>
    <xf numFmtId="6" fontId="15" fillId="16" borderId="0" xfId="0" applyNumberFormat="1" applyFont="1" applyFill="1" applyBorder="1"/>
    <xf numFmtId="168" fontId="13" fillId="16" borderId="4" xfId="0" applyNumberFormat="1" applyFont="1" applyFill="1" applyBorder="1"/>
    <xf numFmtId="164" fontId="0" fillId="16" borderId="4" xfId="0" applyNumberFormat="1" applyFont="1" applyFill="1" applyBorder="1"/>
    <xf numFmtId="165" fontId="15" fillId="16" borderId="4" xfId="0" applyNumberFormat="1" applyFont="1" applyFill="1" applyBorder="1"/>
    <xf numFmtId="164" fontId="15" fillId="16" borderId="4" xfId="0" applyNumberFormat="1" applyFont="1" applyFill="1" applyBorder="1"/>
    <xf numFmtId="177" fontId="12" fillId="16" borderId="5" xfId="0" applyNumberFormat="1" applyFont="1" applyFill="1" applyBorder="1"/>
    <xf numFmtId="0" fontId="3" fillId="16" borderId="4" xfId="0" applyFont="1" applyFill="1" applyBorder="1" applyAlignment="1">
      <alignment horizontal="centerContinuous"/>
    </xf>
    <xf numFmtId="168" fontId="12" fillId="16" borderId="4" xfId="0" applyNumberFormat="1" applyFont="1" applyFill="1" applyBorder="1"/>
    <xf numFmtId="164" fontId="0" fillId="16" borderId="2" xfId="0" applyNumberFormat="1" applyFont="1" applyFill="1" applyBorder="1" applyAlignment="1">
      <alignment horizontal="centerContinuous"/>
    </xf>
    <xf numFmtId="165" fontId="15" fillId="16" borderId="2" xfId="0" applyNumberFormat="1" applyFont="1" applyFill="1" applyBorder="1"/>
    <xf numFmtId="0" fontId="3" fillId="16" borderId="3" xfId="0" applyFont="1" applyFill="1" applyBorder="1" applyAlignment="1">
      <alignment horizontal="centerContinuous"/>
    </xf>
    <xf numFmtId="6" fontId="0" fillId="16" borderId="0" xfId="0" applyNumberFormat="1" applyFill="1" applyBorder="1" applyAlignment="1">
      <alignment horizontal="centerContinuous"/>
    </xf>
    <xf numFmtId="168" fontId="15" fillId="16" borderId="2" xfId="0" applyNumberFormat="1" applyFont="1" applyFill="1" applyBorder="1"/>
    <xf numFmtId="168" fontId="15" fillId="16" borderId="0" xfId="0" applyNumberFormat="1" applyFont="1" applyFill="1" applyBorder="1"/>
    <xf numFmtId="168" fontId="15" fillId="16" borderId="4" xfId="0" applyNumberFormat="1" applyFont="1" applyFill="1" applyBorder="1"/>
    <xf numFmtId="173" fontId="15" fillId="16" borderId="4" xfId="0" applyNumberFormat="1" applyFont="1" applyFill="1" applyBorder="1"/>
    <xf numFmtId="173" fontId="15" fillId="16" borderId="0" xfId="0" applyNumberFormat="1" applyFont="1" applyFill="1" applyBorder="1"/>
    <xf numFmtId="173" fontId="15" fillId="16" borderId="2" xfId="0" applyNumberFormat="1" applyFont="1" applyFill="1" applyBorder="1"/>
    <xf numFmtId="173" fontId="15" fillId="0" borderId="3" xfId="0" applyNumberFormat="1" applyFont="1" applyFill="1" applyBorder="1"/>
    <xf numFmtId="174" fontId="0" fillId="16" borderId="0" xfId="3" applyNumberFormat="1" applyFont="1" applyFill="1"/>
    <xf numFmtId="172" fontId="0" fillId="16" borderId="0" xfId="0" applyNumberFormat="1" applyFill="1"/>
    <xf numFmtId="44" fontId="6" fillId="16" borderId="0" xfId="0" applyNumberFormat="1" applyFont="1" applyFill="1"/>
    <xf numFmtId="174" fontId="6" fillId="16" borderId="0" xfId="0" applyNumberFormat="1" applyFont="1" applyFill="1"/>
    <xf numFmtId="0" fontId="5" fillId="16" borderId="0" xfId="0" applyFont="1" applyFill="1" applyAlignment="1">
      <alignment horizontal="left"/>
    </xf>
    <xf numFmtId="0" fontId="2" fillId="0" borderId="0" xfId="0" applyFont="1" applyAlignment="1">
      <alignment horizontal="right"/>
    </xf>
    <xf numFmtId="0" fontId="10" fillId="0" borderId="26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8" fillId="0" borderId="0" xfId="4" applyFont="1" applyAlignment="1">
      <alignment horizontal="left" wrapText="1"/>
    </xf>
    <xf numFmtId="0" fontId="19" fillId="0" borderId="0" xfId="4" applyFont="1" applyAlignment="1">
      <alignment horizontal="center"/>
    </xf>
    <xf numFmtId="0" fontId="8" fillId="0" borderId="0" xfId="0" applyFont="1" applyAlignment="1">
      <alignment vertical="center"/>
    </xf>
    <xf numFmtId="0" fontId="8" fillId="0" borderId="27" xfId="0" applyFont="1" applyBorder="1" applyAlignment="1">
      <alignment vertical="center"/>
    </xf>
    <xf numFmtId="0" fontId="10" fillId="0" borderId="0" xfId="0" applyFont="1" applyAlignment="1">
      <alignment horizontal="center" vertical="center"/>
    </xf>
  </cellXfs>
  <cellStyles count="25">
    <cellStyle name="Comma" xfId="1" builtinId="3"/>
    <cellStyle name="Comma 2" xfId="6"/>
    <cellStyle name="Comma 3" xfId="7"/>
    <cellStyle name="Currency" xfId="3" builtinId="4"/>
    <cellStyle name="Entered" xfId="8"/>
    <cellStyle name="Grey" xfId="9"/>
    <cellStyle name="Heading1" xfId="10"/>
    <cellStyle name="Heading2" xfId="11"/>
    <cellStyle name="Input [yellow]" xfId="12"/>
    <cellStyle name="modified border" xfId="13"/>
    <cellStyle name="modified border1" xfId="14"/>
    <cellStyle name="Normal" xfId="0" builtinId="0"/>
    <cellStyle name="Normal - Style1" xfId="15"/>
    <cellStyle name="Normal 2" xfId="16"/>
    <cellStyle name="Normal 3" xfId="17"/>
    <cellStyle name="Normal 4" xfId="18"/>
    <cellStyle name="Normal 5" xfId="19"/>
    <cellStyle name="Normal_Energy and Demand Allocations_TYE 09-30-2003_WEATHER ADJUSTEDV5 2" xfId="4"/>
    <cellStyle name="Percent" xfId="2" builtinId="5"/>
    <cellStyle name="Percent [2]" xfId="20"/>
    <cellStyle name="Percent 2" xfId="21"/>
    <cellStyle name="Percent 3" xfId="5"/>
    <cellStyle name="StmtTtl1" xfId="22"/>
    <cellStyle name="StmtTtl2" xfId="23"/>
    <cellStyle name="Style 1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tabSelected="1" workbookViewId="0">
      <selection activeCell="A2" sqref="A2"/>
    </sheetView>
  </sheetViews>
  <sheetFormatPr defaultColWidth="12.5703125" defaultRowHeight="15" x14ac:dyDescent="0.25"/>
  <cols>
    <col min="1" max="1" width="14.28515625" customWidth="1"/>
  </cols>
  <sheetData>
    <row r="1" spans="1:6" x14ac:dyDescent="0.25">
      <c r="A1" s="299" t="s">
        <v>172</v>
      </c>
    </row>
    <row r="2" spans="1:6" ht="14.45" x14ac:dyDescent="0.3">
      <c r="A2" s="300"/>
    </row>
    <row r="3" spans="1:6" ht="15.75" thickBot="1" x14ac:dyDescent="0.3">
      <c r="A3" s="301" t="s">
        <v>173</v>
      </c>
    </row>
    <row r="4" spans="1:6" thickBot="1" x14ac:dyDescent="0.35">
      <c r="A4" s="302" t="s">
        <v>174</v>
      </c>
      <c r="B4" s="303">
        <v>2019</v>
      </c>
      <c r="C4" s="303">
        <v>2020</v>
      </c>
      <c r="D4" s="303">
        <v>2021</v>
      </c>
      <c r="E4" s="303">
        <v>2022</v>
      </c>
      <c r="F4" s="303">
        <v>2023</v>
      </c>
    </row>
    <row r="5" spans="1:6" thickBot="1" x14ac:dyDescent="0.35">
      <c r="A5" s="304" t="s">
        <v>175</v>
      </c>
      <c r="B5" s="305">
        <f>+ROUND('Blended Summary'!C7/1000,6)</f>
        <v>5.0214000000000002E-2</v>
      </c>
      <c r="C5" s="305">
        <f>+ROUND('Blended Summary'!D7/1000,6)</f>
        <v>5.1218E-2</v>
      </c>
      <c r="D5" s="305">
        <f>+ROUND('Blended Summary'!E7/1000,6)</f>
        <v>4.6565000000000002E-2</v>
      </c>
      <c r="E5" s="305">
        <f>+ROUND('Blended Summary'!F7/1000,6)</f>
        <v>4.7495999999999997E-2</v>
      </c>
      <c r="F5" s="305">
        <f>+ROUND('Blended Summary'!G7/1000,6)</f>
        <v>4.8446000000000003E-2</v>
      </c>
    </row>
    <row r="6" spans="1:6" thickBot="1" x14ac:dyDescent="0.35">
      <c r="A6" s="306"/>
    </row>
    <row r="7" spans="1:6" thickBot="1" x14ac:dyDescent="0.35">
      <c r="A7" s="302" t="s">
        <v>174</v>
      </c>
      <c r="B7" s="303">
        <v>2024</v>
      </c>
      <c r="C7" s="303">
        <v>2025</v>
      </c>
      <c r="D7" s="303">
        <v>2026</v>
      </c>
      <c r="E7" s="303">
        <v>2027</v>
      </c>
      <c r="F7" s="303">
        <v>2028</v>
      </c>
    </row>
    <row r="8" spans="1:6" thickBot="1" x14ac:dyDescent="0.35">
      <c r="A8" s="304" t="s">
        <v>175</v>
      </c>
      <c r="B8" s="305">
        <f>+ROUND('Blended Summary'!H7/1000,6)</f>
        <v>4.9415000000000001E-2</v>
      </c>
      <c r="C8" s="305">
        <f>+ROUND('Blended Summary'!I7/1000,6)</f>
        <v>5.0403000000000003E-2</v>
      </c>
      <c r="D8" s="305">
        <f>+ROUND('Blended Summary'!J7/1000,6)</f>
        <v>5.1410999999999998E-2</v>
      </c>
      <c r="E8" s="305">
        <f>+ROUND('Blended Summary'!K7/1000,6)</f>
        <v>5.2440000000000001E-2</v>
      </c>
      <c r="F8" s="305">
        <f>+ROUND('Blended Summary'!L7/1000,6)</f>
        <v>5.3489000000000002E-2</v>
      </c>
    </row>
    <row r="9" spans="1:6" thickBot="1" x14ac:dyDescent="0.35">
      <c r="A9" s="306"/>
    </row>
    <row r="10" spans="1:6" thickBot="1" x14ac:dyDescent="0.35">
      <c r="A10" s="302" t="s">
        <v>174</v>
      </c>
      <c r="B10" s="303">
        <v>2029</v>
      </c>
      <c r="C10" s="303">
        <v>2030</v>
      </c>
      <c r="D10" s="303">
        <v>2031</v>
      </c>
      <c r="E10" s="303">
        <v>2032</v>
      </c>
      <c r="F10" s="303">
        <v>2033</v>
      </c>
    </row>
    <row r="11" spans="1:6" thickBot="1" x14ac:dyDescent="0.35">
      <c r="A11" s="304" t="s">
        <v>175</v>
      </c>
      <c r="B11" s="305">
        <f>+ROUND('Blended Summary'!M7/1000,6)</f>
        <v>5.4558000000000002E-2</v>
      </c>
      <c r="C11" s="305">
        <f>+ROUND('Blended Summary'!N7/1000,6)</f>
        <v>5.5648999999999997E-2</v>
      </c>
      <c r="D11" s="305">
        <f>+ROUND('Blended Summary'!O7/1000,6)</f>
        <v>5.6762E-2</v>
      </c>
      <c r="E11" s="305">
        <f>+ROUND('Blended Summary'!P7/1000,6)</f>
        <v>5.7897999999999998E-2</v>
      </c>
      <c r="F11" s="305">
        <f>+ROUND('Blended Summary'!Q7/1000,6)</f>
        <v>5.9055999999999997E-2</v>
      </c>
    </row>
    <row r="12" spans="1:6" thickBot="1" x14ac:dyDescent="0.35">
      <c r="A12" s="306"/>
    </row>
    <row r="13" spans="1:6" thickBot="1" x14ac:dyDescent="0.35">
      <c r="A13" s="302" t="s">
        <v>174</v>
      </c>
      <c r="B13" s="303">
        <v>2034</v>
      </c>
      <c r="C13" s="303">
        <v>2035</v>
      </c>
      <c r="D13" s="303">
        <v>2036</v>
      </c>
      <c r="E13" s="303">
        <v>2037</v>
      </c>
      <c r="F13" s="303">
        <v>2038</v>
      </c>
    </row>
    <row r="14" spans="1:6" ht="15.75" thickBot="1" x14ac:dyDescent="0.3">
      <c r="A14" s="304" t="s">
        <v>175</v>
      </c>
      <c r="B14" s="305">
        <f>+ROUND('Blended Summary'!R7/1000,6)</f>
        <v>6.0236999999999999E-2</v>
      </c>
      <c r="C14" s="305">
        <f>+ROUND('Blended Summary'!S7/1000,6)</f>
        <v>6.1441000000000003E-2</v>
      </c>
      <c r="D14" s="305">
        <f>+ROUND('Blended Summary'!T7/1000,6)</f>
        <v>6.2670000000000003E-2</v>
      </c>
      <c r="E14" s="305">
        <f>+ROUND('Blended Summary'!U7/1000,6)</f>
        <v>6.3923999999999995E-2</v>
      </c>
      <c r="F14" s="305">
        <f>+ROUND('Blended Summary'!V7/1000,6)</f>
        <v>6.5201999999999996E-2</v>
      </c>
    </row>
    <row r="15" spans="1:6" x14ac:dyDescent="0.25">
      <c r="A15" s="299" t="s">
        <v>176</v>
      </c>
    </row>
    <row r="16" spans="1:6" x14ac:dyDescent="0.25">
      <c r="A16" s="306"/>
    </row>
    <row r="17" spans="1:6" ht="15.75" thickBot="1" x14ac:dyDescent="0.3">
      <c r="A17" s="307" t="s">
        <v>177</v>
      </c>
    </row>
    <row r="18" spans="1:6" ht="15.75" thickBot="1" x14ac:dyDescent="0.3">
      <c r="A18" s="302" t="s">
        <v>174</v>
      </c>
      <c r="B18" s="303">
        <v>2019</v>
      </c>
      <c r="C18" s="303">
        <v>2020</v>
      </c>
      <c r="D18" s="303">
        <v>2021</v>
      </c>
      <c r="E18" s="303">
        <v>2022</v>
      </c>
      <c r="F18" s="303">
        <v>2023</v>
      </c>
    </row>
    <row r="19" spans="1:6" ht="15.75" thickBot="1" x14ac:dyDescent="0.3">
      <c r="A19" s="304" t="s">
        <v>175</v>
      </c>
      <c r="B19" s="305">
        <f>+ROUND('Blended Summary'!C6/1000,6)</f>
        <v>5.0630000000000001E-2</v>
      </c>
      <c r="C19" s="305">
        <f>+ROUND('Blended Summary'!D6/1000,6)</f>
        <v>5.1642E-2</v>
      </c>
      <c r="D19" s="305">
        <f>+ROUND('Blended Summary'!E6/1000,6)</f>
        <v>4.6655000000000002E-2</v>
      </c>
      <c r="E19" s="305">
        <f>+ROUND('Blended Summary'!F6/1000,6)</f>
        <v>4.7587999999999998E-2</v>
      </c>
      <c r="F19" s="305">
        <f>+ROUND('Blended Summary'!G6/1000,6)</f>
        <v>4.854E-2</v>
      </c>
    </row>
    <row r="20" spans="1:6" ht="15.75" thickBot="1" x14ac:dyDescent="0.3">
      <c r="A20" s="308"/>
    </row>
    <row r="21" spans="1:6" ht="15.75" thickBot="1" x14ac:dyDescent="0.3">
      <c r="A21" s="302" t="s">
        <v>174</v>
      </c>
      <c r="B21" s="303">
        <v>2024</v>
      </c>
      <c r="C21" s="303">
        <v>2025</v>
      </c>
      <c r="D21" s="303">
        <v>2026</v>
      </c>
      <c r="E21" s="303">
        <v>2027</v>
      </c>
      <c r="F21" s="303">
        <v>2028</v>
      </c>
    </row>
    <row r="22" spans="1:6" ht="15.75" thickBot="1" x14ac:dyDescent="0.3">
      <c r="A22" s="304" t="s">
        <v>175</v>
      </c>
      <c r="B22" s="305">
        <f>+ROUND('Blended Summary'!H6/1000,6)</f>
        <v>4.9510999999999999E-2</v>
      </c>
      <c r="C22" s="305">
        <f>+ROUND('Blended Summary'!I6/1000,6)</f>
        <v>5.0500999999999997E-2</v>
      </c>
      <c r="D22" s="305">
        <f>+ROUND('Blended Summary'!J6/1000,6)</f>
        <v>5.1511000000000001E-2</v>
      </c>
      <c r="E22" s="305">
        <f>+ROUND('Blended Summary'!K6/1000,6)</f>
        <v>5.2540999999999997E-2</v>
      </c>
      <c r="F22" s="305">
        <f>+ROUND('Blended Summary'!L6/1000,6)</f>
        <v>5.3592000000000001E-2</v>
      </c>
    </row>
    <row r="23" spans="1:6" ht="15.75" thickBot="1" x14ac:dyDescent="0.3">
      <c r="A23" s="308"/>
    </row>
    <row r="24" spans="1:6" ht="15.75" thickBot="1" x14ac:dyDescent="0.3">
      <c r="A24" s="302" t="s">
        <v>174</v>
      </c>
      <c r="B24" s="303">
        <v>2029</v>
      </c>
      <c r="C24" s="303">
        <v>2030</v>
      </c>
      <c r="D24" s="303">
        <v>2031</v>
      </c>
      <c r="E24" s="303">
        <v>2032</v>
      </c>
      <c r="F24" s="303">
        <v>2033</v>
      </c>
    </row>
    <row r="25" spans="1:6" ht="15.75" thickBot="1" x14ac:dyDescent="0.3">
      <c r="A25" s="304" t="s">
        <v>175</v>
      </c>
      <c r="B25" s="305">
        <f>+ROUND('Blended Summary'!M6/1000,6)</f>
        <v>5.4663999999999997E-2</v>
      </c>
      <c r="C25" s="305">
        <f>+ROUND('Blended Summary'!N6/1000,6)</f>
        <v>5.5757000000000001E-2</v>
      </c>
      <c r="D25" s="305">
        <f>+ROUND('Blended Summary'!O6/1000,6)</f>
        <v>5.6871999999999999E-2</v>
      </c>
      <c r="E25" s="305">
        <f>+ROUND('Blended Summary'!P6/1000,6)</f>
        <v>5.8008999999999998E-2</v>
      </c>
      <c r="F25" s="305">
        <f>+ROUND('Blended Summary'!Q6/1000,6)</f>
        <v>5.917E-2</v>
      </c>
    </row>
    <row r="26" spans="1:6" x14ac:dyDescent="0.25">
      <c r="A26" s="299" t="s">
        <v>176</v>
      </c>
    </row>
    <row r="29" spans="1:6" ht="15.75" thickBot="1" x14ac:dyDescent="0.3">
      <c r="A29" s="301" t="s">
        <v>178</v>
      </c>
    </row>
    <row r="30" spans="1:6" ht="15.75" thickBot="1" x14ac:dyDescent="0.3">
      <c r="A30" s="302" t="s">
        <v>174</v>
      </c>
      <c r="B30" s="303">
        <v>2019</v>
      </c>
      <c r="C30" s="303">
        <v>2020</v>
      </c>
      <c r="D30" s="303">
        <v>2021</v>
      </c>
      <c r="E30" s="303">
        <v>2022</v>
      </c>
      <c r="F30" s="303">
        <v>2023</v>
      </c>
    </row>
    <row r="31" spans="1:6" ht="15.75" thickBot="1" x14ac:dyDescent="0.3">
      <c r="A31" s="304" t="s">
        <v>175</v>
      </c>
      <c r="B31" s="305">
        <f>+ROUND('Blended Summary'!C5/1000,6)</f>
        <v>5.1111999999999998E-2</v>
      </c>
      <c r="C31" s="305">
        <f>+ROUND('Blended Summary'!D5/1000,6)</f>
        <v>5.2134E-2</v>
      </c>
      <c r="D31" s="305">
        <f>+ROUND('Blended Summary'!E5/1000,6)</f>
        <v>4.6862000000000001E-2</v>
      </c>
      <c r="E31" s="305">
        <f>+ROUND('Blended Summary'!F5/1000,6)</f>
        <v>4.7799000000000001E-2</v>
      </c>
      <c r="F31" s="305">
        <f>+ROUND('Blended Summary'!G5/1000,6)</f>
        <v>4.8755E-2</v>
      </c>
    </row>
    <row r="32" spans="1:6" ht="15.75" thickBot="1" x14ac:dyDescent="0.3">
      <c r="A32" s="309"/>
    </row>
    <row r="33" spans="1:6" ht="15.75" thickBot="1" x14ac:dyDescent="0.3">
      <c r="A33" s="302" t="s">
        <v>174</v>
      </c>
      <c r="B33" s="303">
        <v>2024</v>
      </c>
      <c r="C33" s="303">
        <v>2025</v>
      </c>
      <c r="D33" s="303">
        <v>2026</v>
      </c>
      <c r="E33" s="303">
        <v>2027</v>
      </c>
      <c r="F33" s="303">
        <v>2028</v>
      </c>
    </row>
    <row r="34" spans="1:6" ht="15.75" thickBot="1" x14ac:dyDescent="0.3">
      <c r="A34" s="304" t="s">
        <v>175</v>
      </c>
      <c r="B34" s="305">
        <f>+ROUND('Blended Summary'!H5/1000,6)</f>
        <v>4.9730000000000003E-2</v>
      </c>
      <c r="C34" s="305">
        <f>+ROUND('Blended Summary'!I5/1000,6)</f>
        <v>5.0724999999999999E-2</v>
      </c>
      <c r="D34" s="305">
        <f>+ROUND('Blended Summary'!J5/1000,6)</f>
        <v>5.1739E-2</v>
      </c>
      <c r="E34" s="305">
        <f>+ROUND('Blended Summary'!K5/1000,6)</f>
        <v>5.2774000000000001E-2</v>
      </c>
      <c r="F34" s="305">
        <f>+ROUND('Blended Summary'!L5/1000,6)</f>
        <v>5.3829000000000002E-2</v>
      </c>
    </row>
    <row r="35" spans="1:6" x14ac:dyDescent="0.25">
      <c r="A35" s="299" t="s">
        <v>176</v>
      </c>
    </row>
    <row r="36" spans="1:6" x14ac:dyDescent="0.25">
      <c r="A36" s="299"/>
    </row>
    <row r="37" spans="1:6" ht="15.75" thickBot="1" x14ac:dyDescent="0.3">
      <c r="A37" s="301" t="s">
        <v>179</v>
      </c>
    </row>
    <row r="38" spans="1:6" ht="15.75" thickBot="1" x14ac:dyDescent="0.3">
      <c r="A38" s="302" t="s">
        <v>174</v>
      </c>
      <c r="B38" s="303">
        <v>2021</v>
      </c>
      <c r="C38" s="303">
        <v>2022</v>
      </c>
      <c r="D38" s="303">
        <v>2023</v>
      </c>
      <c r="E38" s="303">
        <v>2024</v>
      </c>
      <c r="F38" s="303">
        <v>2025</v>
      </c>
    </row>
    <row r="39" spans="1:6" ht="15.75" thickBot="1" x14ac:dyDescent="0.3">
      <c r="A39" s="304" t="s">
        <v>175</v>
      </c>
      <c r="B39" s="305">
        <f>+ROUND('Blended Summary'!E12/1000,6)</f>
        <v>4.6565000000000002E-2</v>
      </c>
      <c r="C39" s="305">
        <f>+ROUND('Blended Summary'!F12/1000,6)</f>
        <v>4.7495999999999997E-2</v>
      </c>
      <c r="D39" s="305">
        <f>+ROUND('Blended Summary'!G12/1000,6)</f>
        <v>4.8446000000000003E-2</v>
      </c>
      <c r="E39" s="305">
        <f>+ROUND('Blended Summary'!H12/1000,6)</f>
        <v>4.9415000000000001E-2</v>
      </c>
      <c r="F39" s="305">
        <f>+ROUND('Blended Summary'!I12/1000,6)</f>
        <v>5.0403000000000003E-2</v>
      </c>
    </row>
    <row r="40" spans="1:6" ht="15.75" thickBot="1" x14ac:dyDescent="0.3">
      <c r="A40" s="300"/>
    </row>
    <row r="41" spans="1:6" ht="15.75" thickBot="1" x14ac:dyDescent="0.3">
      <c r="A41" s="302" t="s">
        <v>174</v>
      </c>
      <c r="B41" s="303">
        <v>2026</v>
      </c>
      <c r="C41" s="303">
        <v>2027</v>
      </c>
      <c r="D41" s="303">
        <v>2028</v>
      </c>
      <c r="E41" s="303">
        <v>2029</v>
      </c>
      <c r="F41" s="303">
        <v>2030</v>
      </c>
    </row>
    <row r="42" spans="1:6" ht="15.75" thickBot="1" x14ac:dyDescent="0.3">
      <c r="A42" s="304" t="s">
        <v>175</v>
      </c>
      <c r="B42" s="305">
        <f>+ROUND('Blended Summary'!J12/1000,6)</f>
        <v>5.1410999999999998E-2</v>
      </c>
      <c r="C42" s="305">
        <f>+ROUND('Blended Summary'!K12/1000,6)</f>
        <v>5.2440000000000001E-2</v>
      </c>
      <c r="D42" s="305">
        <f>+ROUND('Blended Summary'!L12/1000,6)</f>
        <v>5.3489000000000002E-2</v>
      </c>
      <c r="E42" s="305">
        <f>+ROUND('Blended Summary'!M12/1000,6)</f>
        <v>5.4558000000000002E-2</v>
      </c>
      <c r="F42" s="305">
        <f>+ROUND('Blended Summary'!N12/1000,6)</f>
        <v>5.5648999999999997E-2</v>
      </c>
    </row>
    <row r="43" spans="1:6" ht="15.75" thickBot="1" x14ac:dyDescent="0.3">
      <c r="A43" s="300"/>
    </row>
    <row r="44" spans="1:6" ht="15.75" thickBot="1" x14ac:dyDescent="0.3">
      <c r="A44" s="302" t="s">
        <v>174</v>
      </c>
      <c r="B44" s="303">
        <v>2031</v>
      </c>
      <c r="C44" s="303">
        <v>2032</v>
      </c>
      <c r="D44" s="303">
        <v>2033</v>
      </c>
      <c r="E44" s="303">
        <v>2034</v>
      </c>
      <c r="F44" s="303">
        <v>2035</v>
      </c>
    </row>
    <row r="45" spans="1:6" ht="15.75" thickBot="1" x14ac:dyDescent="0.3">
      <c r="A45" s="304" t="s">
        <v>175</v>
      </c>
      <c r="B45" s="305">
        <f>+ROUND('Blended Summary'!O12/1000,6)</f>
        <v>5.6762E-2</v>
      </c>
      <c r="C45" s="305">
        <f>+ROUND('Blended Summary'!P12/1000,6)</f>
        <v>5.7897999999999998E-2</v>
      </c>
      <c r="D45" s="305">
        <f>+ROUND('Blended Summary'!Q12/1000,6)</f>
        <v>5.9055999999999997E-2</v>
      </c>
      <c r="E45" s="305">
        <f>+ROUND('Blended Summary'!R12/1000,6)</f>
        <v>6.0236999999999999E-2</v>
      </c>
      <c r="F45" s="305">
        <f>+ROUND('Blended Summary'!S12/1000,6)</f>
        <v>6.1441000000000003E-2</v>
      </c>
    </row>
    <row r="46" spans="1:6" ht="15.75" thickBot="1" x14ac:dyDescent="0.3">
      <c r="A46" s="300"/>
    </row>
    <row r="47" spans="1:6" ht="15.75" thickBot="1" x14ac:dyDescent="0.3">
      <c r="A47" s="302" t="s">
        <v>174</v>
      </c>
      <c r="B47" s="303">
        <v>2036</v>
      </c>
      <c r="C47" s="303">
        <v>2037</v>
      </c>
      <c r="D47" s="303">
        <v>2038</v>
      </c>
      <c r="E47" s="303"/>
      <c r="F47" s="303"/>
    </row>
    <row r="48" spans="1:6" ht="15.75" thickBot="1" x14ac:dyDescent="0.3">
      <c r="A48" s="304" t="s">
        <v>175</v>
      </c>
      <c r="B48" s="305">
        <f>+ROUND('Blended Summary'!T12/1000,6)</f>
        <v>6.2670000000000003E-2</v>
      </c>
      <c r="C48" s="305">
        <f>+ROUND('Blended Summary'!U12/1000,6)</f>
        <v>6.3923999999999995E-2</v>
      </c>
      <c r="D48" s="305">
        <f>+ROUND('Blended Summary'!V12/1000,6)</f>
        <v>6.5201999999999996E-2</v>
      </c>
      <c r="E48" s="305"/>
      <c r="F48" s="305"/>
    </row>
    <row r="49" spans="1:6" x14ac:dyDescent="0.25">
      <c r="A49" s="299" t="s">
        <v>180</v>
      </c>
    </row>
    <row r="50" spans="1:6" x14ac:dyDescent="0.25">
      <c r="A50" s="299"/>
    </row>
    <row r="51" spans="1:6" x14ac:dyDescent="0.25">
      <c r="A51" s="299"/>
    </row>
    <row r="52" spans="1:6" ht="15.75" thickBot="1" x14ac:dyDescent="0.3">
      <c r="A52" s="301" t="s">
        <v>181</v>
      </c>
    </row>
    <row r="53" spans="1:6" ht="15.75" thickBot="1" x14ac:dyDescent="0.3">
      <c r="A53" s="302" t="s">
        <v>174</v>
      </c>
      <c r="B53" s="303">
        <v>2021</v>
      </c>
      <c r="C53" s="303">
        <v>2022</v>
      </c>
      <c r="D53" s="303">
        <v>2023</v>
      </c>
      <c r="E53" s="303">
        <v>2024</v>
      </c>
      <c r="F53" s="303">
        <v>2025</v>
      </c>
    </row>
    <row r="54" spans="1:6" ht="15.75" thickBot="1" x14ac:dyDescent="0.3">
      <c r="A54" s="304" t="s">
        <v>175</v>
      </c>
      <c r="B54" s="305">
        <f>+ROUND('Blended Summary'!E11/1000,6)</f>
        <v>4.6655000000000002E-2</v>
      </c>
      <c r="C54" s="305">
        <f>+ROUND('Blended Summary'!F11/1000,6)</f>
        <v>4.7587999999999998E-2</v>
      </c>
      <c r="D54" s="305">
        <f>+ROUND('Blended Summary'!G11/1000,6)</f>
        <v>4.854E-2</v>
      </c>
      <c r="E54" s="305">
        <f>+ROUND('Blended Summary'!H11/1000,6)</f>
        <v>4.9510999999999999E-2</v>
      </c>
      <c r="F54" s="305">
        <f>+ROUND('Blended Summary'!I11/1000,6)</f>
        <v>5.0500999999999997E-2</v>
      </c>
    </row>
    <row r="55" spans="1:6" ht="15.75" thickBot="1" x14ac:dyDescent="0.3">
      <c r="A55" s="309"/>
    </row>
    <row r="56" spans="1:6" ht="15.75" thickBot="1" x14ac:dyDescent="0.3">
      <c r="A56" s="302" t="s">
        <v>174</v>
      </c>
      <c r="B56" s="303">
        <v>2026</v>
      </c>
      <c r="C56" s="303">
        <v>2027</v>
      </c>
      <c r="D56" s="303">
        <v>2028</v>
      </c>
      <c r="E56" s="303">
        <v>2029</v>
      </c>
      <c r="F56" s="303">
        <v>2030</v>
      </c>
    </row>
    <row r="57" spans="1:6" ht="15.75" thickBot="1" x14ac:dyDescent="0.3">
      <c r="A57" s="304" t="s">
        <v>175</v>
      </c>
      <c r="B57" s="305">
        <f>+ROUND('Blended Summary'!J11/1000,6)</f>
        <v>5.1511000000000001E-2</v>
      </c>
      <c r="C57" s="305">
        <f>+ROUND('Blended Summary'!K11/1000,6)</f>
        <v>5.2540999999999997E-2</v>
      </c>
      <c r="D57" s="305">
        <f>+ROUND('Blended Summary'!L11/1000,6)</f>
        <v>5.3592000000000001E-2</v>
      </c>
      <c r="E57" s="305">
        <f>+ROUND('Blended Summary'!M11/1000,6)</f>
        <v>5.4663999999999997E-2</v>
      </c>
      <c r="F57" s="305">
        <f>+ROUND('Blended Summary'!N11/1000,6)</f>
        <v>5.5757000000000001E-2</v>
      </c>
    </row>
    <row r="58" spans="1:6" ht="15.75" thickBot="1" x14ac:dyDescent="0.3">
      <c r="A58" s="309"/>
    </row>
    <row r="59" spans="1:6" ht="15.75" thickBot="1" x14ac:dyDescent="0.3">
      <c r="A59" s="302" t="s">
        <v>174</v>
      </c>
      <c r="B59" s="303">
        <v>2031</v>
      </c>
      <c r="C59" s="303">
        <v>2032</v>
      </c>
      <c r="D59" s="303">
        <v>2033</v>
      </c>
      <c r="E59" s="303">
        <v>2034</v>
      </c>
      <c r="F59" s="303">
        <v>2035</v>
      </c>
    </row>
    <row r="60" spans="1:6" ht="15.75" thickBot="1" x14ac:dyDescent="0.3">
      <c r="A60" s="304" t="s">
        <v>175</v>
      </c>
      <c r="B60" s="305">
        <f>+ROUND('Blended Summary'!O11/1000,6)</f>
        <v>5.6871999999999999E-2</v>
      </c>
      <c r="C60" s="305">
        <f>+ROUND('Blended Summary'!P11/1000,6)</f>
        <v>5.8008999999999998E-2</v>
      </c>
      <c r="D60" s="305">
        <f>+ROUND('Blended Summary'!Q11/1000,6)</f>
        <v>5.917E-2</v>
      </c>
      <c r="E60" s="305">
        <f>+ROUND('Blended Summary'!R11/1000,6)</f>
        <v>6.0352999999999997E-2</v>
      </c>
      <c r="F60" s="305">
        <f>+ROUND('Blended Summary'!S11/1000,6)</f>
        <v>6.1559999999999997E-2</v>
      </c>
    </row>
    <row r="61" spans="1:6" x14ac:dyDescent="0.25">
      <c r="A61" s="299" t="s">
        <v>180</v>
      </c>
    </row>
    <row r="63" spans="1:6" x14ac:dyDescent="0.25">
      <c r="A63" s="310"/>
    </row>
    <row r="64" spans="1:6" ht="15.75" thickBot="1" x14ac:dyDescent="0.3">
      <c r="A64" s="301" t="s">
        <v>182</v>
      </c>
    </row>
    <row r="65" spans="1:6" ht="15.75" thickBot="1" x14ac:dyDescent="0.3">
      <c r="A65" s="302" t="s">
        <v>174</v>
      </c>
      <c r="B65" s="303">
        <v>2021</v>
      </c>
      <c r="C65" s="303">
        <v>2022</v>
      </c>
      <c r="D65" s="303">
        <v>2023</v>
      </c>
      <c r="E65" s="303">
        <v>2024</v>
      </c>
      <c r="F65" s="303">
        <v>2025</v>
      </c>
    </row>
    <row r="66" spans="1:6" ht="15.75" thickBot="1" x14ac:dyDescent="0.3">
      <c r="A66" s="304" t="s">
        <v>175</v>
      </c>
      <c r="B66" s="305">
        <f>+ROUND('Blended Summary'!E10/1000,6)</f>
        <v>4.6862000000000001E-2</v>
      </c>
      <c r="C66" s="305">
        <f>+ROUND('Blended Summary'!F10/1000,6)</f>
        <v>4.7799000000000001E-2</v>
      </c>
      <c r="D66" s="305">
        <f>+ROUND('Blended Summary'!G10/1000,6)</f>
        <v>4.8755E-2</v>
      </c>
      <c r="E66" s="305">
        <f>+ROUND('Blended Summary'!H10/1000,6)</f>
        <v>4.9730000000000003E-2</v>
      </c>
      <c r="F66" s="305">
        <f>+ROUND('Blended Summary'!I10/1000,6)</f>
        <v>5.0724999999999999E-2</v>
      </c>
    </row>
    <row r="67" spans="1:6" ht="15.75" thickBot="1" x14ac:dyDescent="0.3">
      <c r="A67" s="309"/>
    </row>
    <row r="68" spans="1:6" ht="15.75" thickBot="1" x14ac:dyDescent="0.3">
      <c r="A68" s="302" t="s">
        <v>174</v>
      </c>
      <c r="B68" s="303">
        <v>2026</v>
      </c>
      <c r="C68" s="303">
        <v>2027</v>
      </c>
      <c r="D68" s="303">
        <v>2028</v>
      </c>
      <c r="E68" s="303">
        <v>2029</v>
      </c>
      <c r="F68" s="303">
        <v>2030</v>
      </c>
    </row>
    <row r="69" spans="1:6" ht="15.75" thickBot="1" x14ac:dyDescent="0.3">
      <c r="A69" s="304" t="s">
        <v>175</v>
      </c>
      <c r="B69" s="305">
        <f>+ROUND('Blended Summary'!J10/1000,6)</f>
        <v>5.1739E-2</v>
      </c>
      <c r="C69" s="305">
        <f>+ROUND('Blended Summary'!K10/1000,6)</f>
        <v>5.2774000000000001E-2</v>
      </c>
      <c r="D69" s="305">
        <f>+ROUND('Blended Summary'!L10/1000,6)</f>
        <v>5.3829000000000002E-2</v>
      </c>
      <c r="E69" s="305">
        <f>+ROUND('Blended Summary'!M10/1000,6)</f>
        <v>5.4906000000000003E-2</v>
      </c>
      <c r="F69" s="305">
        <f>+ROUND('Blended Summary'!N10/1000,6)</f>
        <v>5.6003999999999998E-2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12"/>
  <sheetViews>
    <sheetView showGridLines="0" workbookViewId="0">
      <selection activeCell="B8" activeCellId="1" sqref="B3 B8"/>
    </sheetView>
  </sheetViews>
  <sheetFormatPr defaultRowHeight="15" x14ac:dyDescent="0.25"/>
  <cols>
    <col min="1" max="1" width="2.7109375" customWidth="1"/>
    <col min="2" max="2" width="16" bestFit="1" customWidth="1"/>
  </cols>
  <sheetData>
    <row r="2" spans="2:22" x14ac:dyDescent="0.3">
      <c r="C2" s="86">
        <v>2019</v>
      </c>
      <c r="D2" s="86">
        <v>2020</v>
      </c>
      <c r="E2" s="86">
        <v>2021</v>
      </c>
      <c r="F2" s="86">
        <v>2022</v>
      </c>
      <c r="G2" s="86">
        <v>2023</v>
      </c>
      <c r="H2" s="86">
        <v>2024</v>
      </c>
      <c r="I2" s="86">
        <v>2025</v>
      </c>
      <c r="J2" s="86">
        <v>2026</v>
      </c>
      <c r="K2" s="86">
        <v>2027</v>
      </c>
      <c r="L2" s="86">
        <v>2028</v>
      </c>
      <c r="M2" s="86">
        <v>2029</v>
      </c>
      <c r="N2" s="86">
        <v>2030</v>
      </c>
      <c r="O2" s="86">
        <v>2031</v>
      </c>
      <c r="P2" s="86">
        <v>2032</v>
      </c>
      <c r="Q2" s="86">
        <v>2033</v>
      </c>
      <c r="R2" s="86">
        <v>2034</v>
      </c>
      <c r="S2" s="86">
        <v>2035</v>
      </c>
      <c r="T2" s="86">
        <v>2036</v>
      </c>
      <c r="U2" s="86">
        <v>2037</v>
      </c>
      <c r="V2" s="86">
        <v>2038</v>
      </c>
    </row>
    <row r="3" spans="2:22" x14ac:dyDescent="0.3">
      <c r="B3" s="311" t="str">
        <f>+'Tariff Sheets'!A15</f>
        <v>Only available for meters located at service address already under contract for Renewable Energy and enrolled under this tariff schedule from the previous Open Season.</v>
      </c>
    </row>
    <row r="4" spans="2:22" x14ac:dyDescent="0.3">
      <c r="B4" s="141" t="s">
        <v>49</v>
      </c>
      <c r="C4" s="142">
        <v>1</v>
      </c>
      <c r="D4" s="142">
        <v>2</v>
      </c>
      <c r="E4" s="142">
        <v>3</v>
      </c>
      <c r="F4" s="142">
        <v>4</v>
      </c>
      <c r="G4" s="142">
        <v>5</v>
      </c>
      <c r="H4" s="142">
        <v>6</v>
      </c>
      <c r="I4" s="142">
        <v>7</v>
      </c>
      <c r="J4" s="142">
        <v>8</v>
      </c>
      <c r="K4" s="142">
        <v>9</v>
      </c>
      <c r="L4" s="143">
        <v>10</v>
      </c>
      <c r="M4" s="142">
        <v>11</v>
      </c>
      <c r="N4" s="142">
        <v>12</v>
      </c>
      <c r="O4" s="142">
        <v>13</v>
      </c>
      <c r="P4" s="142">
        <v>14</v>
      </c>
      <c r="Q4" s="142">
        <v>15</v>
      </c>
      <c r="R4" s="142">
        <v>16</v>
      </c>
      <c r="S4" s="142">
        <v>17</v>
      </c>
      <c r="T4" s="142">
        <v>18</v>
      </c>
      <c r="U4" s="142">
        <v>19</v>
      </c>
      <c r="V4" s="143">
        <v>20</v>
      </c>
    </row>
    <row r="5" spans="2:22" x14ac:dyDescent="0.3">
      <c r="B5" s="139" t="s">
        <v>50</v>
      </c>
      <c r="C5" s="140">
        <f>'Blended Calculation (R)'!G$97</f>
        <v>51.111595395450372</v>
      </c>
      <c r="D5" s="140">
        <f>'Blended Calculation (R)'!H$97</f>
        <v>52.133827303359382</v>
      </c>
      <c r="E5" s="140">
        <f>'Blended Calculation (R)'!I$97</f>
        <v>46.861795925788954</v>
      </c>
      <c r="F5" s="140">
        <f>'Blended Calculation (R)'!J$97</f>
        <v>47.799031844304736</v>
      </c>
      <c r="G5" s="140">
        <f>'Blended Calculation (R)'!K$97</f>
        <v>48.755012481190832</v>
      </c>
      <c r="H5" s="140">
        <f>'Blended Calculation (R)'!L$97</f>
        <v>49.730112730814646</v>
      </c>
      <c r="I5" s="140">
        <f>'Blended Calculation (R)'!M$97</f>
        <v>50.724714985430943</v>
      </c>
      <c r="J5" s="140">
        <f>'Blended Calculation (R)'!N$97</f>
        <v>51.739209285139566</v>
      </c>
      <c r="K5" s="140">
        <f>'Blended Calculation (R)'!O$97</f>
        <v>52.773993470842356</v>
      </c>
      <c r="L5" s="140">
        <f>'Blended Calculation (R)'!P$97</f>
        <v>53.829473340259206</v>
      </c>
      <c r="M5" s="140"/>
      <c r="N5" s="140"/>
      <c r="O5" s="140"/>
      <c r="P5" s="140"/>
      <c r="Q5" s="140"/>
      <c r="R5" s="140"/>
      <c r="S5" s="140"/>
      <c r="T5" s="140"/>
      <c r="U5" s="140"/>
      <c r="V5" s="140"/>
    </row>
    <row r="6" spans="2:22" x14ac:dyDescent="0.3">
      <c r="B6" s="87" t="s">
        <v>51</v>
      </c>
      <c r="C6" s="138">
        <f>'Blended Calculation (R)'!G$98</f>
        <v>50.629657816781602</v>
      </c>
      <c r="D6" s="138">
        <f>'Blended Calculation (R)'!H$98</f>
        <v>51.642250973117235</v>
      </c>
      <c r="E6" s="138">
        <f>'Blended Calculation (R)'!I$98</f>
        <v>46.654886002806776</v>
      </c>
      <c r="F6" s="138">
        <f>'Blended Calculation (R)'!J$98</f>
        <v>47.587983722862916</v>
      </c>
      <c r="G6" s="138">
        <f>'Blended Calculation (R)'!K$98</f>
        <v>48.539743397320173</v>
      </c>
      <c r="H6" s="138">
        <f>'Blended Calculation (R)'!L$98</f>
        <v>49.510538265266575</v>
      </c>
      <c r="I6" s="138">
        <f>'Blended Calculation (R)'!M$98</f>
        <v>50.50074903057191</v>
      </c>
      <c r="J6" s="138">
        <f>'Blended Calculation (R)'!N$98</f>
        <v>51.510764011183348</v>
      </c>
      <c r="K6" s="138">
        <f>'Blended Calculation (R)'!O$98</f>
        <v>52.540979291407012</v>
      </c>
      <c r="L6" s="138">
        <f>'Blended Calculation (R)'!P$98</f>
        <v>53.591798877235156</v>
      </c>
      <c r="M6" s="138">
        <f>'Blended Calculation (R)'!Q98</f>
        <v>54.663634854779858</v>
      </c>
      <c r="N6" s="138">
        <f>'Blended Calculation (R)'!R98</f>
        <v>55.756907551875457</v>
      </c>
      <c r="O6" s="138">
        <f>'Blended Calculation (R)'!S98</f>
        <v>56.87204570291297</v>
      </c>
      <c r="P6" s="138">
        <f>'Blended Calculation (R)'!T98</f>
        <v>58.00948661697123</v>
      </c>
      <c r="Q6" s="138">
        <f>'Blended Calculation (R)'!U98</f>
        <v>59.169676349310656</v>
      </c>
      <c r="R6" s="138"/>
      <c r="S6" s="138"/>
      <c r="T6" s="138"/>
      <c r="U6" s="138"/>
      <c r="V6" s="138"/>
    </row>
    <row r="7" spans="2:22" x14ac:dyDescent="0.3">
      <c r="B7" s="87" t="s">
        <v>52</v>
      </c>
      <c r="C7" s="138">
        <f>'Blended Calculation (R)'!G$99</f>
        <v>50.214167737411159</v>
      </c>
      <c r="D7" s="138">
        <f>'Blended Calculation (R)'!H$99</f>
        <v>51.218451092159384</v>
      </c>
      <c r="E7" s="138">
        <f>'Blended Calculation (R)'!I$99</f>
        <v>46.564970503911859</v>
      </c>
      <c r="F7" s="138">
        <f>'Blended Calculation (R)'!J$99</f>
        <v>47.496269913990098</v>
      </c>
      <c r="G7" s="138">
        <f>'Blended Calculation (R)'!K$99</f>
        <v>48.4461953122699</v>
      </c>
      <c r="H7" s="138">
        <f>'Blended Calculation (R)'!L$99</f>
        <v>49.415119218515301</v>
      </c>
      <c r="I7" s="138">
        <f>'Blended Calculation (R)'!M$99</f>
        <v>50.403421602885608</v>
      </c>
      <c r="J7" s="138">
        <f>'Blended Calculation (R)'!N$99</f>
        <v>51.41149003494332</v>
      </c>
      <c r="K7" s="138">
        <f>'Blended Calculation (R)'!O$99</f>
        <v>52.439719835642187</v>
      </c>
      <c r="L7" s="138">
        <f>'Blended Calculation (R)'!P$99</f>
        <v>53.48851423235503</v>
      </c>
      <c r="M7" s="138">
        <f>'Blended Calculation (R)'!Q99</f>
        <v>54.558284517002129</v>
      </c>
      <c r="N7" s="138">
        <f>'Blended Calculation (R)'!R99</f>
        <v>55.64945020734217</v>
      </c>
      <c r="O7" s="138">
        <f>'Blended Calculation (R)'!S99</f>
        <v>56.762439211489017</v>
      </c>
      <c r="P7" s="138">
        <f>'Blended Calculation (R)'!T99</f>
        <v>57.897687995718798</v>
      </c>
      <c r="Q7" s="138">
        <f>'Blended Calculation (R)'!U99</f>
        <v>59.055641755633175</v>
      </c>
      <c r="R7" s="138">
        <f>'Blended Calculation (R)'!V99</f>
        <v>60.236754590745839</v>
      </c>
      <c r="S7" s="138">
        <f>'Blended Calculation (R)'!W99</f>
        <v>61.441489682560757</v>
      </c>
      <c r="T7" s="138">
        <f>'Blended Calculation (R)'!X99</f>
        <v>62.670319476211972</v>
      </c>
      <c r="U7" s="138">
        <f>'Blended Calculation (R)'!Y99</f>
        <v>63.923725865736216</v>
      </c>
      <c r="V7" s="138">
        <f>'Blended Calculation (R)'!Z99</f>
        <v>65.202200383050936</v>
      </c>
    </row>
    <row r="8" spans="2:22" x14ac:dyDescent="0.3">
      <c r="B8" s="311" t="str">
        <f>+'Tariff Sheets'!A49</f>
        <v>Not available for meters located at service address already under contract for Renewable Energy and enrolled under this tariff schedule from the previous Open Season.</v>
      </c>
    </row>
    <row r="9" spans="2:22" x14ac:dyDescent="0.3">
      <c r="B9" s="145" t="s">
        <v>53</v>
      </c>
      <c r="C9" s="146"/>
      <c r="D9" s="146"/>
      <c r="E9" s="147">
        <v>1</v>
      </c>
      <c r="F9" s="147">
        <v>2</v>
      </c>
      <c r="G9" s="147">
        <v>3</v>
      </c>
      <c r="H9" s="147">
        <v>4</v>
      </c>
      <c r="I9" s="147">
        <v>5</v>
      </c>
      <c r="J9" s="147">
        <v>6</v>
      </c>
      <c r="K9" s="147">
        <v>7</v>
      </c>
      <c r="L9" s="148">
        <v>8</v>
      </c>
      <c r="M9" s="147">
        <v>9</v>
      </c>
      <c r="N9" s="147">
        <v>10</v>
      </c>
      <c r="O9" s="147">
        <v>11</v>
      </c>
      <c r="P9" s="147">
        <v>12</v>
      </c>
      <c r="Q9" s="147">
        <v>13</v>
      </c>
      <c r="R9" s="147">
        <v>14</v>
      </c>
      <c r="S9" s="147">
        <v>15</v>
      </c>
      <c r="T9" s="147">
        <v>16</v>
      </c>
      <c r="U9" s="147">
        <v>17</v>
      </c>
      <c r="V9" s="148">
        <v>18</v>
      </c>
    </row>
    <row r="10" spans="2:22" x14ac:dyDescent="0.3">
      <c r="B10" s="139" t="s">
        <v>50</v>
      </c>
      <c r="C10" s="144"/>
      <c r="D10" s="144"/>
      <c r="E10" s="140">
        <f>'Blended Calculation (R)'!I$97</f>
        <v>46.861795925788954</v>
      </c>
      <c r="F10" s="140">
        <f>'Blended Calculation (R)'!J$97</f>
        <v>47.799031844304736</v>
      </c>
      <c r="G10" s="140">
        <f>'Blended Calculation (R)'!K$97</f>
        <v>48.755012481190832</v>
      </c>
      <c r="H10" s="140">
        <f>'Blended Calculation (R)'!L$97</f>
        <v>49.730112730814646</v>
      </c>
      <c r="I10" s="140">
        <f>'Blended Calculation (R)'!M$97</f>
        <v>50.724714985430943</v>
      </c>
      <c r="J10" s="140">
        <f>'Blended Calculation (R)'!N$97</f>
        <v>51.739209285139566</v>
      </c>
      <c r="K10" s="140">
        <f>'Blended Calculation (R)'!O$97</f>
        <v>52.773993470842356</v>
      </c>
      <c r="L10" s="140">
        <f>'Blended Calculation (R)'!P$97</f>
        <v>53.829473340259206</v>
      </c>
      <c r="M10" s="138">
        <f>'Blended Calculation (R)'!Q97</f>
        <v>54.906062807064394</v>
      </c>
      <c r="N10" s="138">
        <f>'Blended Calculation (R)'!R97</f>
        <v>56.004184063205685</v>
      </c>
      <c r="O10" s="140"/>
      <c r="P10" s="140"/>
      <c r="Q10" s="140"/>
      <c r="R10" s="140"/>
      <c r="S10" s="140"/>
      <c r="T10" s="140"/>
      <c r="U10" s="140"/>
      <c r="V10" s="140"/>
    </row>
    <row r="11" spans="2:22" x14ac:dyDescent="0.3">
      <c r="B11" s="87" t="s">
        <v>51</v>
      </c>
      <c r="C11" s="88"/>
      <c r="D11" s="88"/>
      <c r="E11" s="138">
        <f>'Blended Calculation (R)'!I$98</f>
        <v>46.654886002806776</v>
      </c>
      <c r="F11" s="138">
        <f>'Blended Calculation (R)'!J$98</f>
        <v>47.587983722862916</v>
      </c>
      <c r="G11" s="138">
        <f>'Blended Calculation (R)'!K$98</f>
        <v>48.539743397320173</v>
      </c>
      <c r="H11" s="138">
        <f>'Blended Calculation (R)'!L$98</f>
        <v>49.510538265266575</v>
      </c>
      <c r="I11" s="138">
        <f>'Blended Calculation (R)'!M$98</f>
        <v>50.50074903057191</v>
      </c>
      <c r="J11" s="138">
        <f>'Blended Calculation (R)'!N$98</f>
        <v>51.510764011183348</v>
      </c>
      <c r="K11" s="138">
        <f>'Blended Calculation (R)'!O$98</f>
        <v>52.540979291407012</v>
      </c>
      <c r="L11" s="138">
        <f>'Blended Calculation (R)'!P$98</f>
        <v>53.591798877235156</v>
      </c>
      <c r="M11" s="138">
        <f>'Blended Calculation (R)'!Q98</f>
        <v>54.663634854779858</v>
      </c>
      <c r="N11" s="138">
        <f>'Blended Calculation (R)'!R98</f>
        <v>55.756907551875457</v>
      </c>
      <c r="O11" s="138">
        <f>'Blended Calculation (R)'!S98</f>
        <v>56.87204570291297</v>
      </c>
      <c r="P11" s="138">
        <f>'Blended Calculation (R)'!T98</f>
        <v>58.00948661697123</v>
      </c>
      <c r="Q11" s="138">
        <f>'Blended Calculation (R)'!U98</f>
        <v>59.169676349310656</v>
      </c>
      <c r="R11" s="138">
        <f>'Blended Calculation (R)'!V98</f>
        <v>60.353069876296871</v>
      </c>
      <c r="S11" s="138">
        <f>'Blended Calculation (R)'!W98</f>
        <v>61.560131273822812</v>
      </c>
      <c r="T11" s="138"/>
      <c r="U11" s="138"/>
      <c r="V11" s="138"/>
    </row>
    <row r="12" spans="2:22" x14ac:dyDescent="0.3">
      <c r="B12" s="87" t="s">
        <v>54</v>
      </c>
      <c r="C12" s="88"/>
      <c r="D12" s="88"/>
      <c r="E12" s="138">
        <f>'Blended Calculation (R)'!I$99</f>
        <v>46.564970503911859</v>
      </c>
      <c r="F12" s="138">
        <f>'Blended Calculation (R)'!J$99</f>
        <v>47.496269913990098</v>
      </c>
      <c r="G12" s="138">
        <f>'Blended Calculation (R)'!K$99</f>
        <v>48.4461953122699</v>
      </c>
      <c r="H12" s="138">
        <f>'Blended Calculation (R)'!L$99</f>
        <v>49.415119218515301</v>
      </c>
      <c r="I12" s="138">
        <f>'Blended Calculation (R)'!M$99</f>
        <v>50.403421602885608</v>
      </c>
      <c r="J12" s="138">
        <f>'Blended Calculation (R)'!N$99</f>
        <v>51.41149003494332</v>
      </c>
      <c r="K12" s="138">
        <f>'Blended Calculation (R)'!O$99</f>
        <v>52.439719835642187</v>
      </c>
      <c r="L12" s="138">
        <f>'Blended Calculation (R)'!P$99</f>
        <v>53.48851423235503</v>
      </c>
      <c r="M12" s="138">
        <f>'Blended Calculation (R)'!Q99</f>
        <v>54.558284517002129</v>
      </c>
      <c r="N12" s="138">
        <f>'Blended Calculation (R)'!R99</f>
        <v>55.64945020734217</v>
      </c>
      <c r="O12" s="138">
        <f>'Blended Calculation (R)'!S99</f>
        <v>56.762439211489017</v>
      </c>
      <c r="P12" s="138">
        <f>'Blended Calculation (R)'!T99</f>
        <v>57.897687995718798</v>
      </c>
      <c r="Q12" s="138">
        <f>'Blended Calculation (R)'!U99</f>
        <v>59.055641755633175</v>
      </c>
      <c r="R12" s="138">
        <f>'Blended Calculation (R)'!V99</f>
        <v>60.236754590745839</v>
      </c>
      <c r="S12" s="138">
        <f>'Blended Calculation (R)'!W99</f>
        <v>61.441489682560757</v>
      </c>
      <c r="T12" s="138">
        <f>'Blended Calculation (R)'!X99</f>
        <v>62.670319476211972</v>
      </c>
      <c r="U12" s="138">
        <f>'Blended Calculation (R)'!Y99</f>
        <v>63.923725865736216</v>
      </c>
      <c r="V12" s="138">
        <f>'Blended Calculation (R)'!Z99</f>
        <v>65.202200383050936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99"/>
  <sheetViews>
    <sheetView zoomScaleNormal="100" workbookViewId="0">
      <selection activeCell="E5" sqref="E5"/>
    </sheetView>
  </sheetViews>
  <sheetFormatPr defaultRowHeight="15" x14ac:dyDescent="0.25"/>
  <cols>
    <col min="1" max="1" width="2.7109375" customWidth="1"/>
    <col min="2" max="2" width="39.85546875" customWidth="1"/>
    <col min="3" max="3" width="9.5703125" bestFit="1" customWidth="1"/>
    <col min="4" max="4" width="13.140625" bestFit="1" customWidth="1"/>
    <col min="5" max="5" width="14.28515625" customWidth="1"/>
    <col min="6" max="6" width="2.7109375" bestFit="1" customWidth="1"/>
    <col min="7" max="9" width="11.42578125" customWidth="1"/>
    <col min="10" max="26" width="11.42578125" bestFit="1" customWidth="1"/>
  </cols>
  <sheetData>
    <row r="1" spans="2:26" x14ac:dyDescent="0.25">
      <c r="E1" s="339" t="s">
        <v>184</v>
      </c>
    </row>
    <row r="2" spans="2:26" ht="18" x14ac:dyDescent="0.35">
      <c r="B2" s="43" t="s">
        <v>44</v>
      </c>
    </row>
    <row r="4" spans="2:26" ht="18" x14ac:dyDescent="0.35">
      <c r="B4" s="338"/>
    </row>
    <row r="6" spans="2:26" ht="14.45" x14ac:dyDescent="0.3">
      <c r="B6" s="25" t="s">
        <v>32</v>
      </c>
      <c r="C6" s="114">
        <v>7.5999999999999998E-2</v>
      </c>
    </row>
    <row r="7" spans="2:26" ht="14.45" x14ac:dyDescent="0.3">
      <c r="B7" s="25" t="s">
        <v>33</v>
      </c>
      <c r="C7" s="320"/>
    </row>
    <row r="8" spans="2:26" ht="14.45" x14ac:dyDescent="0.3">
      <c r="B8" s="25" t="s">
        <v>31</v>
      </c>
      <c r="C8" s="115">
        <v>375346.1</v>
      </c>
    </row>
    <row r="9" spans="2:26" ht="14.45" x14ac:dyDescent="0.3">
      <c r="B9" s="34" t="s">
        <v>30</v>
      </c>
      <c r="C9" s="114">
        <v>0</v>
      </c>
    </row>
    <row r="10" spans="2:26" ht="14.45" x14ac:dyDescent="0.3">
      <c r="B10" s="35" t="s">
        <v>42</v>
      </c>
      <c r="C10" s="116">
        <v>20</v>
      </c>
    </row>
    <row r="12" spans="2:26" ht="14.45" x14ac:dyDescent="0.3">
      <c r="G12" s="36"/>
    </row>
    <row r="13" spans="2:26" thickBot="1" x14ac:dyDescent="0.35">
      <c r="B13" s="1" t="s">
        <v>43</v>
      </c>
      <c r="C13" s="2"/>
      <c r="D13" s="3" t="s">
        <v>0</v>
      </c>
      <c r="E13" s="3" t="s">
        <v>1</v>
      </c>
      <c r="F13" s="3"/>
      <c r="G13" s="3">
        <v>2019</v>
      </c>
      <c r="H13" s="3">
        <v>2020</v>
      </c>
      <c r="I13" s="3">
        <v>2021</v>
      </c>
      <c r="J13" s="3">
        <v>2022</v>
      </c>
      <c r="K13" s="3">
        <v>2023</v>
      </c>
      <c r="L13" s="3">
        <v>2024</v>
      </c>
      <c r="M13" s="3">
        <v>2025</v>
      </c>
      <c r="N13" s="3">
        <v>2026</v>
      </c>
      <c r="O13" s="3">
        <v>2027</v>
      </c>
      <c r="P13" s="3">
        <v>2028</v>
      </c>
      <c r="Q13" s="3">
        <v>2029</v>
      </c>
      <c r="R13" s="3">
        <v>2030</v>
      </c>
      <c r="S13" s="3">
        <v>2031</v>
      </c>
      <c r="T13" s="3">
        <v>2032</v>
      </c>
      <c r="U13" s="3">
        <v>2033</v>
      </c>
      <c r="V13" s="117">
        <v>2034</v>
      </c>
      <c r="W13" s="117">
        <v>2035</v>
      </c>
      <c r="X13" s="117">
        <v>2036</v>
      </c>
      <c r="Y13" s="117">
        <v>2037</v>
      </c>
      <c r="Z13" s="117">
        <v>2038</v>
      </c>
    </row>
    <row r="14" spans="2:26" ht="14.45" x14ac:dyDescent="0.3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2:26" s="18" customFormat="1" ht="14.45" x14ac:dyDescent="0.3">
      <c r="B15" s="23" t="s">
        <v>15</v>
      </c>
      <c r="F15" s="20"/>
    </row>
    <row r="16" spans="2:26" s="18" customFormat="1" ht="14.45" x14ac:dyDescent="0.3">
      <c r="B16" s="42" t="s">
        <v>16</v>
      </c>
      <c r="C16" s="65" t="s">
        <v>3</v>
      </c>
      <c r="D16" s="118">
        <v>375346.09999999974</v>
      </c>
      <c r="E16" s="118">
        <v>3797535.2377887801</v>
      </c>
      <c r="F16" s="9"/>
      <c r="G16" s="119">
        <v>375346.1</v>
      </c>
      <c r="H16" s="119">
        <v>375346.1</v>
      </c>
      <c r="I16" s="119">
        <v>375346.1</v>
      </c>
      <c r="J16" s="119">
        <v>375346.1</v>
      </c>
      <c r="K16" s="119">
        <v>375346.1</v>
      </c>
      <c r="L16" s="119">
        <v>375346.1</v>
      </c>
      <c r="M16" s="119">
        <v>375346.1</v>
      </c>
      <c r="N16" s="119">
        <v>375346.1</v>
      </c>
      <c r="O16" s="119">
        <v>375346.1</v>
      </c>
      <c r="P16" s="119">
        <v>375346.1</v>
      </c>
      <c r="Q16" s="119">
        <v>375346.1</v>
      </c>
      <c r="R16" s="119">
        <v>375346.1</v>
      </c>
      <c r="S16" s="119">
        <v>375346.1</v>
      </c>
      <c r="T16" s="119">
        <v>375346.1</v>
      </c>
      <c r="U16" s="119">
        <v>375346.1</v>
      </c>
      <c r="V16" s="119">
        <v>375346.1</v>
      </c>
      <c r="W16" s="119">
        <v>375346.1</v>
      </c>
      <c r="X16" s="119">
        <v>375346.1</v>
      </c>
      <c r="Y16" s="119">
        <v>375346.1</v>
      </c>
      <c r="Z16" s="119">
        <v>375346.1</v>
      </c>
    </row>
    <row r="17" spans="2:26" ht="14.45" x14ac:dyDescent="0.3">
      <c r="B17" s="4"/>
      <c r="C17" s="22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2:26" s="18" customFormat="1" ht="14.45" x14ac:dyDescent="0.3">
      <c r="B18" s="23" t="s">
        <v>4</v>
      </c>
      <c r="C18" s="20"/>
      <c r="F18" s="20"/>
    </row>
    <row r="19" spans="2:26" s="18" customFormat="1" ht="14.45" x14ac:dyDescent="0.3">
      <c r="B19" s="42" t="s">
        <v>8</v>
      </c>
      <c r="C19" s="65" t="s">
        <v>5</v>
      </c>
      <c r="D19" s="312"/>
      <c r="E19" s="312"/>
      <c r="F19" s="65" t="s">
        <v>9</v>
      </c>
      <c r="G19" s="316"/>
      <c r="H19" s="316"/>
      <c r="I19" s="316"/>
      <c r="J19" s="316"/>
      <c r="K19" s="316"/>
      <c r="L19" s="316"/>
      <c r="M19" s="316"/>
      <c r="N19" s="316"/>
      <c r="O19" s="316"/>
      <c r="P19" s="316"/>
      <c r="Q19" s="316"/>
      <c r="R19" s="316"/>
      <c r="S19" s="316"/>
      <c r="T19" s="316"/>
      <c r="U19" s="316"/>
      <c r="V19" s="316"/>
      <c r="W19" s="316"/>
      <c r="X19" s="316"/>
      <c r="Y19" s="316"/>
      <c r="Z19" s="316"/>
    </row>
    <row r="20" spans="2:26" s="18" customFormat="1" ht="14.45" x14ac:dyDescent="0.3">
      <c r="B20" s="17"/>
      <c r="C20" s="66"/>
      <c r="F20" s="70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2:26" s="18" customFormat="1" ht="14.45" x14ac:dyDescent="0.3">
      <c r="B21" s="17"/>
      <c r="C21" s="66"/>
      <c r="F21" s="70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2:26" ht="14.45" x14ac:dyDescent="0.3">
      <c r="B22" s="5"/>
      <c r="C22" s="22"/>
      <c r="D22" s="4"/>
      <c r="E22" s="4"/>
      <c r="F22" s="71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2:26" ht="14.45" x14ac:dyDescent="0.3">
      <c r="B23" s="6" t="s">
        <v>2</v>
      </c>
      <c r="C23" s="13" t="s">
        <v>3</v>
      </c>
      <c r="D23" s="121">
        <v>375346.09999999974</v>
      </c>
      <c r="E23" s="121">
        <v>3797535.2377887801</v>
      </c>
      <c r="F23" s="72"/>
      <c r="G23" s="122">
        <v>375346.1</v>
      </c>
      <c r="H23" s="122">
        <v>375346.1</v>
      </c>
      <c r="I23" s="122">
        <v>375346.1</v>
      </c>
      <c r="J23" s="122">
        <v>375346.1</v>
      </c>
      <c r="K23" s="122">
        <v>375346.1</v>
      </c>
      <c r="L23" s="122">
        <v>375346.1</v>
      </c>
      <c r="M23" s="122">
        <v>375346.1</v>
      </c>
      <c r="N23" s="122">
        <v>375346.1</v>
      </c>
      <c r="O23" s="122">
        <v>375346.1</v>
      </c>
      <c r="P23" s="122">
        <v>375346.1</v>
      </c>
      <c r="Q23" s="122">
        <v>375346.1</v>
      </c>
      <c r="R23" s="122">
        <v>375346.1</v>
      </c>
      <c r="S23" s="122">
        <v>375346.1</v>
      </c>
      <c r="T23" s="122">
        <v>375346.1</v>
      </c>
      <c r="U23" s="122">
        <v>375346.1</v>
      </c>
      <c r="V23" s="122">
        <v>375346.1</v>
      </c>
      <c r="W23" s="122">
        <v>375346.1</v>
      </c>
      <c r="X23" s="122">
        <v>375346.1</v>
      </c>
      <c r="Y23" s="122">
        <v>375346.1</v>
      </c>
      <c r="Z23" s="122">
        <v>375346.1</v>
      </c>
    </row>
    <row r="24" spans="2:26" ht="14.45" x14ac:dyDescent="0.3">
      <c r="B24" s="7" t="s">
        <v>4</v>
      </c>
      <c r="C24" s="14" t="s">
        <v>5</v>
      </c>
      <c r="D24" s="313"/>
      <c r="E24" s="313"/>
      <c r="F24" s="69" t="s">
        <v>9</v>
      </c>
      <c r="G24" s="313"/>
      <c r="H24" s="313"/>
      <c r="I24" s="313"/>
      <c r="J24" s="313"/>
      <c r="K24" s="313"/>
      <c r="L24" s="313"/>
      <c r="M24" s="313"/>
      <c r="N24" s="313"/>
      <c r="O24" s="313"/>
      <c r="P24" s="313"/>
      <c r="Q24" s="313"/>
      <c r="R24" s="313"/>
      <c r="S24" s="313"/>
      <c r="T24" s="313"/>
      <c r="U24" s="313"/>
      <c r="V24" s="313"/>
      <c r="W24" s="313"/>
      <c r="X24" s="313"/>
      <c r="Y24" s="313"/>
      <c r="Z24" s="313"/>
    </row>
    <row r="25" spans="2:26" ht="14.45" x14ac:dyDescent="0.3">
      <c r="B25" s="10" t="s">
        <v>7</v>
      </c>
      <c r="C25" s="15" t="s">
        <v>6</v>
      </c>
      <c r="D25" s="314"/>
      <c r="E25" s="315"/>
      <c r="F25" s="73"/>
      <c r="G25" s="315"/>
      <c r="H25" s="315"/>
      <c r="I25" s="315"/>
      <c r="J25" s="315"/>
      <c r="K25" s="315"/>
      <c r="L25" s="315"/>
      <c r="M25" s="315"/>
      <c r="N25" s="315"/>
      <c r="O25" s="315"/>
      <c r="P25" s="315"/>
      <c r="Q25" s="315"/>
      <c r="R25" s="315"/>
      <c r="S25" s="315"/>
      <c r="T25" s="315"/>
      <c r="U25" s="315"/>
      <c r="V25" s="315"/>
      <c r="W25" s="315"/>
      <c r="X25" s="315"/>
      <c r="Y25" s="315"/>
      <c r="Z25" s="315"/>
    </row>
    <row r="26" spans="2:26" ht="14.45" x14ac:dyDescent="0.3">
      <c r="B26" s="10"/>
      <c r="C26" s="15"/>
      <c r="D26" s="8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2:26" ht="14.45" x14ac:dyDescent="0.3">
      <c r="G27" s="37"/>
    </row>
    <row r="28" spans="2:26" ht="18" x14ac:dyDescent="0.35">
      <c r="B28" s="83" t="s">
        <v>169</v>
      </c>
    </row>
    <row r="30" spans="2:26" x14ac:dyDescent="0.25">
      <c r="B30" s="25" t="s">
        <v>32</v>
      </c>
      <c r="C30" s="114">
        <v>7.5999999999999998E-2</v>
      </c>
    </row>
    <row r="31" spans="2:26" x14ac:dyDescent="0.25">
      <c r="B31" s="25" t="s">
        <v>33</v>
      </c>
      <c r="C31" s="320"/>
    </row>
    <row r="32" spans="2:26" x14ac:dyDescent="0.25">
      <c r="B32" s="25" t="s">
        <v>31</v>
      </c>
      <c r="C32" s="115">
        <v>288531.53999999998</v>
      </c>
    </row>
    <row r="33" spans="2:26" x14ac:dyDescent="0.25">
      <c r="B33" s="34" t="s">
        <v>30</v>
      </c>
      <c r="C33" s="320"/>
    </row>
    <row r="34" spans="2:26" x14ac:dyDescent="0.25">
      <c r="B34" s="35" t="s">
        <v>42</v>
      </c>
      <c r="C34" s="116">
        <v>20</v>
      </c>
    </row>
    <row r="36" spans="2:26" x14ac:dyDescent="0.25">
      <c r="G36" s="36"/>
    </row>
    <row r="37" spans="2:26" ht="15.75" thickBot="1" x14ac:dyDescent="0.3">
      <c r="B37" s="1" t="s">
        <v>43</v>
      </c>
      <c r="C37" s="2"/>
      <c r="D37" s="3" t="s">
        <v>0</v>
      </c>
      <c r="E37" s="3" t="s">
        <v>1</v>
      </c>
      <c r="F37" s="3"/>
      <c r="G37" s="3">
        <v>2019</v>
      </c>
      <c r="H37" s="3">
        <v>2020</v>
      </c>
      <c r="I37" s="3">
        <v>2021</v>
      </c>
      <c r="J37" s="3">
        <v>2022</v>
      </c>
      <c r="K37" s="3">
        <v>2023</v>
      </c>
      <c r="L37" s="3">
        <v>2024</v>
      </c>
      <c r="M37" s="3">
        <v>2025</v>
      </c>
      <c r="N37" s="3">
        <v>2026</v>
      </c>
      <c r="O37" s="3">
        <v>2027</v>
      </c>
      <c r="P37" s="3">
        <v>2028</v>
      </c>
      <c r="Q37" s="3">
        <v>2029</v>
      </c>
      <c r="R37" s="3">
        <v>2030</v>
      </c>
      <c r="S37" s="3">
        <v>2031</v>
      </c>
      <c r="T37" s="3">
        <v>2032</v>
      </c>
      <c r="U37" s="3">
        <v>2033</v>
      </c>
      <c r="V37" s="117">
        <v>2034</v>
      </c>
      <c r="W37" s="117">
        <v>2035</v>
      </c>
      <c r="X37" s="117">
        <v>2036</v>
      </c>
      <c r="Y37" s="117">
        <v>2037</v>
      </c>
      <c r="Z37" s="117">
        <v>2038</v>
      </c>
    </row>
    <row r="38" spans="2:26" x14ac:dyDescent="0.25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2:26" s="18" customFormat="1" x14ac:dyDescent="0.25">
      <c r="B39" s="23" t="s">
        <v>15</v>
      </c>
      <c r="F39" s="20"/>
      <c r="G39" s="20"/>
      <c r="H39" s="20"/>
    </row>
    <row r="40" spans="2:26" s="18" customFormat="1" x14ac:dyDescent="0.25">
      <c r="B40" s="42" t="s">
        <v>16</v>
      </c>
      <c r="C40" s="65" t="s">
        <v>3</v>
      </c>
      <c r="D40" s="319"/>
      <c r="E40" s="319"/>
      <c r="F40" s="9"/>
      <c r="G40" s="317"/>
      <c r="H40" s="317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</row>
    <row r="41" spans="2:26" x14ac:dyDescent="0.25">
      <c r="B41" s="4"/>
      <c r="C41" s="22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2:26" s="18" customFormat="1" x14ac:dyDescent="0.25">
      <c r="B42" s="23" t="s">
        <v>4</v>
      </c>
      <c r="C42" s="20"/>
      <c r="F42" s="20"/>
      <c r="G42" s="20"/>
      <c r="H42" s="20"/>
    </row>
    <row r="43" spans="2:26" s="18" customFormat="1" x14ac:dyDescent="0.25">
      <c r="B43" s="42" t="s">
        <v>8</v>
      </c>
      <c r="C43" s="65" t="s">
        <v>5</v>
      </c>
      <c r="D43" s="312"/>
      <c r="E43" s="312"/>
      <c r="F43" s="65" t="s">
        <v>9</v>
      </c>
      <c r="G43" s="321"/>
      <c r="H43" s="321"/>
      <c r="I43" s="322"/>
      <c r="J43" s="322"/>
      <c r="K43" s="322"/>
      <c r="L43" s="322"/>
      <c r="M43" s="322"/>
      <c r="N43" s="322"/>
      <c r="O43" s="322"/>
      <c r="P43" s="322"/>
      <c r="Q43" s="322"/>
      <c r="R43" s="322"/>
      <c r="S43" s="322"/>
      <c r="T43" s="322"/>
      <c r="U43" s="322"/>
      <c r="V43" s="322"/>
      <c r="W43" s="322"/>
      <c r="X43" s="322"/>
      <c r="Y43" s="322"/>
      <c r="Z43" s="322"/>
    </row>
    <row r="44" spans="2:26" s="18" customFormat="1" x14ac:dyDescent="0.25">
      <c r="B44" s="17"/>
      <c r="C44" s="66"/>
      <c r="F44" s="70"/>
      <c r="G44" s="70"/>
      <c r="H44" s="70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</row>
    <row r="45" spans="2:26" s="18" customFormat="1" x14ac:dyDescent="0.25">
      <c r="B45" s="17"/>
      <c r="C45" s="66"/>
      <c r="F45" s="70"/>
      <c r="G45" s="70"/>
      <c r="H45" s="70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spans="2:26" x14ac:dyDescent="0.25">
      <c r="B46" s="5"/>
      <c r="C46" s="22"/>
      <c r="D46" s="4"/>
      <c r="E46" s="4"/>
      <c r="F46" s="71"/>
      <c r="G46" s="71"/>
      <c r="H46" s="71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2:26" x14ac:dyDescent="0.25">
      <c r="B47" s="6" t="s">
        <v>2</v>
      </c>
      <c r="C47" s="13" t="s">
        <v>3</v>
      </c>
      <c r="D47" s="314"/>
      <c r="E47" s="314"/>
      <c r="F47" s="72"/>
      <c r="G47" s="323"/>
      <c r="H47" s="323"/>
      <c r="I47" s="324"/>
      <c r="J47" s="324"/>
      <c r="K47" s="324"/>
      <c r="L47" s="324"/>
      <c r="M47" s="324"/>
      <c r="N47" s="324"/>
      <c r="O47" s="324"/>
      <c r="P47" s="324"/>
      <c r="Q47" s="324"/>
      <c r="R47" s="324"/>
      <c r="S47" s="324"/>
      <c r="T47" s="324"/>
      <c r="U47" s="324"/>
      <c r="V47" s="324"/>
      <c r="W47" s="324"/>
      <c r="X47" s="324"/>
      <c r="Y47" s="324"/>
      <c r="Z47" s="324"/>
    </row>
    <row r="48" spans="2:26" x14ac:dyDescent="0.25">
      <c r="B48" s="7" t="s">
        <v>4</v>
      </c>
      <c r="C48" s="14" t="s">
        <v>5</v>
      </c>
      <c r="D48" s="313"/>
      <c r="E48" s="313"/>
      <c r="F48" s="21" t="s">
        <v>9</v>
      </c>
      <c r="G48" s="325"/>
      <c r="H48" s="325"/>
      <c r="I48" s="313"/>
      <c r="J48" s="313"/>
      <c r="K48" s="313"/>
      <c r="L48" s="313"/>
      <c r="M48" s="313"/>
      <c r="N48" s="313"/>
      <c r="O48" s="313"/>
      <c r="P48" s="313"/>
      <c r="Q48" s="313"/>
      <c r="R48" s="313"/>
      <c r="S48" s="313"/>
      <c r="T48" s="313"/>
      <c r="U48" s="313"/>
      <c r="V48" s="313"/>
      <c r="W48" s="313"/>
      <c r="X48" s="313"/>
      <c r="Y48" s="313"/>
      <c r="Z48" s="313"/>
    </row>
    <row r="49" spans="2:26" x14ac:dyDescent="0.25">
      <c r="B49" s="10" t="s">
        <v>7</v>
      </c>
      <c r="C49" s="15" t="s">
        <v>6</v>
      </c>
      <c r="D49" s="314"/>
      <c r="E49" s="315"/>
      <c r="F49" s="73"/>
      <c r="G49" s="326"/>
      <c r="H49" s="326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T49" s="315"/>
      <c r="U49" s="315"/>
      <c r="V49" s="315"/>
      <c r="W49" s="315"/>
      <c r="X49" s="315"/>
      <c r="Y49" s="315"/>
      <c r="Z49" s="315"/>
    </row>
    <row r="50" spans="2:26" x14ac:dyDescent="0.25">
      <c r="B50" s="10"/>
      <c r="C50" s="15"/>
      <c r="D50" s="8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2:26" x14ac:dyDescent="0.25">
      <c r="G51" s="37"/>
    </row>
    <row r="52" spans="2:26" ht="18.75" x14ac:dyDescent="0.3">
      <c r="B52" s="43" t="s">
        <v>183</v>
      </c>
    </row>
    <row r="54" spans="2:26" x14ac:dyDescent="0.25">
      <c r="B54" s="25" t="s">
        <v>32</v>
      </c>
      <c r="C54" s="114">
        <v>7.5999999999999998E-2</v>
      </c>
    </row>
    <row r="55" spans="2:26" x14ac:dyDescent="0.25">
      <c r="B55" s="25"/>
      <c r="C55" s="67"/>
    </row>
    <row r="56" spans="2:26" x14ac:dyDescent="0.25">
      <c r="B56" s="25"/>
      <c r="C56" s="68"/>
    </row>
    <row r="57" spans="2:26" x14ac:dyDescent="0.25">
      <c r="B57" s="34"/>
      <c r="C57" s="67"/>
    </row>
    <row r="58" spans="2:26" x14ac:dyDescent="0.25">
      <c r="B58" s="35"/>
      <c r="C58" s="38"/>
    </row>
    <row r="60" spans="2:26" x14ac:dyDescent="0.25">
      <c r="G60" s="36"/>
    </row>
    <row r="61" spans="2:26" ht="15.75" thickBot="1" x14ac:dyDescent="0.3">
      <c r="B61" s="1" t="s">
        <v>48</v>
      </c>
      <c r="C61" s="2"/>
      <c r="D61" s="3" t="s">
        <v>0</v>
      </c>
      <c r="E61" s="3" t="s">
        <v>1</v>
      </c>
      <c r="F61" s="3"/>
      <c r="G61" s="3">
        <v>2019</v>
      </c>
      <c r="H61" s="3">
        <v>2020</v>
      </c>
      <c r="I61" s="3">
        <v>2021</v>
      </c>
      <c r="J61" s="3">
        <v>2022</v>
      </c>
      <c r="K61" s="3">
        <v>2023</v>
      </c>
      <c r="L61" s="3">
        <v>2024</v>
      </c>
      <c r="M61" s="3">
        <v>2025</v>
      </c>
      <c r="N61" s="3">
        <v>2026</v>
      </c>
      <c r="O61" s="3">
        <v>2027</v>
      </c>
      <c r="P61" s="3">
        <v>2028</v>
      </c>
      <c r="Q61" s="3">
        <v>2029</v>
      </c>
      <c r="R61" s="3">
        <v>2030</v>
      </c>
      <c r="S61" s="3">
        <v>2031</v>
      </c>
      <c r="T61" s="3">
        <v>2032</v>
      </c>
      <c r="U61" s="3">
        <v>2033</v>
      </c>
      <c r="V61" s="117">
        <v>2034</v>
      </c>
      <c r="W61" s="117">
        <v>2035</v>
      </c>
      <c r="X61" s="117">
        <v>2036</v>
      </c>
      <c r="Y61" s="117">
        <v>2037</v>
      </c>
      <c r="Z61" s="117">
        <v>2038</v>
      </c>
    </row>
    <row r="62" spans="2:26" x14ac:dyDescent="0.2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2:26" x14ac:dyDescent="0.25">
      <c r="B63" s="5"/>
      <c r="C63" s="22"/>
      <c r="D63" s="4"/>
      <c r="E63" s="4"/>
      <c r="F63" s="71"/>
      <c r="G63" s="71"/>
      <c r="H63" s="71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2:26" x14ac:dyDescent="0.25">
      <c r="B64" s="6" t="s">
        <v>2</v>
      </c>
      <c r="C64" s="13" t="s">
        <v>3</v>
      </c>
      <c r="D64" s="314"/>
      <c r="E64" s="314"/>
      <c r="F64" s="72"/>
      <c r="G64" s="324"/>
      <c r="H64" s="324"/>
      <c r="I64" s="324"/>
      <c r="J64" s="324"/>
      <c r="K64" s="324"/>
      <c r="L64" s="324"/>
      <c r="M64" s="324"/>
      <c r="N64" s="324"/>
      <c r="O64" s="324"/>
      <c r="P64" s="324"/>
      <c r="Q64" s="324"/>
      <c r="R64" s="324"/>
      <c r="S64" s="324"/>
      <c r="T64" s="324"/>
      <c r="U64" s="324"/>
      <c r="V64" s="324"/>
      <c r="W64" s="324"/>
      <c r="X64" s="324"/>
      <c r="Y64" s="324"/>
      <c r="Z64" s="324"/>
    </row>
    <row r="65" spans="2:26" x14ac:dyDescent="0.25">
      <c r="B65" s="7" t="s">
        <v>4</v>
      </c>
      <c r="C65" s="14" t="s">
        <v>5</v>
      </c>
      <c r="D65" s="313"/>
      <c r="E65" s="313"/>
      <c r="F65" s="21"/>
      <c r="G65" s="313"/>
      <c r="H65" s="313"/>
      <c r="I65" s="313"/>
      <c r="J65" s="313"/>
      <c r="K65" s="313"/>
      <c r="L65" s="313"/>
      <c r="M65" s="313"/>
      <c r="N65" s="313"/>
      <c r="O65" s="313"/>
      <c r="P65" s="313"/>
      <c r="Q65" s="313"/>
      <c r="R65" s="313"/>
      <c r="S65" s="313"/>
      <c r="T65" s="313"/>
      <c r="U65" s="313"/>
      <c r="V65" s="313"/>
      <c r="W65" s="313"/>
      <c r="X65" s="313"/>
      <c r="Y65" s="313"/>
      <c r="Z65" s="313"/>
    </row>
    <row r="66" spans="2:26" x14ac:dyDescent="0.25">
      <c r="B66" s="10" t="s">
        <v>7</v>
      </c>
      <c r="C66" s="15" t="s">
        <v>6</v>
      </c>
      <c r="D66" s="314"/>
      <c r="E66" s="315"/>
      <c r="F66" s="73"/>
      <c r="G66" s="315"/>
      <c r="H66" s="315"/>
      <c r="I66" s="315"/>
      <c r="J66" s="315"/>
      <c r="K66" s="315"/>
      <c r="L66" s="315"/>
      <c r="M66" s="315"/>
      <c r="N66" s="315"/>
      <c r="O66" s="315"/>
      <c r="P66" s="315"/>
      <c r="Q66" s="315"/>
      <c r="R66" s="315"/>
      <c r="S66" s="315"/>
      <c r="T66" s="315"/>
      <c r="U66" s="315"/>
      <c r="V66" s="315"/>
      <c r="W66" s="315"/>
      <c r="X66" s="315"/>
      <c r="Y66" s="315"/>
      <c r="Z66" s="315"/>
    </row>
    <row r="67" spans="2:26" x14ac:dyDescent="0.25">
      <c r="B67" s="10"/>
      <c r="C67" s="15"/>
      <c r="D67" s="8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2:26" x14ac:dyDescent="0.25">
      <c r="G68" s="37"/>
    </row>
    <row r="69" spans="2:26" ht="14.45" customHeight="1" x14ac:dyDescent="0.25">
      <c r="B69" s="25" t="s">
        <v>75</v>
      </c>
      <c r="C69" s="123">
        <v>7.2999999999999995E-2</v>
      </c>
      <c r="I69" s="26"/>
      <c r="J69" s="26"/>
      <c r="K69" s="26"/>
    </row>
    <row r="70" spans="2:26" ht="14.45" customHeight="1" x14ac:dyDescent="0.25">
      <c r="B70" s="25" t="s">
        <v>55</v>
      </c>
      <c r="C70" s="123">
        <v>4.7613999999999997E-2</v>
      </c>
      <c r="E70" s="29" t="s">
        <v>168</v>
      </c>
      <c r="F70" s="33"/>
      <c r="G70" s="30"/>
      <c r="I70" s="24"/>
      <c r="L70" s="24"/>
      <c r="N70" s="27"/>
      <c r="O70" s="27"/>
    </row>
    <row r="71" spans="2:26" x14ac:dyDescent="0.25">
      <c r="B71" s="35" t="s">
        <v>166</v>
      </c>
      <c r="C71" s="128">
        <v>0.14092221211125594</v>
      </c>
      <c r="E71" s="29" t="s">
        <v>14</v>
      </c>
      <c r="F71" s="32"/>
      <c r="G71" s="31"/>
      <c r="I71" s="26"/>
      <c r="J71" s="26"/>
      <c r="K71" s="26"/>
    </row>
    <row r="72" spans="2:26" x14ac:dyDescent="0.25">
      <c r="B72" s="155"/>
      <c r="I72" s="26"/>
      <c r="J72" s="26"/>
      <c r="K72" s="26"/>
    </row>
    <row r="73" spans="2:26" x14ac:dyDescent="0.25">
      <c r="I73" s="26"/>
      <c r="J73" s="26"/>
      <c r="K73" s="26"/>
    </row>
    <row r="74" spans="2:26" x14ac:dyDescent="0.25">
      <c r="C74" s="24"/>
      <c r="F74" s="28"/>
      <c r="G74" s="124">
        <v>1</v>
      </c>
      <c r="H74" s="124">
        <v>2</v>
      </c>
      <c r="I74" s="124">
        <v>3</v>
      </c>
      <c r="J74" s="124">
        <v>4</v>
      </c>
      <c r="K74" s="124">
        <v>5</v>
      </c>
      <c r="L74" s="124">
        <v>6</v>
      </c>
      <c r="M74" s="124">
        <v>7</v>
      </c>
      <c r="N74" s="124">
        <v>8</v>
      </c>
      <c r="O74" s="124">
        <v>9</v>
      </c>
      <c r="P74" s="124">
        <v>10</v>
      </c>
      <c r="Q74" s="124">
        <v>11</v>
      </c>
      <c r="R74" s="124">
        <v>12</v>
      </c>
      <c r="S74" s="124">
        <v>13</v>
      </c>
      <c r="T74" s="124">
        <v>14</v>
      </c>
      <c r="U74" s="124">
        <v>15</v>
      </c>
      <c r="V74" s="124">
        <v>16</v>
      </c>
      <c r="W74" s="124">
        <v>17</v>
      </c>
      <c r="X74" s="124">
        <v>18</v>
      </c>
      <c r="Y74" s="124">
        <v>19</v>
      </c>
      <c r="Z74" s="124">
        <v>20</v>
      </c>
    </row>
    <row r="75" spans="2:26" ht="15.75" thickBot="1" x14ac:dyDescent="0.3">
      <c r="B75" s="1" t="s">
        <v>46</v>
      </c>
      <c r="C75" s="2"/>
      <c r="D75" s="3" t="s">
        <v>0</v>
      </c>
      <c r="E75" s="3" t="s">
        <v>1</v>
      </c>
      <c r="F75" s="3"/>
      <c r="G75" s="3">
        <v>2019</v>
      </c>
      <c r="H75" s="3">
        <v>2020</v>
      </c>
      <c r="I75" s="3">
        <v>2021</v>
      </c>
      <c r="J75" s="3">
        <v>2022</v>
      </c>
      <c r="K75" s="3">
        <v>2023</v>
      </c>
      <c r="L75" s="3">
        <v>2024</v>
      </c>
      <c r="M75" s="3">
        <v>2025</v>
      </c>
      <c r="N75" s="3">
        <v>2026</v>
      </c>
      <c r="O75" s="3">
        <v>2027</v>
      </c>
      <c r="P75" s="3">
        <v>2028</v>
      </c>
      <c r="Q75" s="3">
        <v>2029</v>
      </c>
      <c r="R75" s="3">
        <v>2030</v>
      </c>
      <c r="S75" s="3">
        <v>2031</v>
      </c>
      <c r="T75" s="3">
        <v>2032</v>
      </c>
      <c r="U75" s="3">
        <v>2033</v>
      </c>
      <c r="V75" s="117">
        <v>2034</v>
      </c>
      <c r="W75" s="117">
        <v>2035</v>
      </c>
      <c r="X75" s="117">
        <v>2036</v>
      </c>
      <c r="Y75" s="117">
        <v>2037</v>
      </c>
      <c r="Z75" s="117">
        <v>2038</v>
      </c>
    </row>
    <row r="76" spans="2:26" x14ac:dyDescent="0.25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2:26" x14ac:dyDescent="0.25">
      <c r="B77" s="79" t="s">
        <v>4</v>
      </c>
      <c r="C77" s="80" t="s">
        <v>5</v>
      </c>
      <c r="D77" s="327"/>
      <c r="E77" s="327"/>
      <c r="F77" s="40"/>
      <c r="G77" s="327"/>
      <c r="H77" s="327"/>
      <c r="I77" s="327"/>
      <c r="J77" s="327"/>
      <c r="K77" s="327"/>
      <c r="L77" s="327"/>
      <c r="M77" s="327"/>
      <c r="N77" s="327"/>
      <c r="O77" s="327"/>
      <c r="P77" s="327"/>
      <c r="Q77" s="327"/>
      <c r="R77" s="327"/>
      <c r="S77" s="327"/>
      <c r="T77" s="327"/>
      <c r="U77" s="327"/>
      <c r="V77" s="327"/>
      <c r="W77" s="327"/>
      <c r="X77" s="327"/>
      <c r="Y77" s="327"/>
      <c r="Z77" s="327"/>
    </row>
    <row r="78" spans="2:26" x14ac:dyDescent="0.25">
      <c r="B78" s="7" t="s">
        <v>10</v>
      </c>
      <c r="C78" s="14" t="s">
        <v>5</v>
      </c>
      <c r="D78" s="120">
        <v>3.6643743303245815</v>
      </c>
      <c r="E78" s="120">
        <v>37.07402486360261</v>
      </c>
      <c r="F78" s="16"/>
      <c r="G78" s="120">
        <v>3.602750809061483</v>
      </c>
      <c r="H78" s="120">
        <v>3.6567920711974082</v>
      </c>
      <c r="I78" s="120">
        <v>3.2714098474379085</v>
      </c>
      <c r="J78" s="120">
        <v>3.3275948268832778</v>
      </c>
      <c r="K78" s="120">
        <v>3.3847238819733008</v>
      </c>
      <c r="L78" s="120">
        <v>3.4428125244159418</v>
      </c>
      <c r="M78" s="120">
        <v>3.5018765152652236</v>
      </c>
      <c r="N78" s="120">
        <v>3.5619318688498893</v>
      </c>
      <c r="O78" s="120">
        <v>3.6229948567629791</v>
      </c>
      <c r="P78" s="120">
        <v>3.6850820119132024</v>
      </c>
      <c r="Q78" s="120">
        <v>3.748210132639052</v>
      </c>
      <c r="R78" s="120">
        <v>3.8123962868866386</v>
      </c>
      <c r="S78" s="120">
        <v>3.8776578164521851</v>
      </c>
      <c r="T78" s="120">
        <v>3.9440123412902608</v>
      </c>
      <c r="U78" s="120">
        <v>4.0114777638885997</v>
      </c>
      <c r="V78" s="120">
        <v>4.0800722737107193</v>
      </c>
      <c r="W78" s="120">
        <v>4.1498143517071995</v>
      </c>
      <c r="X78" s="120">
        <v>4.2207227748967568</v>
      </c>
      <c r="Y78" s="120">
        <v>4.2928166210182326</v>
      </c>
      <c r="Z78" s="120">
        <v>4.3661152732544295</v>
      </c>
    </row>
    <row r="79" spans="2:26" x14ac:dyDescent="0.25">
      <c r="B79" s="10" t="s">
        <v>11</v>
      </c>
      <c r="C79" s="22" t="s">
        <v>5</v>
      </c>
      <c r="D79" s="328"/>
      <c r="E79" s="328"/>
      <c r="F79" s="39"/>
      <c r="G79" s="328"/>
      <c r="H79" s="328"/>
      <c r="I79" s="328"/>
      <c r="J79" s="328"/>
      <c r="K79" s="328"/>
      <c r="L79" s="328"/>
      <c r="M79" s="328"/>
      <c r="N79" s="328"/>
      <c r="O79" s="328"/>
      <c r="P79" s="328"/>
      <c r="Q79" s="328"/>
      <c r="R79" s="328"/>
      <c r="S79" s="328"/>
      <c r="T79" s="328"/>
      <c r="U79" s="328"/>
      <c r="V79" s="328"/>
      <c r="W79" s="328"/>
      <c r="X79" s="328"/>
      <c r="Y79" s="328"/>
      <c r="Z79" s="328"/>
    </row>
    <row r="80" spans="2:26" x14ac:dyDescent="0.25">
      <c r="B80" s="10" t="s">
        <v>12</v>
      </c>
      <c r="C80" s="22" t="s">
        <v>5</v>
      </c>
      <c r="D80" s="125">
        <v>2.5095660874131434</v>
      </c>
      <c r="E80" s="125">
        <v>25.390341470208789</v>
      </c>
      <c r="F80" s="39"/>
      <c r="G80" s="125">
        <v>2.4673628938504493</v>
      </c>
      <c r="H80" s="125">
        <v>2.5043733372582082</v>
      </c>
      <c r="I80" s="125">
        <v>2.2404422886655198</v>
      </c>
      <c r="J80" s="125">
        <v>2.2789208681794193</v>
      </c>
      <c r="K80" s="125">
        <v>2.3180460028779777</v>
      </c>
      <c r="L80" s="125">
        <v>2.3578283160361977</v>
      </c>
      <c r="M80" s="125">
        <v>2.3982786016950612</v>
      </c>
      <c r="N80" s="125">
        <v>2.4394078273520776</v>
      </c>
      <c r="O80" s="125">
        <v>2.4812271366935548</v>
      </c>
      <c r="P80" s="125">
        <v>2.5237478523692261</v>
      </c>
      <c r="Q80" s="125">
        <v>2.566981478809808</v>
      </c>
      <c r="R80" s="125">
        <v>2.6109397050882137</v>
      </c>
      <c r="S80" s="125">
        <v>2.6556344078250689</v>
      </c>
      <c r="T80" s="125">
        <v>2.7010776541391763</v>
      </c>
      <c r="U80" s="125">
        <v>2.7472817046437044</v>
      </c>
      <c r="V80" s="125">
        <v>2.7942590164886596</v>
      </c>
      <c r="W80" s="125">
        <v>2.8420222464505329</v>
      </c>
      <c r="X80" s="125">
        <v>2.8905842540696369</v>
      </c>
      <c r="Y80" s="125">
        <v>2.9399581048360304</v>
      </c>
      <c r="Z80" s="125">
        <v>2.9901570734246832</v>
      </c>
    </row>
    <row r="81" spans="2:26" x14ac:dyDescent="0.25">
      <c r="B81" s="10" t="s">
        <v>167</v>
      </c>
      <c r="C81" s="22" t="s">
        <v>5</v>
      </c>
      <c r="D81" s="125">
        <v>0.14092221211125586</v>
      </c>
      <c r="E81" s="125">
        <v>1.425769619771297</v>
      </c>
      <c r="F81" s="39"/>
      <c r="G81" s="125">
        <v>0.14092221211125594</v>
      </c>
      <c r="H81" s="125">
        <v>0.14092221211125594</v>
      </c>
      <c r="I81" s="125">
        <v>0.14092221211125594</v>
      </c>
      <c r="J81" s="125">
        <v>0.14092221211125594</v>
      </c>
      <c r="K81" s="125">
        <v>0.14092221211125594</v>
      </c>
      <c r="L81" s="125">
        <v>0.14092221211125594</v>
      </c>
      <c r="M81" s="125">
        <v>0.14092221211125594</v>
      </c>
      <c r="N81" s="125">
        <v>0.14092221211125594</v>
      </c>
      <c r="O81" s="125">
        <v>0.14092221211125594</v>
      </c>
      <c r="P81" s="125">
        <v>0.14092221211125594</v>
      </c>
      <c r="Q81" s="125">
        <v>0.14092221211125594</v>
      </c>
      <c r="R81" s="125">
        <v>0.14092221211125594</v>
      </c>
      <c r="S81" s="125">
        <v>0.14092221211125594</v>
      </c>
      <c r="T81" s="125">
        <v>0.14092221211125594</v>
      </c>
      <c r="U81" s="125">
        <v>0.14092221211125594</v>
      </c>
      <c r="V81" s="125">
        <v>0.14092221211125594</v>
      </c>
      <c r="W81" s="125">
        <v>0.14092221211125594</v>
      </c>
      <c r="X81" s="125">
        <v>0.14092221211125594</v>
      </c>
      <c r="Y81" s="125">
        <v>0.14092221211125594</v>
      </c>
      <c r="Z81" s="125">
        <v>0.14092221211125594</v>
      </c>
    </row>
    <row r="82" spans="2:26" x14ac:dyDescent="0.25">
      <c r="B82" s="81" t="s">
        <v>13</v>
      </c>
      <c r="C82" s="82" t="s">
        <v>5</v>
      </c>
      <c r="D82" s="329"/>
      <c r="E82" s="329"/>
      <c r="F82" s="41"/>
      <c r="G82" s="329"/>
      <c r="H82" s="329"/>
      <c r="I82" s="329"/>
      <c r="J82" s="329"/>
      <c r="K82" s="329"/>
      <c r="L82" s="329"/>
      <c r="M82" s="329"/>
      <c r="N82" s="329"/>
      <c r="O82" s="329"/>
      <c r="P82" s="329"/>
      <c r="Q82" s="329"/>
      <c r="R82" s="329"/>
      <c r="S82" s="329"/>
      <c r="T82" s="329"/>
      <c r="U82" s="329"/>
      <c r="V82" s="329"/>
      <c r="W82" s="329"/>
      <c r="X82" s="329"/>
      <c r="Y82" s="329"/>
      <c r="Z82" s="329"/>
    </row>
    <row r="84" spans="2:26" x14ac:dyDescent="0.25">
      <c r="C84" s="24"/>
      <c r="F84" s="28"/>
      <c r="G84" s="124">
        <v>1</v>
      </c>
      <c r="H84" s="124">
        <v>2</v>
      </c>
      <c r="I84" s="124">
        <v>3</v>
      </c>
      <c r="J84" s="124">
        <v>4</v>
      </c>
      <c r="K84" s="124">
        <v>5</v>
      </c>
      <c r="L84" s="124">
        <v>6</v>
      </c>
      <c r="M84" s="124">
        <v>7</v>
      </c>
      <c r="N84" s="124">
        <v>8</v>
      </c>
      <c r="O84" s="124">
        <v>9</v>
      </c>
      <c r="P84" s="124">
        <v>10</v>
      </c>
      <c r="Q84" s="124">
        <v>11</v>
      </c>
      <c r="R84" s="124">
        <v>12</v>
      </c>
      <c r="S84" s="124">
        <v>13</v>
      </c>
      <c r="T84" s="124">
        <v>14</v>
      </c>
      <c r="U84" s="124">
        <v>15</v>
      </c>
      <c r="V84" s="124">
        <v>16</v>
      </c>
      <c r="W84" s="124">
        <v>17</v>
      </c>
      <c r="X84" s="124">
        <v>18</v>
      </c>
      <c r="Y84" s="124">
        <v>19</v>
      </c>
      <c r="Z84" s="124">
        <v>20</v>
      </c>
    </row>
    <row r="85" spans="2:26" ht="15.75" thickBot="1" x14ac:dyDescent="0.3">
      <c r="B85" s="1" t="s">
        <v>47</v>
      </c>
      <c r="C85" s="2"/>
      <c r="D85" s="3" t="s">
        <v>0</v>
      </c>
      <c r="E85" s="3" t="s">
        <v>1</v>
      </c>
      <c r="F85" s="3"/>
      <c r="G85" s="3">
        <v>2019</v>
      </c>
      <c r="H85" s="3">
        <v>2020</v>
      </c>
      <c r="I85" s="3">
        <v>2021</v>
      </c>
      <c r="J85" s="3">
        <v>2022</v>
      </c>
      <c r="K85" s="3">
        <v>2023</v>
      </c>
      <c r="L85" s="3">
        <v>2024</v>
      </c>
      <c r="M85" s="3">
        <v>2025</v>
      </c>
      <c r="N85" s="3">
        <v>2026</v>
      </c>
      <c r="O85" s="3">
        <v>2027</v>
      </c>
      <c r="P85" s="3">
        <v>2028</v>
      </c>
      <c r="Q85" s="3">
        <v>2029</v>
      </c>
      <c r="R85" s="3">
        <v>2030</v>
      </c>
      <c r="S85" s="3">
        <v>2031</v>
      </c>
      <c r="T85" s="3">
        <v>2032</v>
      </c>
      <c r="U85" s="3">
        <v>2033</v>
      </c>
      <c r="V85" s="117">
        <v>2034</v>
      </c>
      <c r="W85" s="117">
        <v>2035</v>
      </c>
      <c r="X85" s="117">
        <v>2036</v>
      </c>
      <c r="Y85" s="117">
        <v>2037</v>
      </c>
      <c r="Z85" s="117">
        <v>2038</v>
      </c>
    </row>
    <row r="86" spans="2:26" x14ac:dyDescent="0.25"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2:26" x14ac:dyDescent="0.25">
      <c r="B87" s="79" t="s">
        <v>4</v>
      </c>
      <c r="C87" s="80" t="s">
        <v>6</v>
      </c>
      <c r="D87" s="332"/>
      <c r="E87" s="332"/>
      <c r="F87" s="40"/>
      <c r="G87" s="332"/>
      <c r="H87" s="332"/>
      <c r="I87" s="332"/>
      <c r="J87" s="332"/>
      <c r="K87" s="332"/>
      <c r="L87" s="332"/>
      <c r="M87" s="332"/>
      <c r="N87" s="332"/>
      <c r="O87" s="332"/>
      <c r="P87" s="332"/>
      <c r="Q87" s="332"/>
      <c r="R87" s="332"/>
      <c r="S87" s="332"/>
      <c r="T87" s="332"/>
      <c r="U87" s="332"/>
      <c r="V87" s="332"/>
      <c r="W87" s="332"/>
      <c r="X87" s="332"/>
      <c r="Y87" s="332"/>
      <c r="Z87" s="332"/>
    </row>
    <row r="88" spans="2:26" x14ac:dyDescent="0.25">
      <c r="B88" s="7" t="s">
        <v>10</v>
      </c>
      <c r="C88" s="14" t="s">
        <v>6</v>
      </c>
      <c r="D88" s="333">
        <v>2217.3025029939931</v>
      </c>
      <c r="E88" s="333">
        <v>22433.387180410176</v>
      </c>
      <c r="F88" s="16"/>
      <c r="G88" s="126">
        <v>1352.2784654530733</v>
      </c>
      <c r="H88" s="126">
        <v>1372.5626424348702</v>
      </c>
      <c r="I88" s="126">
        <v>2171.8158489898378</v>
      </c>
      <c r="J88" s="126">
        <v>2204.3152202479941</v>
      </c>
      <c r="K88" s="126">
        <v>2237.3009218645202</v>
      </c>
      <c r="L88" s="126">
        <v>2270.7802315076515</v>
      </c>
      <c r="M88" s="126">
        <v>2304.7605357530811</v>
      </c>
      <c r="N88" s="126">
        <v>2339.249331713705</v>
      </c>
      <c r="O88" s="126">
        <v>2374.2542286938078</v>
      </c>
      <c r="P88" s="126">
        <v>2409.7829498679821</v>
      </c>
      <c r="Q88" s="126">
        <v>2445.8433339851472</v>
      </c>
      <c r="R88" s="126">
        <v>2482.4433370981205</v>
      </c>
      <c r="S88" s="126">
        <v>2519.5910343190262</v>
      </c>
      <c r="T88" s="126">
        <v>2557.2946216009987</v>
      </c>
      <c r="U88" s="126">
        <v>2595.5624175465273</v>
      </c>
      <c r="V88" s="126">
        <v>2634.4028652429042</v>
      </c>
      <c r="W88" s="126">
        <v>2673.8245341250804</v>
      </c>
      <c r="X88" s="126">
        <v>2713.8361218664504</v>
      </c>
      <c r="Y88" s="126">
        <v>2754.4464562979119</v>
      </c>
      <c r="Z88" s="126">
        <v>2795.6644973556322</v>
      </c>
    </row>
    <row r="89" spans="2:26" x14ac:dyDescent="0.25">
      <c r="B89" s="10" t="s">
        <v>11</v>
      </c>
      <c r="C89" s="22" t="s">
        <v>6</v>
      </c>
      <c r="D89" s="331"/>
      <c r="E89" s="331"/>
      <c r="F89" s="39"/>
      <c r="G89" s="331"/>
      <c r="H89" s="331"/>
      <c r="I89" s="331"/>
      <c r="J89" s="331"/>
      <c r="K89" s="331"/>
      <c r="L89" s="331"/>
      <c r="M89" s="331"/>
      <c r="N89" s="331"/>
      <c r="O89" s="331"/>
      <c r="P89" s="331"/>
      <c r="Q89" s="331"/>
      <c r="R89" s="331"/>
      <c r="S89" s="331"/>
      <c r="T89" s="331"/>
      <c r="U89" s="331"/>
      <c r="V89" s="331"/>
      <c r="W89" s="331"/>
      <c r="X89" s="331"/>
      <c r="Y89" s="331"/>
      <c r="Z89" s="331"/>
    </row>
    <row r="90" spans="2:26" x14ac:dyDescent="0.25">
      <c r="B90" s="10" t="s">
        <v>12</v>
      </c>
      <c r="C90" s="22" t="s">
        <v>6</v>
      </c>
      <c r="D90" s="127">
        <v>1518.531314063953</v>
      </c>
      <c r="E90" s="127">
        <v>15363.623532637121</v>
      </c>
      <c r="F90" s="39"/>
      <c r="G90" s="127">
        <v>926.11503949148027</v>
      </c>
      <c r="H90" s="127">
        <v>940.00676508385368</v>
      </c>
      <c r="I90" s="127">
        <v>1487.3795391554631</v>
      </c>
      <c r="J90" s="127">
        <v>1509.636904975534</v>
      </c>
      <c r="K90" s="127">
        <v>1532.2273367066264</v>
      </c>
      <c r="L90" s="127">
        <v>1555.1558184982132</v>
      </c>
      <c r="M90" s="127">
        <v>1578.4274090856161</v>
      </c>
      <c r="N90" s="127">
        <v>1602.0472429061483</v>
      </c>
      <c r="O90" s="127">
        <v>1626.0205312319886</v>
      </c>
      <c r="P90" s="127">
        <v>1650.3525633199752</v>
      </c>
      <c r="Q90" s="127">
        <v>1675.0487075786659</v>
      </c>
      <c r="R90" s="127">
        <v>1700.1144127527878</v>
      </c>
      <c r="S90" s="127">
        <v>1725.5552091254722</v>
      </c>
      <c r="T90" s="127">
        <v>1751.376709738448</v>
      </c>
      <c r="U90" s="127">
        <v>1777.5846116305111</v>
      </c>
      <c r="V90" s="127">
        <v>1804.1846970945262</v>
      </c>
      <c r="W90" s="127">
        <v>1831.1828349532152</v>
      </c>
      <c r="X90" s="127">
        <v>1858.5849818540737</v>
      </c>
      <c r="Y90" s="127">
        <v>1886.3971835836564</v>
      </c>
      <c r="Z90" s="127">
        <v>1914.625576401515</v>
      </c>
    </row>
    <row r="91" spans="2:26" x14ac:dyDescent="0.25">
      <c r="B91" s="10" t="s">
        <v>167</v>
      </c>
      <c r="C91" s="22" t="s">
        <v>6</v>
      </c>
      <c r="D91" s="127">
        <v>85.272975903912439</v>
      </c>
      <c r="E91" s="127">
        <v>862.74276148392448</v>
      </c>
      <c r="F91" s="39"/>
      <c r="G91" s="127">
        <v>52.894602719332681</v>
      </c>
      <c r="H91" s="127">
        <v>52.894602719332681</v>
      </c>
      <c r="I91" s="127">
        <v>93.55510559999999</v>
      </c>
      <c r="J91" s="127">
        <v>93.351803085596686</v>
      </c>
      <c r="K91" s="127">
        <v>93.149517083765346</v>
      </c>
      <c r="L91" s="127">
        <v>92.948242511943192</v>
      </c>
      <c r="M91" s="127">
        <v>92.747974312980134</v>
      </c>
      <c r="N91" s="127">
        <v>92.548707455011893</v>
      </c>
      <c r="O91" s="127">
        <v>92.350436931333491</v>
      </c>
      <c r="P91" s="127">
        <v>92.153157760273487</v>
      </c>
      <c r="Q91" s="127">
        <v>91.95686498506879</v>
      </c>
      <c r="R91" s="127">
        <v>91.76155367374011</v>
      </c>
      <c r="S91" s="127">
        <v>91.567218918968081</v>
      </c>
      <c r="T91" s="127">
        <v>91.373855837969884</v>
      </c>
      <c r="U91" s="127">
        <v>91.18145957237671</v>
      </c>
      <c r="V91" s="127">
        <v>90.990025288111497</v>
      </c>
      <c r="W91" s="127">
        <v>90.799548175267617</v>
      </c>
      <c r="X91" s="127">
        <v>90.610023447987928</v>
      </c>
      <c r="Y91" s="127">
        <v>90.421446344344645</v>
      </c>
      <c r="Z91" s="127">
        <v>90.233812126219576</v>
      </c>
    </row>
    <row r="92" spans="2:26" x14ac:dyDescent="0.25">
      <c r="B92" s="81" t="s">
        <v>13</v>
      </c>
      <c r="C92" s="82" t="s">
        <v>6</v>
      </c>
      <c r="D92" s="330"/>
      <c r="E92" s="330"/>
      <c r="F92" s="41"/>
      <c r="G92" s="330"/>
      <c r="H92" s="330"/>
      <c r="I92" s="330"/>
      <c r="J92" s="330"/>
      <c r="K92" s="330"/>
      <c r="L92" s="330"/>
      <c r="M92" s="330"/>
      <c r="N92" s="330"/>
      <c r="O92" s="330"/>
      <c r="P92" s="330"/>
      <c r="Q92" s="330"/>
      <c r="R92" s="330"/>
      <c r="S92" s="330"/>
      <c r="T92" s="330"/>
      <c r="U92" s="330"/>
      <c r="V92" s="330"/>
      <c r="W92" s="330"/>
      <c r="X92" s="330"/>
      <c r="Y92" s="330"/>
      <c r="Z92" s="330"/>
    </row>
    <row r="94" spans="2:26" x14ac:dyDescent="0.25">
      <c r="G94" s="124">
        <v>1</v>
      </c>
      <c r="H94" s="124">
        <v>2</v>
      </c>
      <c r="I94" s="124">
        <v>3</v>
      </c>
      <c r="J94" s="124">
        <v>4</v>
      </c>
      <c r="K94" s="124">
        <v>5</v>
      </c>
      <c r="L94" s="124">
        <v>6</v>
      </c>
      <c r="M94" s="124">
        <v>7</v>
      </c>
      <c r="N94" s="124">
        <v>8</v>
      </c>
      <c r="O94" s="124">
        <v>9</v>
      </c>
      <c r="P94" s="124">
        <v>10</v>
      </c>
      <c r="Q94" s="124">
        <v>11</v>
      </c>
      <c r="R94" s="124">
        <v>12</v>
      </c>
      <c r="S94" s="124">
        <v>13</v>
      </c>
      <c r="T94" s="124">
        <v>14</v>
      </c>
      <c r="U94" s="124">
        <v>15</v>
      </c>
      <c r="V94" s="124">
        <v>16</v>
      </c>
      <c r="W94" s="124">
        <v>17</v>
      </c>
      <c r="X94" s="124">
        <v>18</v>
      </c>
      <c r="Y94" s="124">
        <v>19</v>
      </c>
      <c r="Z94" s="124">
        <v>20</v>
      </c>
    </row>
    <row r="95" spans="2:26" s="50" customFormat="1" ht="15.75" thickBot="1" x14ac:dyDescent="0.3">
      <c r="B95" s="52" t="s">
        <v>45</v>
      </c>
      <c r="D95" s="53" t="s">
        <v>170</v>
      </c>
      <c r="E95" s="53" t="s">
        <v>171</v>
      </c>
      <c r="G95" s="3">
        <v>2019</v>
      </c>
      <c r="H95" s="3">
        <v>2020</v>
      </c>
      <c r="I95" s="3">
        <v>2021</v>
      </c>
      <c r="J95" s="3">
        <v>2022</v>
      </c>
      <c r="K95" s="3">
        <v>2023</v>
      </c>
      <c r="L95" s="3">
        <v>2024</v>
      </c>
      <c r="M95" s="3">
        <v>2025</v>
      </c>
      <c r="N95" s="3">
        <v>2026</v>
      </c>
      <c r="O95" s="3">
        <v>2027</v>
      </c>
      <c r="P95" s="3">
        <v>2028</v>
      </c>
      <c r="Q95" s="3">
        <v>2029</v>
      </c>
      <c r="R95" s="3">
        <v>2030</v>
      </c>
      <c r="S95" s="3">
        <v>2031</v>
      </c>
      <c r="T95" s="3">
        <v>2032</v>
      </c>
      <c r="U95" s="3">
        <v>2033</v>
      </c>
      <c r="V95" s="117">
        <v>2034</v>
      </c>
      <c r="W95" s="117">
        <v>2035</v>
      </c>
      <c r="X95" s="117">
        <v>2036</v>
      </c>
      <c r="Y95" s="117">
        <v>2037</v>
      </c>
      <c r="Z95" s="117">
        <v>2038</v>
      </c>
    </row>
    <row r="96" spans="2:26" s="50" customFormat="1" x14ac:dyDescent="0.25">
      <c r="B96" s="76"/>
      <c r="C96" s="75"/>
      <c r="D96" s="77"/>
      <c r="E96" s="77"/>
      <c r="F96" s="75"/>
      <c r="G96" s="75"/>
      <c r="H96" s="75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  <c r="Z96" s="75"/>
    </row>
    <row r="97" spans="2:26" s="50" customFormat="1" x14ac:dyDescent="0.25">
      <c r="B97" s="6" t="s">
        <v>27</v>
      </c>
      <c r="C97" s="293">
        <v>10</v>
      </c>
      <c r="D97" s="129">
        <v>391.77705248320615</v>
      </c>
      <c r="E97" s="130">
        <v>391.78</v>
      </c>
      <c r="F97" s="74"/>
      <c r="G97" s="135">
        <v>51.111595395450372</v>
      </c>
      <c r="H97" s="135">
        <v>52.133827303359382</v>
      </c>
      <c r="I97" s="149">
        <v>46.861795925788954</v>
      </c>
      <c r="J97" s="129">
        <v>47.799031844304736</v>
      </c>
      <c r="K97" s="129">
        <v>48.755012481190832</v>
      </c>
      <c r="L97" s="129">
        <v>49.730112730814646</v>
      </c>
      <c r="M97" s="129">
        <v>50.724714985430943</v>
      </c>
      <c r="N97" s="129">
        <v>51.739209285139566</v>
      </c>
      <c r="O97" s="129">
        <v>52.773993470842356</v>
      </c>
      <c r="P97" s="129">
        <v>53.829473340259206</v>
      </c>
      <c r="Q97" s="129">
        <v>54.906062807064394</v>
      </c>
      <c r="R97" s="129">
        <v>56.004184063205685</v>
      </c>
      <c r="S97" s="84"/>
      <c r="T97" s="84"/>
      <c r="U97" s="84"/>
      <c r="V97" s="84"/>
      <c r="W97" s="84"/>
      <c r="X97" s="84"/>
      <c r="Y97" s="84"/>
      <c r="Z97" s="84"/>
    </row>
    <row r="98" spans="2:26" s="50" customFormat="1" x14ac:dyDescent="0.25">
      <c r="B98" s="10" t="s">
        <v>28</v>
      </c>
      <c r="C98" s="294">
        <v>15</v>
      </c>
      <c r="D98" s="131">
        <v>488.46866513779185</v>
      </c>
      <c r="E98" s="132">
        <v>488.47000000000014</v>
      </c>
      <c r="F98" s="11"/>
      <c r="G98" s="136">
        <v>50.629657816781602</v>
      </c>
      <c r="H98" s="136">
        <v>51.642250973117235</v>
      </c>
      <c r="I98" s="150">
        <v>46.654886002806776</v>
      </c>
      <c r="J98" s="131">
        <v>47.587983722862916</v>
      </c>
      <c r="K98" s="131">
        <v>48.539743397320173</v>
      </c>
      <c r="L98" s="131">
        <v>49.510538265266575</v>
      </c>
      <c r="M98" s="131">
        <v>50.50074903057191</v>
      </c>
      <c r="N98" s="131">
        <v>51.510764011183348</v>
      </c>
      <c r="O98" s="131">
        <v>52.540979291407012</v>
      </c>
      <c r="P98" s="131">
        <v>53.591798877235156</v>
      </c>
      <c r="Q98" s="131">
        <v>54.663634854779858</v>
      </c>
      <c r="R98" s="131">
        <v>55.756907551875457</v>
      </c>
      <c r="S98" s="131">
        <v>56.87204570291297</v>
      </c>
      <c r="T98" s="131">
        <v>58.00948661697123</v>
      </c>
      <c r="U98" s="131">
        <v>59.169676349310656</v>
      </c>
      <c r="V98" s="131">
        <v>60.353069876296871</v>
      </c>
      <c r="W98" s="131">
        <v>61.560131273822812</v>
      </c>
      <c r="X98" s="85"/>
      <c r="Y98" s="85"/>
      <c r="Z98" s="85"/>
    </row>
    <row r="99" spans="2:26" s="50" customFormat="1" x14ac:dyDescent="0.25">
      <c r="B99" s="7" t="s">
        <v>29</v>
      </c>
      <c r="C99" s="295">
        <v>20</v>
      </c>
      <c r="D99" s="133">
        <v>534.67946538590661</v>
      </c>
      <c r="E99" s="134">
        <v>534.67999999999995</v>
      </c>
      <c r="F99" s="78"/>
      <c r="G99" s="137">
        <v>50.214167737411159</v>
      </c>
      <c r="H99" s="137">
        <v>51.218451092159384</v>
      </c>
      <c r="I99" s="151">
        <v>46.564970503911859</v>
      </c>
      <c r="J99" s="133">
        <v>47.496269913990098</v>
      </c>
      <c r="K99" s="133">
        <v>48.4461953122699</v>
      </c>
      <c r="L99" s="133">
        <v>49.415119218515301</v>
      </c>
      <c r="M99" s="133">
        <v>50.403421602885608</v>
      </c>
      <c r="N99" s="133">
        <v>51.41149003494332</v>
      </c>
      <c r="O99" s="133">
        <v>52.439719835642187</v>
      </c>
      <c r="P99" s="133">
        <v>53.48851423235503</v>
      </c>
      <c r="Q99" s="133">
        <v>54.558284517002129</v>
      </c>
      <c r="R99" s="133">
        <v>55.64945020734217</v>
      </c>
      <c r="S99" s="133">
        <v>56.762439211489017</v>
      </c>
      <c r="T99" s="133">
        <v>57.897687995718798</v>
      </c>
      <c r="U99" s="133">
        <v>59.055641755633175</v>
      </c>
      <c r="V99" s="133">
        <v>60.236754590745839</v>
      </c>
      <c r="W99" s="133">
        <v>61.441489682560757</v>
      </c>
      <c r="X99" s="133">
        <v>62.670319476211972</v>
      </c>
      <c r="Y99" s="133">
        <v>63.923725865736216</v>
      </c>
      <c r="Z99" s="133">
        <v>65.202200383050936</v>
      </c>
    </row>
  </sheetData>
  <pageMargins left="0.7" right="0.7" top="0.75" bottom="0.75" header="0.3" footer="0.3"/>
  <pageSetup orientation="portrait" r:id="rId1"/>
  <headerFooter>
    <oddHeader>&amp;R&amp;"-,Bold"REDACTED VERSION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"/>
  <sheetViews>
    <sheetView workbookViewId="0">
      <selection activeCell="C23" sqref="C23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F21"/>
  <sheetViews>
    <sheetView topLeftCell="A13" workbookViewId="0">
      <selection activeCell="E18" sqref="E18"/>
    </sheetView>
  </sheetViews>
  <sheetFormatPr defaultRowHeight="15" x14ac:dyDescent="0.25"/>
  <cols>
    <col min="1" max="1" width="2.7109375" customWidth="1"/>
    <col min="2" max="2" width="41.28515625" bestFit="1" customWidth="1"/>
    <col min="3" max="3" width="32.85546875" bestFit="1" customWidth="1"/>
    <col min="4" max="4" width="11.5703125" bestFit="1" customWidth="1"/>
    <col min="5" max="5" width="7.5703125" bestFit="1" customWidth="1"/>
    <col min="6" max="6" width="19.85546875" bestFit="1" customWidth="1"/>
  </cols>
  <sheetData>
    <row r="1" spans="2:6" thickBot="1" x14ac:dyDescent="0.35"/>
    <row r="2" spans="2:6" ht="14.45" x14ac:dyDescent="0.3">
      <c r="B2" s="280"/>
      <c r="C2" s="281"/>
      <c r="D2" s="281"/>
      <c r="E2" s="281"/>
      <c r="F2" s="91" t="s">
        <v>56</v>
      </c>
    </row>
    <row r="3" spans="2:6" ht="14.45" x14ac:dyDescent="0.3">
      <c r="B3" s="282"/>
      <c r="C3" s="93"/>
      <c r="D3" s="93"/>
      <c r="E3" s="93"/>
      <c r="F3" s="94"/>
    </row>
    <row r="4" spans="2:6" ht="14.45" x14ac:dyDescent="0.3">
      <c r="B4" s="101"/>
      <c r="C4" s="93"/>
      <c r="D4" s="93"/>
      <c r="E4" s="93"/>
      <c r="F4" s="94" t="s">
        <v>147</v>
      </c>
    </row>
    <row r="5" spans="2:6" ht="14.45" x14ac:dyDescent="0.3">
      <c r="B5" s="96" t="s">
        <v>58</v>
      </c>
      <c r="C5" s="93"/>
      <c r="D5" s="93"/>
      <c r="E5" s="93"/>
      <c r="F5" s="97"/>
    </row>
    <row r="6" spans="2:6" ht="14.45" x14ac:dyDescent="0.3">
      <c r="B6" s="340" t="s">
        <v>148</v>
      </c>
      <c r="C6" s="341"/>
      <c r="D6" s="341"/>
      <c r="E6" s="341"/>
      <c r="F6" s="342"/>
    </row>
    <row r="7" spans="2:6" ht="14.45" x14ac:dyDescent="0.3">
      <c r="B7" s="340" t="s">
        <v>60</v>
      </c>
      <c r="C7" s="341"/>
      <c r="D7" s="341"/>
      <c r="E7" s="341"/>
      <c r="F7" s="342"/>
    </row>
    <row r="8" spans="2:6" ht="14.45" x14ac:dyDescent="0.3">
      <c r="B8" s="96" t="s">
        <v>61</v>
      </c>
      <c r="C8" s="93"/>
      <c r="D8" s="93"/>
      <c r="E8" s="93"/>
      <c r="F8" s="97"/>
    </row>
    <row r="9" spans="2:6" ht="14.45" x14ac:dyDescent="0.3">
      <c r="B9" s="96" t="s">
        <v>62</v>
      </c>
      <c r="C9" s="93"/>
      <c r="D9" s="93"/>
      <c r="E9" s="93"/>
      <c r="F9" s="97"/>
    </row>
    <row r="10" spans="2:6" ht="14.45" x14ac:dyDescent="0.3">
      <c r="B10" s="101"/>
      <c r="C10" s="93"/>
      <c r="D10" s="93"/>
      <c r="E10" s="93"/>
      <c r="F10" s="159"/>
    </row>
    <row r="11" spans="2:6" ht="14.45" x14ac:dyDescent="0.3">
      <c r="B11" s="96" t="s">
        <v>63</v>
      </c>
      <c r="C11" s="93"/>
      <c r="D11" s="283" t="s">
        <v>149</v>
      </c>
      <c r="E11" s="93"/>
      <c r="F11" s="102" t="s">
        <v>150</v>
      </c>
    </row>
    <row r="12" spans="2:6" thickBot="1" x14ac:dyDescent="0.35">
      <c r="B12" s="98" t="s">
        <v>64</v>
      </c>
      <c r="C12" s="99" t="s">
        <v>65</v>
      </c>
      <c r="D12" s="284" t="s">
        <v>151</v>
      </c>
      <c r="E12" s="284" t="s">
        <v>152</v>
      </c>
      <c r="F12" s="285" t="s">
        <v>153</v>
      </c>
    </row>
    <row r="13" spans="2:6" ht="14.45" x14ac:dyDescent="0.3">
      <c r="B13" s="101"/>
      <c r="C13" s="93"/>
      <c r="D13" s="93"/>
      <c r="E13" s="93"/>
      <c r="F13" s="159"/>
    </row>
    <row r="14" spans="2:6" ht="14.45" x14ac:dyDescent="0.3">
      <c r="B14" s="103">
        <v>1</v>
      </c>
      <c r="C14" s="158" t="s">
        <v>154</v>
      </c>
      <c r="D14" s="106">
        <v>0.51500000000000001</v>
      </c>
      <c r="E14" s="106">
        <v>5.8099999999999999E-2</v>
      </c>
      <c r="F14" s="286">
        <f>ROUND(D14*E14,4)</f>
        <v>2.9899999999999999E-2</v>
      </c>
    </row>
    <row r="15" spans="2:6" thickBot="1" x14ac:dyDescent="0.35">
      <c r="B15" s="103">
        <v>2</v>
      </c>
      <c r="C15" s="158" t="s">
        <v>155</v>
      </c>
      <c r="D15" s="106">
        <v>0.48499999999999999</v>
      </c>
      <c r="E15" s="287">
        <v>9.5000000000000001E-2</v>
      </c>
      <c r="F15" s="286">
        <f>ROUND(D15*E15,4)</f>
        <v>4.6100000000000002E-2</v>
      </c>
    </row>
    <row r="16" spans="2:6" ht="14.45" x14ac:dyDescent="0.3">
      <c r="B16" s="103">
        <v>3</v>
      </c>
      <c r="C16" s="158" t="s">
        <v>156</v>
      </c>
      <c r="D16" s="288">
        <v>1</v>
      </c>
      <c r="E16" s="93"/>
      <c r="F16" s="289">
        <f>SUM(F14:F15)</f>
        <v>7.5999999999999998E-2</v>
      </c>
    </row>
    <row r="17" spans="2:6" ht="14.45" x14ac:dyDescent="0.3">
      <c r="B17" s="103">
        <v>4</v>
      </c>
      <c r="C17" s="93"/>
      <c r="D17" s="93"/>
      <c r="E17" s="93"/>
      <c r="F17" s="298"/>
    </row>
    <row r="18" spans="2:6" ht="14.45" x14ac:dyDescent="0.3">
      <c r="B18" s="103">
        <v>5</v>
      </c>
      <c r="C18" s="158" t="s">
        <v>157</v>
      </c>
      <c r="D18" s="106">
        <v>0.51500000000000001</v>
      </c>
      <c r="E18" s="106">
        <f>E14*0.79</f>
        <v>4.5899000000000002E-2</v>
      </c>
      <c r="F18" s="286">
        <f>ROUND(D18*E18,4)</f>
        <v>2.3599999999999999E-2</v>
      </c>
    </row>
    <row r="19" spans="2:6" thickBot="1" x14ac:dyDescent="0.35">
      <c r="B19" s="103">
        <v>6</v>
      </c>
      <c r="C19" s="158" t="s">
        <v>155</v>
      </c>
      <c r="D19" s="106">
        <v>0.48499999999999999</v>
      </c>
      <c r="E19" s="287">
        <v>9.5000000000000001E-2</v>
      </c>
      <c r="F19" s="286">
        <f>ROUND(D19*E19,4)</f>
        <v>4.6100000000000002E-2</v>
      </c>
    </row>
    <row r="20" spans="2:6" ht="14.45" x14ac:dyDescent="0.3">
      <c r="B20" s="103">
        <v>7</v>
      </c>
      <c r="C20" s="158" t="s">
        <v>158</v>
      </c>
      <c r="D20" s="288">
        <v>1</v>
      </c>
      <c r="E20" s="93"/>
      <c r="F20" s="289">
        <f>SUM(F18:F19)</f>
        <v>6.9699999999999998E-2</v>
      </c>
    </row>
    <row r="21" spans="2:6" thickBot="1" x14ac:dyDescent="0.35">
      <c r="B21" s="290"/>
      <c r="C21" s="291"/>
      <c r="D21" s="291"/>
      <c r="E21" s="291"/>
      <c r="F21" s="292"/>
    </row>
  </sheetData>
  <mergeCells count="2">
    <mergeCell ref="B6:F6"/>
    <mergeCell ref="B7:F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/>
  </sheetPr>
  <dimension ref="A1:U58"/>
  <sheetViews>
    <sheetView workbookViewId="0">
      <selection activeCell="M39" sqref="A1:XFD1048576"/>
    </sheetView>
  </sheetViews>
  <sheetFormatPr defaultColWidth="9.140625" defaultRowHeight="12.75" x14ac:dyDescent="0.2"/>
  <cols>
    <col min="1" max="1" width="13" style="161" customWidth="1"/>
    <col min="2" max="2" width="14.7109375" style="161" customWidth="1"/>
    <col min="3" max="3" width="13" style="161" customWidth="1"/>
    <col min="4" max="4" width="14" style="161" customWidth="1"/>
    <col min="5" max="7" width="13" style="161" customWidth="1"/>
    <col min="8" max="8" width="17.140625" style="161" customWidth="1"/>
    <col min="9" max="9" width="14.7109375" style="161" customWidth="1"/>
    <col min="10" max="10" width="13.85546875" style="161" customWidth="1"/>
    <col min="11" max="11" width="15.5703125" style="161" customWidth="1"/>
    <col min="12" max="12" width="11.28515625" style="162" customWidth="1"/>
    <col min="13" max="13" width="12" style="161" bestFit="1" customWidth="1"/>
    <col min="14" max="14" width="12.7109375" style="163" customWidth="1"/>
    <col min="15" max="16" width="12.7109375" style="161" customWidth="1"/>
    <col min="17" max="17" width="7.5703125" style="161" bestFit="1" customWidth="1"/>
    <col min="18" max="16384" width="9.140625" style="161"/>
  </cols>
  <sheetData>
    <row r="1" spans="1:14" ht="13.15" x14ac:dyDescent="0.25">
      <c r="A1" s="160"/>
    </row>
    <row r="2" spans="1:14" ht="13.15" x14ac:dyDescent="0.25">
      <c r="A2" s="160"/>
    </row>
    <row r="3" spans="1:14" ht="15" x14ac:dyDescent="0.25">
      <c r="A3" s="164" t="s">
        <v>77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</row>
    <row r="4" spans="1:14" ht="15" x14ac:dyDescent="0.25">
      <c r="A4" s="164" t="s">
        <v>78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</row>
    <row r="5" spans="1:14" ht="15" x14ac:dyDescent="0.25">
      <c r="A5" s="164"/>
      <c r="B5" s="165"/>
      <c r="C5" s="165"/>
      <c r="D5" s="165"/>
      <c r="E5" s="165"/>
      <c r="F5" s="165"/>
      <c r="G5" s="165"/>
      <c r="H5" s="165"/>
      <c r="I5" s="165"/>
      <c r="J5" s="165"/>
      <c r="K5" s="165"/>
    </row>
    <row r="6" spans="1:14" ht="13.9" thickBot="1" x14ac:dyDescent="0.3">
      <c r="A6" s="165"/>
      <c r="B6" s="165"/>
      <c r="C6" s="165"/>
      <c r="D6" s="165"/>
      <c r="E6" s="165"/>
      <c r="F6" s="165"/>
      <c r="G6" s="165"/>
      <c r="H6" s="165"/>
      <c r="I6" s="165"/>
      <c r="J6" s="165"/>
      <c r="K6" s="165"/>
    </row>
    <row r="7" spans="1:14" ht="13.9" thickBot="1" x14ac:dyDescent="0.3">
      <c r="A7" s="166"/>
      <c r="B7" s="163"/>
      <c r="C7" s="165"/>
      <c r="D7" s="165"/>
      <c r="E7" s="165"/>
      <c r="F7" s="165"/>
      <c r="G7" s="165"/>
      <c r="H7" s="167" t="s">
        <v>79</v>
      </c>
      <c r="I7" s="168"/>
      <c r="J7" s="169" t="s">
        <v>80</v>
      </c>
      <c r="K7" s="170" t="s">
        <v>81</v>
      </c>
    </row>
    <row r="8" spans="1:14" ht="13.15" x14ac:dyDescent="0.25">
      <c r="A8" s="171" t="s">
        <v>82</v>
      </c>
      <c r="B8" s="172">
        <v>22007938139</v>
      </c>
      <c r="C8" s="173"/>
      <c r="D8" s="173"/>
      <c r="E8" s="173"/>
      <c r="F8" s="173"/>
      <c r="G8" s="165"/>
      <c r="H8" s="174" t="s">
        <v>83</v>
      </c>
      <c r="I8" s="175"/>
      <c r="J8" s="176" t="s">
        <v>84</v>
      </c>
      <c r="K8" s="177" t="s">
        <v>85</v>
      </c>
    </row>
    <row r="9" spans="1:14" ht="13.15" x14ac:dyDescent="0.25">
      <c r="A9" s="178" t="s">
        <v>86</v>
      </c>
      <c r="B9" s="179">
        <f>B8*0.073</f>
        <v>1606579484.1469998</v>
      </c>
      <c r="C9" s="163"/>
      <c r="D9" s="163"/>
      <c r="E9" s="163"/>
      <c r="F9" s="163"/>
      <c r="G9" s="165"/>
      <c r="H9" s="178" t="s">
        <v>87</v>
      </c>
      <c r="I9" s="180"/>
      <c r="J9" s="181">
        <f>SUM(B33:B34)/B38</f>
        <v>3.047732061653087E-2</v>
      </c>
      <c r="K9" s="182">
        <f>SUM(I33:I34)/I38</f>
        <v>6.9147310138769251E-3</v>
      </c>
    </row>
    <row r="10" spans="1:14" ht="13.15" x14ac:dyDescent="0.25">
      <c r="A10" s="178" t="s">
        <v>88</v>
      </c>
      <c r="B10" s="183">
        <f>B8-B9-B11</f>
        <v>18880488.840606689</v>
      </c>
      <c r="C10" s="173"/>
      <c r="D10" s="173"/>
      <c r="E10" s="165"/>
      <c r="F10" s="163"/>
      <c r="G10" s="165"/>
      <c r="H10" s="178" t="s">
        <v>89</v>
      </c>
      <c r="I10" s="180"/>
      <c r="J10" s="181">
        <f>SUM(B29:B32,B35:B35)/B38</f>
        <v>0.101328498667984</v>
      </c>
      <c r="K10" s="182">
        <f>SUM(I29:I32,I35:I35)/I38</f>
        <v>4.9535101029060086E-2</v>
      </c>
    </row>
    <row r="11" spans="1:14" ht="13.9" thickBot="1" x14ac:dyDescent="0.3">
      <c r="A11" s="184" t="s">
        <v>90</v>
      </c>
      <c r="B11" s="185">
        <f>B38</f>
        <v>20382478166.012394</v>
      </c>
      <c r="C11" s="186"/>
      <c r="D11" s="163"/>
      <c r="E11" s="173"/>
      <c r="F11" s="163"/>
      <c r="G11" s="165"/>
      <c r="H11" s="187" t="s">
        <v>91</v>
      </c>
      <c r="I11" s="188"/>
      <c r="J11" s="189">
        <f>SUM(B24:B28,B36)/B38</f>
        <v>0.86819418071548504</v>
      </c>
      <c r="K11" s="190">
        <f>SUM(I24:I28,I36)/I38</f>
        <v>0.94355016795706304</v>
      </c>
    </row>
    <row r="12" spans="1:14" ht="13.9" thickBot="1" x14ac:dyDescent="0.3">
      <c r="A12" s="163"/>
      <c r="B12" s="165"/>
      <c r="C12" s="165"/>
      <c r="D12" s="165"/>
      <c r="E12" s="173"/>
      <c r="F12" s="163"/>
      <c r="G12" s="165"/>
      <c r="H12" s="191" t="s">
        <v>92</v>
      </c>
      <c r="I12" s="192"/>
      <c r="J12" s="193">
        <f>SUM(J9:J11)</f>
        <v>0.99999999999999989</v>
      </c>
      <c r="K12" s="194">
        <f>SUM(K9:K11)</f>
        <v>1</v>
      </c>
    </row>
    <row r="13" spans="1:14" s="166" customFormat="1" ht="30" customHeight="1" x14ac:dyDescent="0.25">
      <c r="H13" s="343"/>
      <c r="I13" s="343"/>
      <c r="L13" s="162"/>
      <c r="N13" s="163"/>
    </row>
    <row r="14" spans="1:14" ht="13.15" x14ac:dyDescent="0.25">
      <c r="A14" s="165"/>
      <c r="B14" s="165"/>
      <c r="C14" s="165"/>
      <c r="D14" s="165"/>
      <c r="E14" s="165"/>
      <c r="F14" s="163"/>
      <c r="G14" s="165"/>
      <c r="H14" s="166"/>
      <c r="I14" s="165"/>
      <c r="J14" s="165"/>
      <c r="K14" s="165"/>
    </row>
    <row r="15" spans="1:14" ht="13.9" thickBot="1" x14ac:dyDescent="0.3">
      <c r="C15" s="195"/>
      <c r="D15" s="196"/>
      <c r="G15" s="196"/>
    </row>
    <row r="16" spans="1:14" s="201" customFormat="1" ht="10.15" x14ac:dyDescent="0.2">
      <c r="A16" s="197" t="s">
        <v>93</v>
      </c>
      <c r="B16" s="198" t="s">
        <v>94</v>
      </c>
      <c r="C16" s="198" t="s">
        <v>95</v>
      </c>
      <c r="D16" s="198" t="s">
        <v>96</v>
      </c>
      <c r="E16" s="198" t="s">
        <v>97</v>
      </c>
      <c r="F16" s="198" t="s">
        <v>98</v>
      </c>
      <c r="G16" s="198" t="s">
        <v>99</v>
      </c>
      <c r="H16" s="198" t="s">
        <v>100</v>
      </c>
      <c r="I16" s="198" t="s">
        <v>101</v>
      </c>
      <c r="J16" s="198" t="s">
        <v>102</v>
      </c>
      <c r="K16" s="199" t="s">
        <v>103</v>
      </c>
      <c r="L16" s="200"/>
      <c r="N16" s="202"/>
    </row>
    <row r="17" spans="1:21" s="201" customFormat="1" ht="10.15" x14ac:dyDescent="0.2">
      <c r="A17" s="203"/>
      <c r="B17" s="204"/>
      <c r="C17" s="204"/>
      <c r="D17" s="204"/>
      <c r="E17" s="204"/>
      <c r="F17" s="204" t="s">
        <v>104</v>
      </c>
      <c r="G17" s="204" t="s">
        <v>104</v>
      </c>
      <c r="H17" s="204" t="s">
        <v>104</v>
      </c>
      <c r="I17" s="204"/>
      <c r="J17" s="204" t="s">
        <v>105</v>
      </c>
      <c r="K17" s="205" t="s">
        <v>106</v>
      </c>
      <c r="L17" s="200"/>
      <c r="N17" s="202"/>
    </row>
    <row r="18" spans="1:21" s="201" customFormat="1" ht="10.15" x14ac:dyDescent="0.2">
      <c r="A18" s="203"/>
      <c r="B18" s="204" t="s">
        <v>107</v>
      </c>
      <c r="C18" s="204" t="s">
        <v>108</v>
      </c>
      <c r="D18" s="204" t="s">
        <v>104</v>
      </c>
      <c r="E18" s="204" t="s">
        <v>109</v>
      </c>
      <c r="F18" s="204" t="s">
        <v>110</v>
      </c>
      <c r="G18" s="204" t="s">
        <v>110</v>
      </c>
      <c r="H18" s="204" t="s">
        <v>110</v>
      </c>
      <c r="I18" s="204" t="s">
        <v>111</v>
      </c>
      <c r="J18" s="204" t="s">
        <v>112</v>
      </c>
      <c r="K18" s="205" t="s">
        <v>105</v>
      </c>
      <c r="L18" s="200"/>
      <c r="N18" s="206"/>
      <c r="O18" s="207"/>
      <c r="P18" s="207"/>
      <c r="Q18" s="207"/>
      <c r="R18" s="207"/>
      <c r="S18" s="207"/>
      <c r="T18" s="207"/>
      <c r="U18" s="207"/>
    </row>
    <row r="19" spans="1:21" s="201" customFormat="1" ht="13.15" x14ac:dyDescent="0.25">
      <c r="A19" s="203" t="s">
        <v>113</v>
      </c>
      <c r="B19" s="204" t="s">
        <v>114</v>
      </c>
      <c r="C19" s="204" t="s">
        <v>115</v>
      </c>
      <c r="D19" s="204" t="s">
        <v>116</v>
      </c>
      <c r="E19" s="204" t="s">
        <v>117</v>
      </c>
      <c r="F19" s="204" t="s">
        <v>118</v>
      </c>
      <c r="G19" s="204" t="s">
        <v>119</v>
      </c>
      <c r="H19" s="204" t="s">
        <v>120</v>
      </c>
      <c r="I19" s="204" t="s">
        <v>115</v>
      </c>
      <c r="J19" s="204" t="s">
        <v>121</v>
      </c>
      <c r="K19" s="205" t="s">
        <v>10</v>
      </c>
      <c r="L19" s="200"/>
      <c r="N19" s="206"/>
      <c r="O19" s="208"/>
      <c r="P19" s="209"/>
      <c r="Q19" s="207"/>
      <c r="R19" s="207"/>
      <c r="S19" s="207"/>
      <c r="T19" s="210"/>
      <c r="U19" s="207"/>
    </row>
    <row r="20" spans="1:21" ht="13.15" x14ac:dyDescent="0.25">
      <c r="A20" s="211"/>
      <c r="B20" s="212"/>
      <c r="C20" s="212"/>
      <c r="D20" s="212"/>
      <c r="E20" s="212"/>
      <c r="F20" s="212"/>
      <c r="G20" s="212"/>
      <c r="H20" s="212"/>
      <c r="I20" s="212"/>
      <c r="J20" s="204" t="s">
        <v>115</v>
      </c>
      <c r="K20" s="213"/>
      <c r="N20" s="206"/>
      <c r="O20" s="208"/>
      <c r="P20" s="209"/>
      <c r="Q20" s="209"/>
      <c r="R20" s="214"/>
      <c r="S20" s="214"/>
      <c r="T20" s="207"/>
      <c r="U20" s="214"/>
    </row>
    <row r="21" spans="1:21" s="201" customFormat="1" x14ac:dyDescent="0.2">
      <c r="A21" s="215"/>
      <c r="B21" s="216"/>
      <c r="C21" s="217" t="s">
        <v>122</v>
      </c>
      <c r="D21" s="216" t="s">
        <v>123</v>
      </c>
      <c r="E21" s="217" t="s">
        <v>124</v>
      </c>
      <c r="F21" s="217" t="s">
        <v>125</v>
      </c>
      <c r="G21" s="216" t="s">
        <v>123</v>
      </c>
      <c r="H21" s="217" t="s">
        <v>126</v>
      </c>
      <c r="I21" s="216" t="s">
        <v>127</v>
      </c>
      <c r="J21" s="217" t="s">
        <v>128</v>
      </c>
      <c r="K21" s="218" t="s">
        <v>129</v>
      </c>
      <c r="L21" s="200"/>
      <c r="N21" s="206"/>
      <c r="O21" s="208"/>
      <c r="P21" s="209"/>
      <c r="Q21" s="209"/>
      <c r="R21" s="207"/>
      <c r="S21" s="207"/>
      <c r="T21" s="207"/>
      <c r="U21" s="207"/>
    </row>
    <row r="22" spans="1:21" s="201" customFormat="1" x14ac:dyDescent="0.2">
      <c r="A22" s="215"/>
      <c r="B22" s="216"/>
      <c r="C22" s="217" t="s">
        <v>130</v>
      </c>
      <c r="D22" s="216"/>
      <c r="E22" s="217"/>
      <c r="F22" s="217"/>
      <c r="G22" s="216"/>
      <c r="H22" s="217"/>
      <c r="I22" s="216" t="s">
        <v>131</v>
      </c>
      <c r="J22" s="217"/>
      <c r="K22" s="218"/>
      <c r="L22" s="200"/>
      <c r="M22" s="344"/>
      <c r="N22" s="344"/>
      <c r="O22" s="344"/>
      <c r="P22" s="219"/>
      <c r="Q22" s="209"/>
      <c r="R22" s="207"/>
      <c r="S22" s="207"/>
      <c r="T22" s="207"/>
      <c r="U22" s="207"/>
    </row>
    <row r="23" spans="1:21" s="226" customFormat="1" x14ac:dyDescent="0.2">
      <c r="A23" s="220" t="s">
        <v>132</v>
      </c>
      <c r="B23" s="221" t="s">
        <v>132</v>
      </c>
      <c r="C23" s="221" t="s">
        <v>132</v>
      </c>
      <c r="D23" s="221" t="s">
        <v>132</v>
      </c>
      <c r="E23" s="221" t="s">
        <v>132</v>
      </c>
      <c r="F23" s="221" t="s">
        <v>132</v>
      </c>
      <c r="G23" s="221" t="s">
        <v>132</v>
      </c>
      <c r="H23" s="221" t="s">
        <v>132</v>
      </c>
      <c r="I23" s="221" t="s">
        <v>133</v>
      </c>
      <c r="J23" s="221" t="s">
        <v>132</v>
      </c>
      <c r="K23" s="222" t="s">
        <v>132</v>
      </c>
      <c r="L23" s="223"/>
      <c r="M23" s="224"/>
      <c r="N23" s="224"/>
      <c r="O23" s="225"/>
      <c r="Q23" s="209"/>
      <c r="R23" s="227"/>
      <c r="S23" s="227"/>
      <c r="T23" s="207"/>
      <c r="U23" s="227"/>
    </row>
    <row r="24" spans="1:21" s="201" customFormat="1" x14ac:dyDescent="0.2">
      <c r="A24" s="228" t="s">
        <v>134</v>
      </c>
      <c r="B24" s="229">
        <v>10208761476.354383</v>
      </c>
      <c r="C24" s="230">
        <f t="shared" ref="C24:C36" si="0">(B24/$B$38)*$C$38</f>
        <v>9456475.5846091062</v>
      </c>
      <c r="D24" s="231">
        <v>1596531.0833333333</v>
      </c>
      <c r="E24" s="230">
        <f t="shared" ref="E24:E36" si="1">SUM(B24:C24)/8784</f>
        <v>1163276.17849943</v>
      </c>
      <c r="F24" s="232">
        <f t="shared" ref="F24:F36" si="2">E24/D24</f>
        <v>0.72862732873992797</v>
      </c>
      <c r="G24" s="231">
        <v>241622.16666666666</v>
      </c>
      <c r="H24" s="230">
        <f t="shared" ref="H24:H36" si="3">F24*G24*8760</f>
        <v>1542220021.4371381</v>
      </c>
      <c r="I24" s="230">
        <f t="shared" ref="I24:I36" si="4">(H24/$H$38)*$I$38</f>
        <v>882118531.15433276</v>
      </c>
      <c r="J24" s="230">
        <f t="shared" ref="J24:J36" si="5">B24+C24+I24</f>
        <v>11100336483.093327</v>
      </c>
      <c r="K24" s="233">
        <f t="shared" ref="K24:K36" si="6">I24/(B24+C24+I24)</f>
        <v>7.9467728973609736E-2</v>
      </c>
      <c r="L24" s="234"/>
      <c r="M24" s="235"/>
      <c r="N24" s="206"/>
      <c r="O24" s="208"/>
      <c r="P24" s="209"/>
      <c r="Q24" s="209"/>
      <c r="R24" s="207"/>
      <c r="S24" s="207"/>
      <c r="T24" s="210"/>
      <c r="U24" s="207"/>
    </row>
    <row r="25" spans="1:21" s="201" customFormat="1" x14ac:dyDescent="0.2">
      <c r="A25" s="236">
        <v>24</v>
      </c>
      <c r="B25" s="229">
        <v>2724602308.1630082</v>
      </c>
      <c r="C25" s="230">
        <f t="shared" si="0"/>
        <v>2523825.7612924469</v>
      </c>
      <c r="D25" s="231">
        <v>374204.91666666669</v>
      </c>
      <c r="E25" s="230">
        <f t="shared" si="1"/>
        <v>310465.17918081745</v>
      </c>
      <c r="F25" s="232">
        <f t="shared" si="2"/>
        <v>0.82966622124148315</v>
      </c>
      <c r="G25" s="231">
        <v>55871.166666666664</v>
      </c>
      <c r="H25" s="230">
        <f t="shared" si="3"/>
        <v>406064716.78825325</v>
      </c>
      <c r="I25" s="230">
        <f t="shared" si="4"/>
        <v>232260771.19207883</v>
      </c>
      <c r="J25" s="230">
        <f t="shared" si="5"/>
        <v>2959386905.1163797</v>
      </c>
      <c r="K25" s="233">
        <f t="shared" si="6"/>
        <v>7.8482732619560958E-2</v>
      </c>
      <c r="L25" s="237"/>
      <c r="M25" s="238"/>
      <c r="N25" s="206"/>
      <c r="O25" s="208"/>
      <c r="P25" s="209"/>
      <c r="Q25" s="209"/>
      <c r="R25" s="207"/>
      <c r="S25" s="207"/>
      <c r="T25" s="210"/>
      <c r="U25" s="207"/>
    </row>
    <row r="26" spans="1:21" s="201" customFormat="1" x14ac:dyDescent="0.2">
      <c r="A26" s="236">
        <v>25</v>
      </c>
      <c r="B26" s="229">
        <v>2805029593.5689993</v>
      </c>
      <c r="C26" s="230">
        <f t="shared" si="0"/>
        <v>2598326.3422434032</v>
      </c>
      <c r="D26" s="231">
        <v>390998.58333333331</v>
      </c>
      <c r="E26" s="230">
        <f t="shared" si="1"/>
        <v>319629.77230319247</v>
      </c>
      <c r="F26" s="232">
        <f t="shared" si="2"/>
        <v>0.81747041019507316</v>
      </c>
      <c r="G26" s="231">
        <v>57870.916666666664</v>
      </c>
      <c r="H26" s="230">
        <f t="shared" si="3"/>
        <v>414415994.99617642</v>
      </c>
      <c r="I26" s="230">
        <f t="shared" si="4"/>
        <v>237037532.72002834</v>
      </c>
      <c r="J26" s="230">
        <f t="shared" si="5"/>
        <v>3044665452.6312709</v>
      </c>
      <c r="K26" s="233">
        <f t="shared" si="6"/>
        <v>7.7853391910488873E-2</v>
      </c>
      <c r="L26" s="237"/>
      <c r="M26" s="239"/>
      <c r="N26" s="240"/>
      <c r="O26" s="208"/>
      <c r="P26" s="209"/>
      <c r="Q26" s="209"/>
      <c r="R26" s="207"/>
      <c r="S26" s="207"/>
      <c r="T26" s="210"/>
      <c r="U26" s="207"/>
    </row>
    <row r="27" spans="1:21" s="201" customFormat="1" x14ac:dyDescent="0.2">
      <c r="A27" s="236">
        <v>26</v>
      </c>
      <c r="B27" s="229">
        <v>1868458845.7140005</v>
      </c>
      <c r="C27" s="230">
        <f t="shared" si="0"/>
        <v>1730771.7000016626</v>
      </c>
      <c r="D27" s="231">
        <v>245143.25</v>
      </c>
      <c r="E27" s="230">
        <f t="shared" si="1"/>
        <v>212908.65407718605</v>
      </c>
      <c r="F27" s="232">
        <f t="shared" si="2"/>
        <v>0.86850710381454943</v>
      </c>
      <c r="G27" s="231">
        <v>36011.25</v>
      </c>
      <c r="H27" s="230">
        <f t="shared" si="3"/>
        <v>273977991.63403726</v>
      </c>
      <c r="I27" s="230">
        <f t="shared" si="4"/>
        <v>156709846.9669829</v>
      </c>
      <c r="J27" s="230">
        <f t="shared" si="5"/>
        <v>2026899464.380985</v>
      </c>
      <c r="K27" s="233">
        <f t="shared" si="6"/>
        <v>7.7315056676894464E-2</v>
      </c>
      <c r="L27" s="237"/>
      <c r="M27" s="239"/>
      <c r="N27" s="240"/>
      <c r="O27" s="208"/>
      <c r="P27" s="209"/>
      <c r="Q27" s="209"/>
      <c r="R27" s="207"/>
      <c r="S27" s="207"/>
      <c r="T27" s="207"/>
      <c r="U27" s="207"/>
    </row>
    <row r="28" spans="1:21" s="201" customFormat="1" x14ac:dyDescent="0.2">
      <c r="A28" s="236">
        <v>29</v>
      </c>
      <c r="B28" s="229">
        <v>14242753.409000002</v>
      </c>
      <c r="C28" s="230">
        <f t="shared" si="0"/>
        <v>13193.201759270998</v>
      </c>
      <c r="D28" s="231">
        <v>1722.75</v>
      </c>
      <c r="E28" s="230">
        <f t="shared" si="1"/>
        <v>1622.9447416620301</v>
      </c>
      <c r="F28" s="232">
        <f t="shared" si="2"/>
        <v>0.94206631354638226</v>
      </c>
      <c r="G28" s="231">
        <v>243.75</v>
      </c>
      <c r="H28" s="230">
        <f t="shared" si="3"/>
        <v>2011547.0959999126</v>
      </c>
      <c r="I28" s="230">
        <f t="shared" si="4"/>
        <v>1150564.0861915972</v>
      </c>
      <c r="J28" s="230">
        <f t="shared" si="5"/>
        <v>15406510.69695087</v>
      </c>
      <c r="K28" s="233">
        <f t="shared" si="6"/>
        <v>7.468038083531188E-2</v>
      </c>
      <c r="L28" s="237"/>
      <c r="M28" s="239"/>
      <c r="N28" s="240"/>
      <c r="O28" s="208"/>
      <c r="P28" s="209"/>
      <c r="Q28" s="209"/>
      <c r="R28" s="207"/>
      <c r="S28" s="207"/>
      <c r="T28" s="207"/>
      <c r="U28" s="207"/>
    </row>
    <row r="29" spans="1:21" s="201" customFormat="1" x14ac:dyDescent="0.2">
      <c r="A29" s="228">
        <v>31</v>
      </c>
      <c r="B29" s="229">
        <v>1271891747.5769999</v>
      </c>
      <c r="C29" s="230">
        <f t="shared" si="0"/>
        <v>1178165.7633089151</v>
      </c>
      <c r="D29" s="231">
        <v>163580.33333333334</v>
      </c>
      <c r="E29" s="230">
        <f t="shared" si="1"/>
        <v>144930.54568992587</v>
      </c>
      <c r="F29" s="232">
        <f t="shared" si="2"/>
        <v>0.88599003765688533</v>
      </c>
      <c r="G29" s="231">
        <v>11025.5</v>
      </c>
      <c r="H29" s="230">
        <f t="shared" si="3"/>
        <v>85571912.483229265</v>
      </c>
      <c r="I29" s="230">
        <f t="shared" si="4"/>
        <v>48945396.051486872</v>
      </c>
      <c r="J29" s="230">
        <f t="shared" si="5"/>
        <v>1322015309.3917959</v>
      </c>
      <c r="K29" s="233">
        <f t="shared" si="6"/>
        <v>3.702332015656052E-2</v>
      </c>
      <c r="L29" s="237"/>
      <c r="M29" s="241"/>
      <c r="N29" s="240"/>
      <c r="O29" s="242"/>
      <c r="P29" s="238"/>
      <c r="Q29" s="209"/>
      <c r="R29" s="207"/>
      <c r="S29" s="207"/>
      <c r="T29" s="207"/>
      <c r="U29" s="207"/>
    </row>
    <row r="30" spans="1:21" s="201" customFormat="1" x14ac:dyDescent="0.2">
      <c r="A30" s="228">
        <v>35</v>
      </c>
      <c r="B30" s="229">
        <v>4429100.4000000004</v>
      </c>
      <c r="C30" s="230">
        <f t="shared" si="0"/>
        <v>4102.7190116444344</v>
      </c>
      <c r="D30" s="231">
        <v>528.91666666666663</v>
      </c>
      <c r="E30" s="230">
        <f t="shared" si="1"/>
        <v>504.69070116252789</v>
      </c>
      <c r="F30" s="232">
        <f t="shared" si="2"/>
        <v>0.95419700865768631</v>
      </c>
      <c r="G30" s="231">
        <v>33.75</v>
      </c>
      <c r="H30" s="230">
        <f t="shared" si="3"/>
        <v>282108.34560964495</v>
      </c>
      <c r="I30" s="230">
        <f t="shared" si="4"/>
        <v>161360.24432082128</v>
      </c>
      <c r="J30" s="230">
        <f t="shared" si="5"/>
        <v>4594563.3633324662</v>
      </c>
      <c r="K30" s="233">
        <f t="shared" si="6"/>
        <v>3.5119821310677424E-2</v>
      </c>
      <c r="L30" s="237"/>
      <c r="M30" s="207"/>
      <c r="N30" s="206"/>
      <c r="O30" s="208"/>
      <c r="P30" s="209"/>
      <c r="Q30" s="209"/>
      <c r="R30" s="207"/>
      <c r="S30" s="207"/>
      <c r="T30" s="207"/>
      <c r="U30" s="207"/>
    </row>
    <row r="31" spans="1:21" s="201" customFormat="1" x14ac:dyDescent="0.2">
      <c r="A31" s="228">
        <v>40</v>
      </c>
      <c r="B31" s="229">
        <v>665910607.83399987</v>
      </c>
      <c r="C31" s="230">
        <f t="shared" si="0"/>
        <v>616839.50781884557</v>
      </c>
      <c r="D31" s="231">
        <v>87075.5</v>
      </c>
      <c r="E31" s="230">
        <f t="shared" si="1"/>
        <v>75879.718504305405</v>
      </c>
      <c r="F31" s="232">
        <f t="shared" si="2"/>
        <v>0.87142443631452482</v>
      </c>
      <c r="G31" s="231">
        <v>5861.083333333333</v>
      </c>
      <c r="H31" s="230">
        <f t="shared" si="3"/>
        <v>44741623.26189591</v>
      </c>
      <c r="I31" s="230">
        <f t="shared" si="4"/>
        <v>25591299.843498275</v>
      </c>
      <c r="J31" s="230">
        <f t="shared" si="5"/>
        <v>692118747.18531692</v>
      </c>
      <c r="K31" s="233">
        <f t="shared" si="6"/>
        <v>3.6975302211610411E-2</v>
      </c>
      <c r="L31" s="243"/>
      <c r="M31" s="238"/>
      <c r="N31" s="206"/>
      <c r="O31" s="208"/>
      <c r="P31" s="209"/>
      <c r="Q31" s="209"/>
      <c r="R31" s="207"/>
      <c r="S31" s="207"/>
      <c r="T31" s="210"/>
      <c r="U31" s="207"/>
    </row>
    <row r="32" spans="1:21" s="201" customFormat="1" x14ac:dyDescent="0.2">
      <c r="A32" s="236">
        <v>43</v>
      </c>
      <c r="B32" s="229">
        <v>116295695.25500003</v>
      </c>
      <c r="C32" s="230">
        <f t="shared" si="0"/>
        <v>107725.83974278298</v>
      </c>
      <c r="D32" s="231">
        <v>23842.5</v>
      </c>
      <c r="E32" s="230">
        <f t="shared" si="1"/>
        <v>13251.755589110064</v>
      </c>
      <c r="F32" s="232">
        <f t="shared" si="2"/>
        <v>0.555803946277029</v>
      </c>
      <c r="G32" s="231">
        <v>1656.0833333333333</v>
      </c>
      <c r="H32" s="230">
        <f t="shared" si="3"/>
        <v>8063209.0317852795</v>
      </c>
      <c r="I32" s="230">
        <f t="shared" si="4"/>
        <v>4611991.8096256526</v>
      </c>
      <c r="J32" s="230">
        <f t="shared" si="5"/>
        <v>121015412.90436846</v>
      </c>
      <c r="K32" s="233">
        <f t="shared" si="6"/>
        <v>3.8110780262926053E-2</v>
      </c>
      <c r="L32" s="244"/>
      <c r="M32" s="238"/>
      <c r="N32" s="206"/>
      <c r="O32" s="208"/>
      <c r="P32" s="209"/>
      <c r="Q32" s="209"/>
      <c r="R32" s="207"/>
      <c r="S32" s="207"/>
      <c r="T32" s="207"/>
      <c r="U32" s="207"/>
    </row>
    <row r="33" spans="1:21" s="201" customFormat="1" x14ac:dyDescent="0.2">
      <c r="A33" s="236">
        <v>46</v>
      </c>
      <c r="B33" s="229">
        <v>57454342.252000004</v>
      </c>
      <c r="C33" s="230">
        <f t="shared" si="0"/>
        <v>53220.519060440914</v>
      </c>
      <c r="D33" s="231">
        <v>6545.5</v>
      </c>
      <c r="E33" s="230">
        <f t="shared" si="1"/>
        <v>6546.853685230014</v>
      </c>
      <c r="F33" s="232">
        <f t="shared" si="2"/>
        <v>1.0002068115850606</v>
      </c>
      <c r="G33" s="231">
        <v>206.08333333333334</v>
      </c>
      <c r="H33" s="230">
        <f t="shared" si="3"/>
        <v>1805663.3548863942</v>
      </c>
      <c r="I33" s="230">
        <f t="shared" si="4"/>
        <v>1032802.7675890955</v>
      </c>
      <c r="J33" s="230">
        <f t="shared" si="5"/>
        <v>58540365.538649537</v>
      </c>
      <c r="K33" s="233">
        <f t="shared" si="6"/>
        <v>1.7642574624977668E-2</v>
      </c>
      <c r="L33" s="234"/>
      <c r="M33" s="235"/>
      <c r="N33" s="206"/>
      <c r="O33" s="208"/>
      <c r="P33" s="209"/>
      <c r="Q33" s="209"/>
      <c r="R33" s="207"/>
      <c r="S33" s="207"/>
      <c r="T33" s="207"/>
      <c r="U33" s="207"/>
    </row>
    <row r="34" spans="1:21" s="201" customFormat="1" ht="11.25" x14ac:dyDescent="0.2">
      <c r="A34" s="236">
        <v>49</v>
      </c>
      <c r="B34" s="229">
        <v>563748979.77299988</v>
      </c>
      <c r="C34" s="230">
        <f t="shared" si="0"/>
        <v>522206.19273156236</v>
      </c>
      <c r="D34" s="231">
        <v>68869.916666666672</v>
      </c>
      <c r="E34" s="230">
        <f t="shared" si="1"/>
        <v>64238.522992455772</v>
      </c>
      <c r="F34" s="232">
        <f t="shared" si="2"/>
        <v>0.93275157139180165</v>
      </c>
      <c r="G34" s="231">
        <v>2156</v>
      </c>
      <c r="H34" s="230">
        <f t="shared" si="3"/>
        <v>17616468.518185545</v>
      </c>
      <c r="I34" s="230">
        <f t="shared" si="4"/>
        <v>10076262.217700556</v>
      </c>
      <c r="J34" s="230">
        <f t="shared" si="5"/>
        <v>574347448.1834321</v>
      </c>
      <c r="K34" s="233">
        <f t="shared" si="6"/>
        <v>1.754384432205652E-2</v>
      </c>
      <c r="L34" s="234"/>
      <c r="M34" s="235"/>
      <c r="N34" s="207"/>
      <c r="O34" s="207"/>
      <c r="P34" s="207"/>
      <c r="Q34" s="207"/>
      <c r="R34" s="207"/>
      <c r="S34" s="207"/>
      <c r="T34" s="207"/>
      <c r="U34" s="207"/>
    </row>
    <row r="35" spans="1:21" s="201" customFormat="1" ht="11.25" x14ac:dyDescent="0.2">
      <c r="A35" s="236" t="s">
        <v>135</v>
      </c>
      <c r="B35" s="229">
        <v>6798760.6290000007</v>
      </c>
      <c r="C35" s="230">
        <f t="shared" si="0"/>
        <v>6297.7584541136102</v>
      </c>
      <c r="D35" s="231">
        <v>838.33333333333337</v>
      </c>
      <c r="E35" s="230">
        <f t="shared" si="1"/>
        <v>774.71065430943918</v>
      </c>
      <c r="F35" s="232">
        <f t="shared" si="2"/>
        <v>0.92410813635320777</v>
      </c>
      <c r="G35" s="231">
        <v>58.75</v>
      </c>
      <c r="H35" s="230">
        <f t="shared" si="3"/>
        <v>475592.25237417832</v>
      </c>
      <c r="I35" s="230">
        <f t="shared" si="4"/>
        <v>272029.10950523615</v>
      </c>
      <c r="J35" s="230">
        <f t="shared" si="5"/>
        <v>7077087.4969593501</v>
      </c>
      <c r="K35" s="233">
        <f t="shared" si="6"/>
        <v>3.8438002868003633E-2</v>
      </c>
      <c r="L35" s="234"/>
      <c r="M35" s="235"/>
      <c r="N35" s="207"/>
      <c r="O35" s="207"/>
      <c r="P35" s="245"/>
      <c r="Q35" s="245"/>
      <c r="R35" s="207"/>
      <c r="S35" s="207"/>
      <c r="T35" s="207"/>
      <c r="U35" s="207"/>
    </row>
    <row r="36" spans="1:21" s="201" customFormat="1" ht="11.25" x14ac:dyDescent="0.2">
      <c r="A36" s="228" t="s">
        <v>136</v>
      </c>
      <c r="B36" s="229">
        <v>74853955.083000004</v>
      </c>
      <c r="C36" s="230">
        <f t="shared" si="0"/>
        <v>69337.950572491565</v>
      </c>
      <c r="D36" s="231">
        <v>6785.5833333333339</v>
      </c>
      <c r="E36" s="230">
        <f t="shared" si="1"/>
        <v>8529.5187879750101</v>
      </c>
      <c r="F36" s="232">
        <f t="shared" si="2"/>
        <v>1.25700597413266</v>
      </c>
      <c r="G36" s="231">
        <v>1049.6666666666665</v>
      </c>
      <c r="H36" s="230">
        <f t="shared" si="3"/>
        <v>11558270.492627738</v>
      </c>
      <c r="I36" s="230">
        <f t="shared" si="4"/>
        <v>6611095.9836587962</v>
      </c>
      <c r="J36" s="230">
        <f t="shared" si="5"/>
        <v>81534389.017231286</v>
      </c>
      <c r="K36" s="233">
        <f t="shared" si="6"/>
        <v>8.1083528844027059E-2</v>
      </c>
      <c r="L36" s="234"/>
      <c r="M36" s="235"/>
      <c r="N36" s="207"/>
      <c r="O36" s="207"/>
      <c r="P36" s="207"/>
      <c r="Q36" s="207"/>
      <c r="R36" s="207"/>
      <c r="S36" s="207"/>
      <c r="T36" s="207"/>
      <c r="U36" s="207"/>
    </row>
    <row r="37" spans="1:21" s="226" customFormat="1" ht="11.25" x14ac:dyDescent="0.2">
      <c r="A37" s="220" t="s">
        <v>132</v>
      </c>
      <c r="B37" s="221" t="s">
        <v>132</v>
      </c>
      <c r="C37" s="221" t="s">
        <v>132</v>
      </c>
      <c r="D37" s="221" t="s">
        <v>132</v>
      </c>
      <c r="E37" s="221" t="s">
        <v>132</v>
      </c>
      <c r="F37" s="221" t="s">
        <v>132</v>
      </c>
      <c r="G37" s="221" t="s">
        <v>132</v>
      </c>
      <c r="H37" s="221" t="s">
        <v>132</v>
      </c>
      <c r="I37" s="221" t="s">
        <v>133</v>
      </c>
      <c r="J37" s="221" t="s">
        <v>132</v>
      </c>
      <c r="K37" s="222" t="s">
        <v>132</v>
      </c>
      <c r="L37" s="223"/>
      <c r="N37" s="227"/>
      <c r="O37" s="227"/>
      <c r="P37" s="227"/>
      <c r="Q37" s="207"/>
      <c r="R37" s="227"/>
      <c r="S37" s="227"/>
      <c r="T37" s="227"/>
      <c r="U37" s="227"/>
    </row>
    <row r="38" spans="1:21" s="201" customFormat="1" ht="11.25" x14ac:dyDescent="0.2">
      <c r="A38" s="246" t="s">
        <v>25</v>
      </c>
      <c r="B38" s="247">
        <f>SUM(B24:B36)</f>
        <v>20382478166.012394</v>
      </c>
      <c r="C38" s="248">
        <f>B10</f>
        <v>18880488.840606689</v>
      </c>
      <c r="D38" s="247">
        <f>SUM(D24:D36)</f>
        <v>2966667.166666667</v>
      </c>
      <c r="E38" s="247">
        <f>SUM(E24:E36)</f>
        <v>2322559.045406762</v>
      </c>
      <c r="F38" s="249">
        <f>E38/D38</f>
        <v>0.78288493953852545</v>
      </c>
      <c r="G38" s="247">
        <f>SUM(G24:G36)</f>
        <v>413666.16666666663</v>
      </c>
      <c r="H38" s="247">
        <f>SUM(H24:H36)</f>
        <v>2808805119.6921992</v>
      </c>
      <c r="I38" s="247">
        <f>B9</f>
        <v>1606579484.1469998</v>
      </c>
      <c r="J38" s="247">
        <f>SUM(J24:J36)</f>
        <v>22007938139</v>
      </c>
      <c r="K38" s="250">
        <f>I38/(B38+C38+I38)</f>
        <v>7.2999999999999995E-2</v>
      </c>
      <c r="L38" s="200"/>
      <c r="Q38" s="226"/>
    </row>
    <row r="39" spans="1:21" s="201" customFormat="1" ht="12" thickBot="1" x14ac:dyDescent="0.25">
      <c r="A39" s="251"/>
      <c r="B39" s="252"/>
      <c r="C39" s="252"/>
      <c r="D39" s="252"/>
      <c r="E39" s="252"/>
      <c r="F39" s="252"/>
      <c r="G39" s="252"/>
      <c r="H39" s="253"/>
      <c r="I39" s="252"/>
      <c r="J39" s="252"/>
      <c r="K39" s="254"/>
      <c r="L39" s="200"/>
      <c r="M39" s="255"/>
    </row>
    <row r="40" spans="1:21" s="201" customFormat="1" ht="11.25" x14ac:dyDescent="0.2">
      <c r="A40" s="246"/>
      <c r="B40" s="207"/>
      <c r="C40" s="207"/>
      <c r="D40" s="207"/>
      <c r="E40" s="207"/>
      <c r="F40" s="207"/>
      <c r="G40" s="207"/>
      <c r="H40" s="245"/>
      <c r="I40" s="207"/>
      <c r="J40" s="207"/>
      <c r="K40" s="207"/>
      <c r="L40" s="200"/>
    </row>
    <row r="41" spans="1:21" s="201" customFormat="1" ht="11.25" x14ac:dyDescent="0.2">
      <c r="A41" s="246"/>
      <c r="B41" s="207"/>
      <c r="C41" s="207"/>
      <c r="D41" s="207"/>
      <c r="E41" s="207"/>
      <c r="F41" s="207"/>
      <c r="G41" s="207"/>
      <c r="H41" s="245"/>
      <c r="I41" s="207"/>
      <c r="J41" s="207"/>
      <c r="K41" s="207"/>
      <c r="L41" s="200"/>
    </row>
    <row r="42" spans="1:21" s="201" customFormat="1" ht="13.5" thickBot="1" x14ac:dyDescent="0.25">
      <c r="A42" s="256" t="s">
        <v>137</v>
      </c>
      <c r="B42" s="207"/>
      <c r="C42" s="207"/>
      <c r="D42" s="196"/>
      <c r="E42" s="257"/>
      <c r="F42" s="257"/>
      <c r="G42" s="196"/>
      <c r="H42" s="245"/>
      <c r="I42" s="207"/>
      <c r="J42" s="207"/>
      <c r="K42" s="207"/>
      <c r="L42" s="200"/>
    </row>
    <row r="43" spans="1:21" s="201" customFormat="1" ht="11.25" x14ac:dyDescent="0.2">
      <c r="A43" s="258">
        <v>459</v>
      </c>
      <c r="B43" s="259">
        <v>277864630.43800002</v>
      </c>
      <c r="C43" s="260">
        <v>0</v>
      </c>
      <c r="D43" s="261">
        <v>33349.677499999998</v>
      </c>
      <c r="E43" s="259">
        <f>SUM(B43:C43)/8784</f>
        <v>31633.040805783246</v>
      </c>
      <c r="F43" s="262">
        <f>E43/D43</f>
        <v>0.9485261380948361</v>
      </c>
      <c r="G43" s="261">
        <f>E43/(1-$K$33)-E43</f>
        <v>568.11122776207412</v>
      </c>
      <c r="H43" s="260">
        <f>F43*G43*8760</f>
        <v>4720486.7361666895</v>
      </c>
      <c r="I43" s="260">
        <f>H43</f>
        <v>4720486.7361666895</v>
      </c>
      <c r="J43" s="260">
        <f>B43+C43+I43</f>
        <v>282585117.17416674</v>
      </c>
      <c r="K43" s="263">
        <f>I43/(B43+C43+I43)</f>
        <v>1.6704654453749218E-2</v>
      </c>
      <c r="L43" s="200"/>
    </row>
    <row r="44" spans="1:21" s="201" customFormat="1" ht="11.25" x14ac:dyDescent="0.2">
      <c r="A44" s="236" t="s">
        <v>138</v>
      </c>
      <c r="B44" s="229">
        <v>1720611951.727</v>
      </c>
      <c r="C44" s="230">
        <v>0</v>
      </c>
      <c r="D44" s="264">
        <v>202197.85416666672</v>
      </c>
      <c r="E44" s="230">
        <f>SUM(B44:C44)/8784</f>
        <v>195880.23129861112</v>
      </c>
      <c r="F44" s="265">
        <f>E44/D44</f>
        <v>0.96875524275916336</v>
      </c>
      <c r="G44" s="264">
        <f>E44/(1-$K$33)-E44</f>
        <v>3517.8963470697345</v>
      </c>
      <c r="H44" s="230">
        <f>F44*G44*8760</f>
        <v>29853909.440234326</v>
      </c>
      <c r="I44" s="230">
        <f>H44</f>
        <v>29853909.440234326</v>
      </c>
      <c r="J44" s="230">
        <f>B44+C44+I44</f>
        <v>1750465861.1672344</v>
      </c>
      <c r="K44" s="233">
        <f>I44/(B44+C44+I44)</f>
        <v>1.7054836716625443E-2</v>
      </c>
      <c r="L44" s="200"/>
    </row>
    <row r="45" spans="1:21" s="201" customFormat="1" ht="11.25" x14ac:dyDescent="0.2">
      <c r="A45" s="236" t="s">
        <v>139</v>
      </c>
      <c r="B45" s="229">
        <v>103596479.89899999</v>
      </c>
      <c r="C45" s="230">
        <v>0</v>
      </c>
      <c r="D45" s="264">
        <v>12327.4375</v>
      </c>
      <c r="E45" s="230">
        <f>SUM(B45:C45)/8784</f>
        <v>11793.770480305098</v>
      </c>
      <c r="F45" s="265">
        <f>E45/D45</f>
        <v>0.95670900625576871</v>
      </c>
      <c r="G45" s="264">
        <f>E45/(1-$K$29)-E45</f>
        <v>453.43210223566166</v>
      </c>
      <c r="H45" s="230">
        <f>F45*G45*8760</f>
        <v>3800110.565184853</v>
      </c>
      <c r="I45" s="230">
        <f>H45</f>
        <v>3800110.565184853</v>
      </c>
      <c r="J45" s="230">
        <f>B45+C45+I45</f>
        <v>107396590.46418484</v>
      </c>
      <c r="K45" s="233">
        <f>I45/(B45+C45+I45)</f>
        <v>3.5383903239015149E-2</v>
      </c>
      <c r="L45" s="200"/>
    </row>
    <row r="46" spans="1:21" s="226" customFormat="1" ht="11.25" x14ac:dyDescent="0.2">
      <c r="A46" s="266" t="s">
        <v>132</v>
      </c>
      <c r="B46" s="267" t="s">
        <v>132</v>
      </c>
      <c r="C46" s="267" t="s">
        <v>132</v>
      </c>
      <c r="D46" s="267" t="s">
        <v>132</v>
      </c>
      <c r="E46" s="267" t="s">
        <v>132</v>
      </c>
      <c r="F46" s="267" t="s">
        <v>132</v>
      </c>
      <c r="G46" s="267" t="s">
        <v>132</v>
      </c>
      <c r="H46" s="267" t="s">
        <v>132</v>
      </c>
      <c r="I46" s="267" t="s">
        <v>133</v>
      </c>
      <c r="J46" s="267" t="s">
        <v>132</v>
      </c>
      <c r="K46" s="268" t="s">
        <v>132</v>
      </c>
      <c r="L46" s="223"/>
      <c r="Q46" s="201"/>
    </row>
    <row r="47" spans="1:21" s="201" customFormat="1" ht="11.25" x14ac:dyDescent="0.2">
      <c r="A47" s="246" t="s">
        <v>140</v>
      </c>
      <c r="B47" s="247">
        <f>SUM(B43:B45)</f>
        <v>2102073062.0639999</v>
      </c>
      <c r="C47" s="248">
        <v>0</v>
      </c>
      <c r="D47" s="247">
        <f>SUM(D43:D45)</f>
        <v>247874.96916666671</v>
      </c>
      <c r="E47" s="247">
        <f>SUM(E43:E45)</f>
        <v>239307.04258469946</v>
      </c>
      <c r="F47" s="249">
        <f>E47/D47</f>
        <v>0.96543448251038888</v>
      </c>
      <c r="G47" s="247">
        <f>SUM(G43:G45)</f>
        <v>4539.4396770674703</v>
      </c>
      <c r="H47" s="247">
        <f>SUM(H43:H45)</f>
        <v>38374506.741585873</v>
      </c>
      <c r="I47" s="247">
        <f>SUM(I43:I45)</f>
        <v>38374506.741585873</v>
      </c>
      <c r="J47" s="247">
        <f>SUM(J43:J45)</f>
        <v>2140447568.8055859</v>
      </c>
      <c r="K47" s="250">
        <f>I47/(B47+C47)</f>
        <v>1.8255553260316467E-2</v>
      </c>
      <c r="L47" s="200"/>
      <c r="N47" s="202"/>
      <c r="Q47" s="226"/>
    </row>
    <row r="48" spans="1:21" s="201" customFormat="1" ht="12" thickBot="1" x14ac:dyDescent="0.25">
      <c r="A48" s="251"/>
      <c r="B48" s="252"/>
      <c r="C48" s="252"/>
      <c r="D48" s="252"/>
      <c r="E48" s="252"/>
      <c r="F48" s="252"/>
      <c r="G48" s="252"/>
      <c r="H48" s="253"/>
      <c r="I48" s="252"/>
      <c r="J48" s="252"/>
      <c r="K48" s="254"/>
      <c r="L48" s="200"/>
      <c r="N48" s="202"/>
    </row>
    <row r="49" spans="1:17" s="201" customFormat="1" ht="11.25" x14ac:dyDescent="0.2">
      <c r="A49" s="207"/>
      <c r="B49" s="207"/>
      <c r="C49" s="207"/>
      <c r="D49" s="207"/>
      <c r="E49" s="207"/>
      <c r="F49" s="207"/>
      <c r="G49" s="207"/>
      <c r="H49" s="245"/>
      <c r="I49" s="207"/>
      <c r="J49" s="207"/>
      <c r="K49" s="207"/>
      <c r="L49" s="200"/>
      <c r="N49" s="202"/>
    </row>
    <row r="50" spans="1:17" s="201" customFormat="1" x14ac:dyDescent="0.2">
      <c r="A50" s="269" t="s">
        <v>141</v>
      </c>
      <c r="B50" s="207"/>
      <c r="C50" s="207"/>
      <c r="D50" s="207"/>
      <c r="E50" s="207"/>
      <c r="F50" s="207"/>
      <c r="G50" s="207"/>
      <c r="H50" s="245"/>
      <c r="I50" s="207"/>
      <c r="J50" s="207"/>
      <c r="K50" s="207"/>
      <c r="L50" s="200"/>
      <c r="N50" s="202"/>
    </row>
    <row r="51" spans="1:17" x14ac:dyDescent="0.2">
      <c r="A51" s="166" t="s">
        <v>142</v>
      </c>
      <c r="Q51" s="201"/>
    </row>
    <row r="52" spans="1:17" x14ac:dyDescent="0.2">
      <c r="A52" s="166" t="s">
        <v>143</v>
      </c>
    </row>
    <row r="55" spans="1:17" x14ac:dyDescent="0.2">
      <c r="A55" s="270" t="s">
        <v>144</v>
      </c>
      <c r="B55" s="271">
        <f>SUM(B24:B28)+B36</f>
        <v>17695948932.292393</v>
      </c>
      <c r="C55" s="271">
        <f>SUM(C24:C28)+C36</f>
        <v>16391930.54047838</v>
      </c>
      <c r="D55" s="271">
        <f>SUM(D24:D28)+D36</f>
        <v>2615386.166666667</v>
      </c>
      <c r="E55" s="272">
        <f>SUM(B55:C55)/8784</f>
        <v>2016432.2475902631</v>
      </c>
      <c r="F55" s="273">
        <f>E55/D55</f>
        <v>0.77098834324730869</v>
      </c>
      <c r="G55" s="271">
        <f>SUM(G24:G28)+G36</f>
        <v>392668.91666666669</v>
      </c>
      <c r="H55" s="271">
        <f>SUM(H24:H28)+H36</f>
        <v>2650248542.4442325</v>
      </c>
      <c r="I55" s="271">
        <f>SUM(I24:I28)+I36</f>
        <v>1515888342.1032734</v>
      </c>
      <c r="J55" s="272">
        <f>B55+C55+I55</f>
        <v>19228229204.936142</v>
      </c>
      <c r="K55" s="274">
        <f>I55/(B55+C55+I55)</f>
        <v>7.8836606634277315E-2</v>
      </c>
    </row>
    <row r="56" spans="1:17" x14ac:dyDescent="0.2">
      <c r="A56" s="270" t="s">
        <v>145</v>
      </c>
      <c r="B56" s="271">
        <f>SUM(B29:B32)+B35</f>
        <v>2065325911.6949999</v>
      </c>
      <c r="C56" s="271">
        <f>SUM(C29:C32)+C35</f>
        <v>1913131.5883363015</v>
      </c>
      <c r="D56" s="271">
        <f>SUM(D29:D32)+D35</f>
        <v>275865.58333333331</v>
      </c>
      <c r="E56" s="272">
        <f>SUM(B56:C56)/8784</f>
        <v>235341.42113881331</v>
      </c>
      <c r="F56" s="273">
        <f>E56/D56</f>
        <v>0.85310178346693599</v>
      </c>
      <c r="G56" s="271">
        <f>SUM(G29:G32)+G35</f>
        <v>18635.166666666664</v>
      </c>
      <c r="H56" s="271">
        <f>SUM(H29:H32)+H35</f>
        <v>139134445.37489426</v>
      </c>
      <c r="I56" s="271">
        <f>SUM(I29:I32)+I35</f>
        <v>79582077.058436871</v>
      </c>
      <c r="J56" s="272">
        <f>B56+C56+I56</f>
        <v>2146821120.341773</v>
      </c>
      <c r="K56" s="274">
        <f>I56/(B56+C56+I56)</f>
        <v>3.7069728960821585E-2</v>
      </c>
    </row>
    <row r="57" spans="1:17" x14ac:dyDescent="0.2">
      <c r="A57" s="275" t="s">
        <v>146</v>
      </c>
      <c r="B57" s="276">
        <f>SUM(B33:B34)</f>
        <v>621203322.02499986</v>
      </c>
      <c r="C57" s="276">
        <f>SUM(C33:C34)</f>
        <v>575426.71179200325</v>
      </c>
      <c r="D57" s="276">
        <f>SUM(D33:D34)</f>
        <v>75415.416666666672</v>
      </c>
      <c r="E57" s="277">
        <f>SUM(B57:C57)/8784</f>
        <v>70785.376677685781</v>
      </c>
      <c r="F57" s="278">
        <f>E57/D57</f>
        <v>0.93860618698898801</v>
      </c>
      <c r="G57" s="276">
        <f>SUM(G33:G34)</f>
        <v>2362.0833333333335</v>
      </c>
      <c r="H57" s="276">
        <f>SUM(H33:H34)</f>
        <v>19422131.873071939</v>
      </c>
      <c r="I57" s="276">
        <f>SUM(I33:I34)</f>
        <v>11109064.985289652</v>
      </c>
      <c r="J57" s="277">
        <f>B57+C57+I57</f>
        <v>632887813.72208154</v>
      </c>
      <c r="K57" s="279">
        <f>I57/(B57+C57+I57)</f>
        <v>1.7552976600949292E-2</v>
      </c>
    </row>
    <row r="58" spans="1:17" x14ac:dyDescent="0.2">
      <c r="A58" s="270" t="s">
        <v>25</v>
      </c>
      <c r="B58" s="271">
        <f>SUM(B55:B57)</f>
        <v>20382478166.012394</v>
      </c>
      <c r="C58" s="271">
        <f>SUM(C55:C57)</f>
        <v>18880488.840606686</v>
      </c>
      <c r="D58" s="271">
        <f>SUM(D55:D57)</f>
        <v>2966667.166666667</v>
      </c>
      <c r="E58" s="271">
        <f>SUM(E55:E57)</f>
        <v>2322559.0454067625</v>
      </c>
      <c r="F58" s="271"/>
      <c r="G58" s="271">
        <f>SUM(G55:G57)</f>
        <v>413666.16666666669</v>
      </c>
      <c r="H58" s="271">
        <f>SUM(H55:H57)</f>
        <v>2808805119.6921988</v>
      </c>
      <c r="I58" s="271">
        <f>SUM(I55:I57)</f>
        <v>1606579484.1469998</v>
      </c>
      <c r="J58" s="271">
        <f>SUM(J55:J57)</f>
        <v>22007938138.999996</v>
      </c>
      <c r="K58" s="270"/>
    </row>
  </sheetData>
  <mergeCells count="2">
    <mergeCell ref="H13:I13"/>
    <mergeCell ref="M22:O22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F23"/>
  <sheetViews>
    <sheetView workbookViewId="0">
      <selection activeCell="F20" sqref="F20"/>
    </sheetView>
  </sheetViews>
  <sheetFormatPr defaultRowHeight="15" x14ac:dyDescent="0.25"/>
  <cols>
    <col min="1" max="1" width="2.7109375" customWidth="1"/>
    <col min="2" max="2" width="5.42578125" bestFit="1" customWidth="1"/>
    <col min="3" max="3" width="34.7109375" bestFit="1" customWidth="1"/>
    <col min="4" max="4" width="37.7109375" customWidth="1"/>
    <col min="5" max="5" width="6" bestFit="1" customWidth="1"/>
    <col min="6" max="6" width="23.28515625" customWidth="1"/>
  </cols>
  <sheetData>
    <row r="1" spans="2:6" thickBot="1" x14ac:dyDescent="0.35"/>
    <row r="2" spans="2:6" ht="14.45" x14ac:dyDescent="0.3">
      <c r="B2" s="89"/>
      <c r="C2" s="90"/>
      <c r="D2" s="90"/>
      <c r="E2" s="90"/>
      <c r="F2" s="91" t="s">
        <v>56</v>
      </c>
    </row>
    <row r="3" spans="2:6" ht="14.45" x14ac:dyDescent="0.3">
      <c r="B3" s="92"/>
      <c r="C3" s="93"/>
      <c r="D3" s="93"/>
      <c r="E3" s="93"/>
      <c r="F3" s="94"/>
    </row>
    <row r="4" spans="2:6" ht="14.45" x14ac:dyDescent="0.3">
      <c r="B4" s="95"/>
      <c r="C4" s="93"/>
      <c r="D4" s="93"/>
      <c r="E4" s="93"/>
      <c r="F4" s="94" t="s">
        <v>57</v>
      </c>
    </row>
    <row r="5" spans="2:6" ht="14.45" x14ac:dyDescent="0.3">
      <c r="B5" s="92"/>
      <c r="C5" s="347" t="s">
        <v>58</v>
      </c>
      <c r="D5" s="347"/>
      <c r="E5" s="347"/>
      <c r="F5" s="342"/>
    </row>
    <row r="6" spans="2:6" ht="14.45" x14ac:dyDescent="0.3">
      <c r="B6" s="96"/>
      <c r="C6" s="347" t="s">
        <v>59</v>
      </c>
      <c r="D6" s="347"/>
      <c r="E6" s="347"/>
      <c r="F6" s="342"/>
    </row>
    <row r="7" spans="2:6" ht="14.45" x14ac:dyDescent="0.3">
      <c r="B7" s="96"/>
      <c r="C7" s="347" t="s">
        <v>60</v>
      </c>
      <c r="D7" s="347"/>
      <c r="E7" s="347"/>
      <c r="F7" s="342"/>
    </row>
    <row r="8" spans="2:6" ht="14.45" x14ac:dyDescent="0.3">
      <c r="B8" s="96"/>
      <c r="C8" s="347" t="s">
        <v>61</v>
      </c>
      <c r="D8" s="347"/>
      <c r="E8" s="347"/>
      <c r="F8" s="342"/>
    </row>
    <row r="9" spans="2:6" ht="14.45" x14ac:dyDescent="0.3">
      <c r="B9" s="96"/>
      <c r="C9" s="347" t="s">
        <v>62</v>
      </c>
      <c r="D9" s="347"/>
      <c r="E9" s="347"/>
      <c r="F9" s="342"/>
    </row>
    <row r="10" spans="2:6" ht="14.45" x14ac:dyDescent="0.3">
      <c r="B10" s="95"/>
      <c r="C10" s="93"/>
      <c r="D10" s="93"/>
      <c r="E10" s="93"/>
      <c r="F10" s="97"/>
    </row>
    <row r="11" spans="2:6" ht="14.45" x14ac:dyDescent="0.3">
      <c r="B11" s="96" t="s">
        <v>63</v>
      </c>
      <c r="C11" s="93"/>
      <c r="D11" s="93"/>
      <c r="E11" s="93"/>
      <c r="F11" s="97"/>
    </row>
    <row r="12" spans="2:6" thickBot="1" x14ac:dyDescent="0.35">
      <c r="B12" s="98" t="s">
        <v>64</v>
      </c>
      <c r="C12" s="99" t="s">
        <v>65</v>
      </c>
      <c r="D12" s="99"/>
      <c r="E12" s="99"/>
      <c r="F12" s="100" t="s">
        <v>66</v>
      </c>
    </row>
    <row r="13" spans="2:6" ht="14.45" x14ac:dyDescent="0.3">
      <c r="B13" s="101"/>
      <c r="C13" s="93"/>
      <c r="D13" s="93"/>
      <c r="E13" s="93"/>
      <c r="F13" s="102"/>
    </row>
    <row r="14" spans="2:6" ht="14.45" x14ac:dyDescent="0.3">
      <c r="B14" s="103">
        <v>1</v>
      </c>
      <c r="C14" s="104" t="s">
        <v>67</v>
      </c>
      <c r="D14" s="93"/>
      <c r="E14" s="93"/>
      <c r="F14" s="105">
        <v>7.1570000000000002E-3</v>
      </c>
    </row>
    <row r="15" spans="2:6" x14ac:dyDescent="0.25">
      <c r="B15" s="103">
        <v>2</v>
      </c>
      <c r="C15" s="104" t="s">
        <v>68</v>
      </c>
      <c r="D15" s="93"/>
      <c r="E15" s="93"/>
      <c r="F15" s="105">
        <v>2E-3</v>
      </c>
    </row>
    <row r="16" spans="2:6" ht="15.75" thickBot="1" x14ac:dyDescent="0.3">
      <c r="B16" s="103">
        <v>3</v>
      </c>
      <c r="C16" s="345" t="s">
        <v>69</v>
      </c>
      <c r="D16" s="345"/>
      <c r="E16" s="106">
        <v>3.8733999999999998E-2</v>
      </c>
      <c r="F16" s="107">
        <v>3.8456999999999998E-2</v>
      </c>
    </row>
    <row r="17" spans="2:6" x14ac:dyDescent="0.25">
      <c r="B17" s="103">
        <v>4</v>
      </c>
      <c r="C17" s="93"/>
      <c r="D17" s="93"/>
      <c r="E17" s="93"/>
      <c r="F17" s="108"/>
    </row>
    <row r="18" spans="2:6" x14ac:dyDescent="0.25">
      <c r="B18" s="103">
        <v>5</v>
      </c>
      <c r="C18" s="104" t="s">
        <v>70</v>
      </c>
      <c r="D18" s="93"/>
      <c r="E18" s="93"/>
      <c r="F18" s="105">
        <v>4.7613999999999997E-2</v>
      </c>
    </row>
    <row r="19" spans="2:6" x14ac:dyDescent="0.25">
      <c r="B19" s="103">
        <v>6</v>
      </c>
      <c r="C19" s="93"/>
      <c r="D19" s="93"/>
      <c r="E19" s="93"/>
      <c r="F19" s="108"/>
    </row>
    <row r="20" spans="2:6" x14ac:dyDescent="0.25">
      <c r="B20" s="103">
        <v>7</v>
      </c>
      <c r="C20" s="345" t="s">
        <v>71</v>
      </c>
      <c r="D20" s="345"/>
      <c r="E20" s="345"/>
      <c r="F20" s="105">
        <v>0.95238599999999995</v>
      </c>
    </row>
    <row r="21" spans="2:6" ht="15.75" thickBot="1" x14ac:dyDescent="0.3">
      <c r="B21" s="103">
        <v>8</v>
      </c>
      <c r="C21" s="104" t="s">
        <v>72</v>
      </c>
      <c r="D21" s="93"/>
      <c r="E21" s="109">
        <v>0.21</v>
      </c>
      <c r="F21" s="105">
        <v>0.20000100000000001</v>
      </c>
    </row>
    <row r="22" spans="2:6" ht="15.75" thickBot="1" x14ac:dyDescent="0.3">
      <c r="B22" s="103">
        <v>9</v>
      </c>
      <c r="C22" s="345" t="s">
        <v>73</v>
      </c>
      <c r="D22" s="345"/>
      <c r="E22" s="346"/>
      <c r="F22" s="110">
        <v>0.75238499999999997</v>
      </c>
    </row>
    <row r="23" spans="2:6" ht="15.75" thickBot="1" x14ac:dyDescent="0.3">
      <c r="B23" s="111"/>
      <c r="C23" s="112"/>
      <c r="D23" s="112"/>
      <c r="E23" s="112"/>
      <c r="F23" s="113"/>
    </row>
  </sheetData>
  <mergeCells count="8">
    <mergeCell ref="C20:E20"/>
    <mergeCell ref="C22:E22"/>
    <mergeCell ref="C5:F5"/>
    <mergeCell ref="C6:F6"/>
    <mergeCell ref="C7:F7"/>
    <mergeCell ref="C8:F8"/>
    <mergeCell ref="C9:F9"/>
    <mergeCell ref="C16:D1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3"/>
  <sheetViews>
    <sheetView zoomScaleNormal="100" workbookViewId="0">
      <selection activeCell="H33" sqref="H33"/>
    </sheetView>
  </sheetViews>
  <sheetFormatPr defaultRowHeight="15" x14ac:dyDescent="0.25"/>
  <cols>
    <col min="1" max="2" width="2.7109375" customWidth="1"/>
    <col min="3" max="3" width="26.28515625" customWidth="1"/>
    <col min="4" max="4" width="12.140625" bestFit="1" customWidth="1"/>
    <col min="5" max="5" width="10.28515625" bestFit="1" customWidth="1"/>
    <col min="7" max="7" width="9.7109375" bestFit="1" customWidth="1"/>
    <col min="8" max="8" width="14.7109375" bestFit="1" customWidth="1"/>
  </cols>
  <sheetData>
    <row r="1" spans="2:8" x14ac:dyDescent="0.25">
      <c r="H1" s="339" t="s">
        <v>184</v>
      </c>
    </row>
    <row r="2" spans="2:8" ht="14.45" x14ac:dyDescent="0.3">
      <c r="B2" s="36" t="s">
        <v>162</v>
      </c>
    </row>
    <row r="3" spans="2:8" ht="14.45" x14ac:dyDescent="0.3">
      <c r="C3" s="46"/>
      <c r="D3" s="49"/>
      <c r="E3" s="46"/>
    </row>
    <row r="4" spans="2:8" ht="14.45" x14ac:dyDescent="0.3">
      <c r="F4" s="156" t="s">
        <v>34</v>
      </c>
      <c r="G4" s="156"/>
    </row>
    <row r="5" spans="2:8" ht="14.45" x14ac:dyDescent="0.3">
      <c r="C5" t="s">
        <v>163</v>
      </c>
      <c r="D5" s="334"/>
      <c r="F5" s="153">
        <v>136.80000000000001</v>
      </c>
      <c r="G5" s="51" t="s">
        <v>74</v>
      </c>
    </row>
    <row r="6" spans="2:8" ht="14.45" x14ac:dyDescent="0.3">
      <c r="C6" t="s">
        <v>17</v>
      </c>
      <c r="D6">
        <v>10</v>
      </c>
      <c r="E6" t="s">
        <v>18</v>
      </c>
      <c r="F6" s="152">
        <v>0.31321438823466574</v>
      </c>
      <c r="G6" s="51" t="s">
        <v>19</v>
      </c>
    </row>
    <row r="7" spans="2:8" ht="14.45" x14ac:dyDescent="0.3">
      <c r="C7" t="s">
        <v>20</v>
      </c>
      <c r="D7" s="334"/>
      <c r="F7" s="152">
        <v>1</v>
      </c>
      <c r="G7" s="51" t="s">
        <v>21</v>
      </c>
    </row>
    <row r="8" spans="2:8" ht="14.45" x14ac:dyDescent="0.3">
      <c r="C8" s="55" t="s">
        <v>35</v>
      </c>
      <c r="D8" s="56">
        <v>375346.09999999992</v>
      </c>
      <c r="E8" s="57" t="s">
        <v>3</v>
      </c>
      <c r="F8" s="154">
        <v>42.847728310502276</v>
      </c>
      <c r="G8" s="54" t="s">
        <v>22</v>
      </c>
    </row>
    <row r="9" spans="2:8" ht="14.45" x14ac:dyDescent="0.3">
      <c r="C9" s="58" t="s">
        <v>36</v>
      </c>
      <c r="D9" s="59">
        <v>288531.53999999998</v>
      </c>
      <c r="E9" s="60" t="s">
        <v>3</v>
      </c>
      <c r="G9" s="45"/>
    </row>
    <row r="10" spans="2:8" ht="14.45" x14ac:dyDescent="0.3">
      <c r="C10" s="61" t="s">
        <v>37</v>
      </c>
      <c r="D10" s="62">
        <v>663877.6399999999</v>
      </c>
      <c r="E10" s="63" t="s">
        <v>38</v>
      </c>
      <c r="G10" s="45"/>
    </row>
    <row r="11" spans="2:8" ht="14.45" x14ac:dyDescent="0.3">
      <c r="C11" t="s">
        <v>76</v>
      </c>
      <c r="D11" s="335"/>
      <c r="F11" s="157" t="s">
        <v>39</v>
      </c>
      <c r="G11" s="157"/>
    </row>
    <row r="12" spans="2:8" ht="14.45" x14ac:dyDescent="0.3">
      <c r="C12" s="46" t="s">
        <v>23</v>
      </c>
      <c r="D12" s="336"/>
      <c r="E12" s="46" t="s">
        <v>24</v>
      </c>
      <c r="F12" s="153">
        <v>120</v>
      </c>
      <c r="G12" s="51" t="s">
        <v>74</v>
      </c>
    </row>
    <row r="13" spans="2:8" ht="14.45" x14ac:dyDescent="0.3">
      <c r="C13" s="46" t="s">
        <v>40</v>
      </c>
      <c r="D13" s="337"/>
      <c r="E13" s="46" t="s">
        <v>24</v>
      </c>
      <c r="F13" s="152">
        <v>0.27447825342465754</v>
      </c>
      <c r="G13" s="51" t="s">
        <v>19</v>
      </c>
    </row>
    <row r="14" spans="2:8" ht="14.45" x14ac:dyDescent="0.3">
      <c r="C14" t="s">
        <v>41</v>
      </c>
      <c r="D14" s="336"/>
      <c r="E14" s="46" t="s">
        <v>24</v>
      </c>
      <c r="F14" s="152">
        <v>1</v>
      </c>
      <c r="G14" s="51" t="s">
        <v>21</v>
      </c>
    </row>
    <row r="15" spans="2:8" x14ac:dyDescent="0.25">
      <c r="C15" s="47" t="s">
        <v>164</v>
      </c>
      <c r="D15" s="47">
        <v>0.03</v>
      </c>
      <c r="E15" s="47" t="s">
        <v>24</v>
      </c>
      <c r="F15" s="154">
        <v>32.937390410958905</v>
      </c>
      <c r="G15" s="51" t="s">
        <v>22</v>
      </c>
    </row>
    <row r="16" spans="2:8" x14ac:dyDescent="0.25">
      <c r="C16" s="47" t="s">
        <v>165</v>
      </c>
      <c r="D16" s="47">
        <v>0.01</v>
      </c>
      <c r="E16" s="47" t="s">
        <v>24</v>
      </c>
    </row>
    <row r="17" spans="3:7" x14ac:dyDescent="0.25">
      <c r="C17" s="64" t="s">
        <v>25</v>
      </c>
      <c r="D17" s="64">
        <v>0.14092221211125594</v>
      </c>
      <c r="E17" s="64" t="s">
        <v>24</v>
      </c>
    </row>
    <row r="18" spans="3:7" x14ac:dyDescent="0.25">
      <c r="D18" s="48"/>
    </row>
    <row r="19" spans="3:7" x14ac:dyDescent="0.25">
      <c r="C19" s="47" t="s">
        <v>26</v>
      </c>
      <c r="D19" s="44">
        <v>15013.843999999997</v>
      </c>
    </row>
    <row r="21" spans="3:7" ht="14.45" customHeight="1" x14ac:dyDescent="0.25">
      <c r="C21" s="296" t="s">
        <v>159</v>
      </c>
      <c r="D21" s="296"/>
      <c r="E21" s="296"/>
      <c r="F21" s="296"/>
      <c r="G21" s="296"/>
    </row>
    <row r="22" spans="3:7" ht="31.15" customHeight="1" x14ac:dyDescent="0.25">
      <c r="C22" s="297" t="s">
        <v>160</v>
      </c>
      <c r="D22" s="297"/>
      <c r="E22" s="297"/>
      <c r="F22" s="297"/>
      <c r="G22" s="297"/>
    </row>
    <row r="23" spans="3:7" ht="14.45" customHeight="1" x14ac:dyDescent="0.25">
      <c r="C23" s="297" t="s">
        <v>161</v>
      </c>
      <c r="D23" s="297"/>
      <c r="E23" s="297"/>
      <c r="F23" s="297"/>
      <c r="G23" s="297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E51832922B4B34995585DBD653E168A" ma:contentTypeVersion="76" ma:contentTypeDescription="" ma:contentTypeScope="" ma:versionID="fdd12ce3eeaba0879f8c662c7dd00f6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2018-06-19T07:00:00+00:00</OpenedDate>
    <SignificantOrder xmlns="dc463f71-b30c-4ab2-9473-d307f9d35888">false</SignificantOrder>
    <Date1 xmlns="dc463f71-b30c-4ab2-9473-d307f9d35888">2018-06-19T07:00:00+00:00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180544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B1AA434F-8DB6-4316-8F75-E57534E599F6}"/>
</file>

<file path=customXml/itemProps2.xml><?xml version="1.0" encoding="utf-8"?>
<ds:datastoreItem xmlns:ds="http://schemas.openxmlformats.org/officeDocument/2006/customXml" ds:itemID="{11BCADC4-D84E-403A-843F-467C4EAF836D}"/>
</file>

<file path=customXml/itemProps3.xml><?xml version="1.0" encoding="utf-8"?>
<ds:datastoreItem xmlns:ds="http://schemas.openxmlformats.org/officeDocument/2006/customXml" ds:itemID="{891343D8-457B-4DDB-9594-1CE463D4BCC5}"/>
</file>

<file path=customXml/itemProps4.xml><?xml version="1.0" encoding="utf-8"?>
<ds:datastoreItem xmlns:ds="http://schemas.openxmlformats.org/officeDocument/2006/customXml" ds:itemID="{0CA06046-A11E-4FB8-8300-B7DF9259D0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Tariff Sheets</vt:lpstr>
      <vt:lpstr>Blended Summary</vt:lpstr>
      <vt:lpstr>Blended Calculation (R)</vt:lpstr>
      <vt:lpstr>Inputs-----&gt;</vt:lpstr>
      <vt:lpstr>Cost of Capital</vt:lpstr>
      <vt:lpstr>Losses</vt:lpstr>
      <vt:lpstr>RevTax</vt:lpstr>
      <vt:lpstr>Admin. Costs (R)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Sherlock</dc:creator>
  <cp:lastModifiedBy>Lori Traore</cp:lastModifiedBy>
  <dcterms:created xsi:type="dcterms:W3CDTF">2018-05-14T23:07:18Z</dcterms:created>
  <dcterms:modified xsi:type="dcterms:W3CDTF">2018-06-19T22:08:47Z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0x0101006E56B4D1795A2E4DB2F0B01679ED314A00EE51832922B4B34995585DBD653E168A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