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8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omments2.xml" ContentType="application/vnd.openxmlformats-officedocument.spreadsheetml.comments+xml"/>
  <Override PartName="/xl/externalLinks/externalLink1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350" windowHeight="7485" tabRatio="888" activeTab="3"/>
  </bookViews>
  <sheets>
    <sheet name="Revenue Summary" sheetId="15" r:id="rId1"/>
    <sheet name="Spokane Reg - Price out" sheetId="48" r:id="rId2"/>
    <sheet name="Whitman Reg - Price Out" sheetId="49" r:id="rId3"/>
    <sheet name="Army Non-Reg - Price Out" sheetId="3" r:id="rId4"/>
    <sheet name="Harrington Non-Reg - Price Out" sheetId="8" r:id="rId5"/>
    <sheet name="Latah Co Non-Reg - Price Out" sheetId="9" r:id="rId6"/>
    <sheet name="Rockford Non-Reg - Price Out" sheetId="10" r:id="rId7"/>
    <sheet name="Spangle Non-Reg - Price Out" sheetId="11" r:id="rId8"/>
    <sheet name="Starbuck Non-Reg - Price Out" sheetId="13" r:id="rId9"/>
    <sheet name="Tekoa Non-Reg - Price Out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CYA1">[1]Hidden!$N$11</definedName>
    <definedName name="_____________CYA10">[1]Hidden!$E$11</definedName>
    <definedName name="_____________CYA11">[1]Hidden!$P$11</definedName>
    <definedName name="_____________CYA2">[1]Hidden!$M$11</definedName>
    <definedName name="_____________CYA3">[1]Hidden!$L$11</definedName>
    <definedName name="_____________CYA4">[1]Hidden!$K$11</definedName>
    <definedName name="_____________CYA5">[1]Hidden!$J$11</definedName>
    <definedName name="_____________CYA6">[1]Hidden!$I$11</definedName>
    <definedName name="_____________CYA7">[1]Hidden!$H$11</definedName>
    <definedName name="_____________CYA8">[1]Hidden!$G$11</definedName>
    <definedName name="_____________CYA9">[1]Hidden!$F$11</definedName>
    <definedName name="_____________LYA12">[1]Hidden!$O$11</definedName>
    <definedName name="____________CYA1">[1]Hidden!$N$11</definedName>
    <definedName name="____________CYA10">[1]Hidden!$E$11</definedName>
    <definedName name="____________CYA11">[1]Hidden!$P$11</definedName>
    <definedName name="____________CYA2">[1]Hidden!$M$11</definedName>
    <definedName name="____________CYA3">[1]Hidden!$L$11</definedName>
    <definedName name="____________CYA4">[1]Hidden!$K$11</definedName>
    <definedName name="____________CYA5">[1]Hidden!$J$11</definedName>
    <definedName name="____________CYA6">[1]Hidden!$I$11</definedName>
    <definedName name="____________CYA7">[1]Hidden!$H$11</definedName>
    <definedName name="____________CYA8">[1]Hidden!$G$11</definedName>
    <definedName name="____________CYA9">[1]Hidden!$F$11</definedName>
    <definedName name="____________LYA12">[1]Hidden!$O$11</definedName>
    <definedName name="___________CYA1">[1]Hidden!$N$11</definedName>
    <definedName name="___________CYA10">[1]Hidden!$E$11</definedName>
    <definedName name="___________CYA11">[1]Hidden!$P$11</definedName>
    <definedName name="___________CYA2">[1]Hidden!$M$11</definedName>
    <definedName name="___________CYA3">[1]Hidden!$L$11</definedName>
    <definedName name="___________CYA4">[1]Hidden!$K$11</definedName>
    <definedName name="___________CYA5">[1]Hidden!$J$11</definedName>
    <definedName name="___________CYA6">[1]Hidden!$I$11</definedName>
    <definedName name="___________CYA7">[1]Hidden!$H$11</definedName>
    <definedName name="___________CYA8">[1]Hidden!$G$11</definedName>
    <definedName name="___________CYA9">[1]Hidden!$F$11</definedName>
    <definedName name="___________LYA12">[1]Hidden!$O$11</definedName>
    <definedName name="__________CYA1">[1]Hidden!$N$11</definedName>
    <definedName name="__________CYA10">[1]Hidden!$E$11</definedName>
    <definedName name="__________CYA11">[1]Hidden!$P$11</definedName>
    <definedName name="__________CYA2">[1]Hidden!$M$11</definedName>
    <definedName name="__________CYA3">[1]Hidden!$L$11</definedName>
    <definedName name="__________CYA4">[1]Hidden!$K$11</definedName>
    <definedName name="__________CYA5">[1]Hidden!$J$11</definedName>
    <definedName name="__________CYA6">[1]Hidden!$I$11</definedName>
    <definedName name="__________CYA7">[1]Hidden!$H$11</definedName>
    <definedName name="__________CYA8">[1]Hidden!$G$11</definedName>
    <definedName name="__________CYA9">[1]Hidden!$F$11</definedName>
    <definedName name="__________LYA12">[1]Hidden!$O$11</definedName>
    <definedName name="_________CYA1">[1]Hidden!$N$11</definedName>
    <definedName name="_________CYA10">[1]Hidden!$E$11</definedName>
    <definedName name="_________CYA11">[1]Hidden!$P$11</definedName>
    <definedName name="_________CYA2">[1]Hidden!$M$11</definedName>
    <definedName name="_________CYA3">[1]Hidden!$L$11</definedName>
    <definedName name="_________CYA4">[1]Hidden!$K$11</definedName>
    <definedName name="_________CYA5">[1]Hidden!$J$11</definedName>
    <definedName name="_________CYA6">[1]Hidden!$I$11</definedName>
    <definedName name="_________CYA7">[1]Hidden!$H$11</definedName>
    <definedName name="_________CYA8">[1]Hidden!$G$11</definedName>
    <definedName name="_________CYA9">[1]Hidden!$F$11</definedName>
    <definedName name="_________LYA12">[1]Hidden!$O$11</definedName>
    <definedName name="________CYA1">[1]Hidden!$N$11</definedName>
    <definedName name="________CYA10">[1]Hidden!$E$11</definedName>
    <definedName name="________CYA11">[1]Hidden!$P$11</definedName>
    <definedName name="________CYA2">[1]Hidden!$M$11</definedName>
    <definedName name="________CYA3">[1]Hidden!$L$11</definedName>
    <definedName name="________CYA4">[1]Hidden!$K$11</definedName>
    <definedName name="________CYA5">[1]Hidden!$J$11</definedName>
    <definedName name="________CYA6">[1]Hidden!$I$11</definedName>
    <definedName name="________CYA7">[1]Hidden!$H$11</definedName>
    <definedName name="________CYA8">[1]Hidden!$G$11</definedName>
    <definedName name="________CYA9">[1]Hidden!$F$11</definedName>
    <definedName name="________LYA12">[1]Hidden!$O$11</definedName>
    <definedName name="_______CYA1">[1]Hidden!$N$11</definedName>
    <definedName name="_______CYA10">[1]Hidden!$E$11</definedName>
    <definedName name="_______CYA11">[1]Hidden!$P$11</definedName>
    <definedName name="_______CYA2">[1]Hidden!$M$11</definedName>
    <definedName name="_______CYA3">[1]Hidden!$L$11</definedName>
    <definedName name="_______CYA4">[1]Hidden!$K$11</definedName>
    <definedName name="_______CYA5">[1]Hidden!$J$11</definedName>
    <definedName name="_______CYA6">[1]Hidden!$I$11</definedName>
    <definedName name="_______CYA7">[1]Hidden!$H$11</definedName>
    <definedName name="_______CYA8">[1]Hidden!$G$11</definedName>
    <definedName name="_______CYA9">[1]Hidden!$F$11</definedName>
    <definedName name="_______LYA12">[1]Hidden!$O$11</definedName>
    <definedName name="______CYA1">[1]Hidden!$N$11</definedName>
    <definedName name="______CYA10">[1]Hidden!$E$11</definedName>
    <definedName name="______CYA11">[1]Hidden!$P$11</definedName>
    <definedName name="______CYA2">[1]Hidden!$M$11</definedName>
    <definedName name="______CYA3">[1]Hidden!$L$11</definedName>
    <definedName name="______CYA4">[1]Hidden!$K$11</definedName>
    <definedName name="______CYA5">[1]Hidden!$J$11</definedName>
    <definedName name="______CYA6">[1]Hidden!$I$11</definedName>
    <definedName name="______CYA7">[1]Hidden!$H$11</definedName>
    <definedName name="______CYA8">[1]Hidden!$G$11</definedName>
    <definedName name="______CYA9">[1]Hidden!$F$11</definedName>
    <definedName name="______LYA12">[1]Hidden!$O$11</definedName>
    <definedName name="_____CYA1">[1]Hidden!$N$11</definedName>
    <definedName name="_____CYA10">[1]Hidden!$E$11</definedName>
    <definedName name="_____CYA11">[1]Hidden!$P$11</definedName>
    <definedName name="_____CYA2">[1]Hidden!$M$11</definedName>
    <definedName name="_____CYA3">[1]Hidden!$L$11</definedName>
    <definedName name="_____CYA4">[1]Hidden!$K$11</definedName>
    <definedName name="_____CYA5">[1]Hidden!$J$11</definedName>
    <definedName name="_____CYA6">[1]Hidden!$I$11</definedName>
    <definedName name="_____CYA7">[1]Hidden!$H$11</definedName>
    <definedName name="_____CYA8">[1]Hidden!$G$11</definedName>
    <definedName name="_____CYA9">[1]Hidden!$F$11</definedName>
    <definedName name="_____LYA12">[1]Hidden!$O$11</definedName>
    <definedName name="____CYA1">[1]Hidden!$N$11</definedName>
    <definedName name="____CYA10">[1]Hidden!$E$11</definedName>
    <definedName name="____CYA11">[1]Hidden!$P$11</definedName>
    <definedName name="____CYA2">[1]Hidden!$M$11</definedName>
    <definedName name="____CYA3">[1]Hidden!$L$11</definedName>
    <definedName name="____CYA4">[1]Hidden!$K$11</definedName>
    <definedName name="____CYA5">[1]Hidden!$J$11</definedName>
    <definedName name="____CYA6">[1]Hidden!$I$11</definedName>
    <definedName name="____CYA7">[1]Hidden!$H$11</definedName>
    <definedName name="____CYA8">[1]Hidden!$G$11</definedName>
    <definedName name="____CYA9">[1]Hidden!$F$11</definedName>
    <definedName name="____LYA12">[1]Hidden!$O$11</definedName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123Graph_g" hidden="1">'[2]#REF'!$F$9:$F$83</definedName>
    <definedName name="_132" hidden="1">[3]XXXXXX!$B$10:$B$10</definedName>
    <definedName name="_132Graph_h" hidden="1">#REF!</definedName>
    <definedName name="_ACT1" localSheetId="3">[4]Hidden!#REF!</definedName>
    <definedName name="_ACT1" localSheetId="4">[4]Hidden!#REF!</definedName>
    <definedName name="_ACT1" localSheetId="5">[4]Hidden!#REF!</definedName>
    <definedName name="_ACT1" localSheetId="0">[4]Hidden!#REF!</definedName>
    <definedName name="_ACT1" localSheetId="6">[4]Hidden!#REF!</definedName>
    <definedName name="_ACT1" localSheetId="7">[4]Hidden!#REF!</definedName>
    <definedName name="_ACT1" localSheetId="8">[4]Hidden!#REF!</definedName>
    <definedName name="_ACT1" localSheetId="9">[4]Hidden!#REF!</definedName>
    <definedName name="_ACT1" localSheetId="2">[4]Hidden!#REF!</definedName>
    <definedName name="_ACT1">[4]Hidden!#REF!</definedName>
    <definedName name="_ACT2" localSheetId="3">[4]Hidden!#REF!</definedName>
    <definedName name="_ACT2" localSheetId="4">[4]Hidden!#REF!</definedName>
    <definedName name="_ACT2" localSheetId="5">[4]Hidden!#REF!</definedName>
    <definedName name="_ACT2" localSheetId="0">[4]Hidden!#REF!</definedName>
    <definedName name="_ACT2" localSheetId="6">[4]Hidden!#REF!</definedName>
    <definedName name="_ACT2" localSheetId="7">[4]Hidden!#REF!</definedName>
    <definedName name="_ACT2" localSheetId="8">[4]Hidden!#REF!</definedName>
    <definedName name="_ACT2" localSheetId="9">[4]Hidden!#REF!</definedName>
    <definedName name="_ACT2" localSheetId="2">[4]Hidden!#REF!</definedName>
    <definedName name="_ACT2">[4]Hidden!#REF!</definedName>
    <definedName name="_ACT3" localSheetId="3">[4]Hidden!#REF!</definedName>
    <definedName name="_ACT3" localSheetId="4">[4]Hidden!#REF!</definedName>
    <definedName name="_ACT3" localSheetId="5">[4]Hidden!#REF!</definedName>
    <definedName name="_ACT3" localSheetId="0">[4]Hidden!#REF!</definedName>
    <definedName name="_ACT3" localSheetId="6">[4]Hidden!#REF!</definedName>
    <definedName name="_ACT3" localSheetId="7">[4]Hidden!#REF!</definedName>
    <definedName name="_ACT3" localSheetId="8">[4]Hidden!#REF!</definedName>
    <definedName name="_ACT3" localSheetId="9">[4]Hidden!#REF!</definedName>
    <definedName name="_ACT3" localSheetId="2">[4]Hidden!#REF!</definedName>
    <definedName name="_ACT3">[4]Hidden!#REF!</definedName>
    <definedName name="_COS1">#REF!</definedName>
    <definedName name="_COS2">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Fill" hidden="1">#REF!</definedName>
    <definedName name="_Key1" hidden="1">#REF!</definedName>
    <definedName name="_Key2" hidden="1">'[2]#REF'!$D$12</definedName>
    <definedName name="_key5" hidden="1">[3]XXXXXX!$H$10</definedName>
    <definedName name="_LYA12">[1]Hidden!$O$11</definedName>
    <definedName name="_max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Sort" hidden="1">#REF!</definedName>
    <definedName name="_Sort1" hidden="1">'[2]#REF'!$A$10:$Z$281</definedName>
    <definedName name="_sort3" hidden="1">[3]XXXXXX!$G$10:$J$11</definedName>
    <definedName name="ACCT" localSheetId="3">[4]Hidden!#REF!</definedName>
    <definedName name="ACCT" localSheetId="4">[4]Hidden!#REF!</definedName>
    <definedName name="ACCT" localSheetId="5">[4]Hidden!#REF!</definedName>
    <definedName name="ACCT" localSheetId="0">[4]Hidden!#REF!</definedName>
    <definedName name="ACCT" localSheetId="6">[4]Hidden!#REF!</definedName>
    <definedName name="ACCT" localSheetId="7">[4]Hidden!#REF!</definedName>
    <definedName name="ACCT" localSheetId="8">[4]Hidden!#REF!</definedName>
    <definedName name="ACCT" localSheetId="9">[4]Hidden!#REF!</definedName>
    <definedName name="ACCT" localSheetId="2">[4]Hidden!#REF!</definedName>
    <definedName name="ACCT">[4]Hidden!#REF!</definedName>
    <definedName name="ACCT.ConsolSum">[1]Hidden!$Q$11</definedName>
    <definedName name="ACT_CUR" localSheetId="3">[4]Hidden!#REF!</definedName>
    <definedName name="ACT_CUR" localSheetId="4">[4]Hidden!#REF!</definedName>
    <definedName name="ACT_CUR" localSheetId="5">[4]Hidden!#REF!</definedName>
    <definedName name="ACT_CUR" localSheetId="0">[4]Hidden!#REF!</definedName>
    <definedName name="ACT_CUR" localSheetId="6">[4]Hidden!#REF!</definedName>
    <definedName name="ACT_CUR" localSheetId="7">[4]Hidden!#REF!</definedName>
    <definedName name="ACT_CUR" localSheetId="8">[4]Hidden!#REF!</definedName>
    <definedName name="ACT_CUR" localSheetId="9">[4]Hidden!#REF!</definedName>
    <definedName name="ACT_CUR" localSheetId="2">[4]Hidden!#REF!</definedName>
    <definedName name="ACT_CUR">[4]Hidden!#REF!</definedName>
    <definedName name="ACT_YTD" localSheetId="3">[4]Hidden!#REF!</definedName>
    <definedName name="ACT_YTD" localSheetId="4">[4]Hidden!#REF!</definedName>
    <definedName name="ACT_YTD" localSheetId="5">[4]Hidden!#REF!</definedName>
    <definedName name="ACT_YTD" localSheetId="0">[4]Hidden!#REF!</definedName>
    <definedName name="ACT_YTD" localSheetId="6">[4]Hidden!#REF!</definedName>
    <definedName name="ACT_YTD" localSheetId="7">[4]Hidden!#REF!</definedName>
    <definedName name="ACT_YTD" localSheetId="8">[4]Hidden!#REF!</definedName>
    <definedName name="ACT_YTD" localSheetId="9">[4]Hidden!#REF!</definedName>
    <definedName name="ACT_YTD" localSheetId="2">[4]Hidden!#REF!</definedName>
    <definedName name="ACT_YTD">[4]Hidden!#REF!</definedName>
    <definedName name="AmountCount" localSheetId="3">#REF!</definedName>
    <definedName name="AmountCount" localSheetId="4">#REF!</definedName>
    <definedName name="AmountCount" localSheetId="5">#REF!</definedName>
    <definedName name="AmountCount" localSheetId="6">#REF!</definedName>
    <definedName name="AmountCount" localSheetId="7">#REF!</definedName>
    <definedName name="AmountCount" localSheetId="8">#REF!</definedName>
    <definedName name="AmountCount" localSheetId="9">#REF!</definedName>
    <definedName name="AmountCount" localSheetId="2">#REF!</definedName>
    <definedName name="AmountCount">#REF!</definedName>
    <definedName name="AmountCount1">#REF!</definedName>
    <definedName name="AmountTotal" localSheetId="3">#REF!</definedName>
    <definedName name="AmountTotal" localSheetId="4">#REF!</definedName>
    <definedName name="AmountTotal" localSheetId="5">#REF!</definedName>
    <definedName name="AmountTotal" localSheetId="6">#REF!</definedName>
    <definedName name="AmountTotal" localSheetId="7">#REF!</definedName>
    <definedName name="AmountTotal" localSheetId="8">#REF!</definedName>
    <definedName name="AmountTotal" localSheetId="9">#REF!</definedName>
    <definedName name="AmountTotal" localSheetId="2">#REF!</definedName>
    <definedName name="AmountTotal">#REF!</definedName>
    <definedName name="AmountTotal1">#REF!</definedName>
    <definedName name="BookRev">'[5]Pacific Regulated - Price Out'!$F$50</definedName>
    <definedName name="BookRev_com">'[5]Pacific Regulated - Price Out'!$F$214</definedName>
    <definedName name="BookRev_mfr">'[5]Pacific Regulated - Price Out'!$F$222</definedName>
    <definedName name="BookRev_ro">'[5]Pacific Regulated - Price Out'!$F$282</definedName>
    <definedName name="BookRev_rr">'[5]Pacific Regulated - Price Out'!$F$59</definedName>
    <definedName name="BookRev_yw">'[5]Pacific Regulated - Price Out'!$F$70</definedName>
    <definedName name="BREMAIR_COST_of_SERVICE_STUDY" localSheetId="3">#REF!</definedName>
    <definedName name="BREMAIR_COST_of_SERVICE_STUDY" localSheetId="4">#REF!</definedName>
    <definedName name="BREMAIR_COST_of_SERVICE_STUDY" localSheetId="5">#REF!</definedName>
    <definedName name="BREMAIR_COST_of_SERVICE_STUDY" localSheetId="6">#REF!</definedName>
    <definedName name="BREMAIR_COST_of_SERVICE_STUDY" localSheetId="7">#REF!</definedName>
    <definedName name="BREMAIR_COST_of_SERVICE_STUDY" localSheetId="8">#REF!</definedName>
    <definedName name="BREMAIR_COST_of_SERVICE_STUDY" localSheetId="9">#REF!</definedName>
    <definedName name="BREMAIR_COST_of_SERVICE_STUDY" localSheetId="2">#REF!</definedName>
    <definedName name="BREMAIR_COST_of_SERVICE_STUDY">#REF!</definedName>
    <definedName name="BUD_CUR" localSheetId="3">[4]Hidden!#REF!</definedName>
    <definedName name="BUD_CUR" localSheetId="4">[4]Hidden!#REF!</definedName>
    <definedName name="BUD_CUR" localSheetId="5">[4]Hidden!#REF!</definedName>
    <definedName name="BUD_CUR" localSheetId="0">[4]Hidden!#REF!</definedName>
    <definedName name="BUD_CUR" localSheetId="6">[4]Hidden!#REF!</definedName>
    <definedName name="BUD_CUR" localSheetId="7">[4]Hidden!#REF!</definedName>
    <definedName name="BUD_CUR" localSheetId="8">[4]Hidden!#REF!</definedName>
    <definedName name="BUD_CUR" localSheetId="9">[4]Hidden!#REF!</definedName>
    <definedName name="BUD_CUR" localSheetId="2">[4]Hidden!#REF!</definedName>
    <definedName name="BUD_CUR">[4]Hidden!#REF!</definedName>
    <definedName name="BUD_YTD" localSheetId="3">[4]Hidden!#REF!</definedName>
    <definedName name="BUD_YTD" localSheetId="4">[4]Hidden!#REF!</definedName>
    <definedName name="BUD_YTD" localSheetId="5">[4]Hidden!#REF!</definedName>
    <definedName name="BUD_YTD" localSheetId="0">[4]Hidden!#REF!</definedName>
    <definedName name="BUD_YTD" localSheetId="6">[4]Hidden!#REF!</definedName>
    <definedName name="BUD_YTD" localSheetId="7">[4]Hidden!#REF!</definedName>
    <definedName name="BUD_YTD" localSheetId="8">[4]Hidden!#REF!</definedName>
    <definedName name="BUD_YTD" localSheetId="9">[4]Hidden!#REF!</definedName>
    <definedName name="BUD_YTD" localSheetId="2">[4]Hidden!#REF!</definedName>
    <definedName name="BUD_YTD">[4]Hidden!#REF!</definedName>
    <definedName name="CalRecyTons">'[6]Recycl Tons, Commodity Value'!$L$23</definedName>
    <definedName name="CheckTotals" localSheetId="3">#REF!</definedName>
    <definedName name="CheckTotals" localSheetId="4">#REF!</definedName>
    <definedName name="CheckTotals" localSheetId="5">#REF!</definedName>
    <definedName name="CheckTotals" localSheetId="6">#REF!</definedName>
    <definedName name="CheckTotals" localSheetId="7">#REF!</definedName>
    <definedName name="CheckTotals" localSheetId="8">#REF!</definedName>
    <definedName name="CheckTotals" localSheetId="9">#REF!</definedName>
    <definedName name="CheckTotals" localSheetId="2">#REF!</definedName>
    <definedName name="CheckTotals">#REF!</definedName>
    <definedName name="colgroup">[1]Orientation!$G$6</definedName>
    <definedName name="colsegment">[1]Orientation!$F$6</definedName>
    <definedName name="CommlStaffPriceOut">'[7]Price Out-Reg EASTSIDE-Resi'!#REF!</definedName>
    <definedName name="CRCTable" localSheetId="3">#REF!</definedName>
    <definedName name="CRCTable" localSheetId="4">#REF!</definedName>
    <definedName name="CRCTable" localSheetId="5">#REF!</definedName>
    <definedName name="CRCTable" localSheetId="6">#REF!</definedName>
    <definedName name="CRCTable" localSheetId="7">#REF!</definedName>
    <definedName name="CRCTable" localSheetId="8">#REF!</definedName>
    <definedName name="CRCTable" localSheetId="9">#REF!</definedName>
    <definedName name="CRCTable" localSheetId="2">#REF!</definedName>
    <definedName name="CRCTable">#REF!</definedName>
    <definedName name="CRCTableOLD" localSheetId="3">#REF!</definedName>
    <definedName name="CRCTableOLD" localSheetId="4">#REF!</definedName>
    <definedName name="CRCTableOLD" localSheetId="5">#REF!</definedName>
    <definedName name="CRCTableOLD" localSheetId="6">#REF!</definedName>
    <definedName name="CRCTableOLD" localSheetId="7">#REF!</definedName>
    <definedName name="CRCTableOLD" localSheetId="8">#REF!</definedName>
    <definedName name="CRCTableOLD" localSheetId="9">#REF!</definedName>
    <definedName name="CRCTableOLD" localSheetId="2">#REF!</definedName>
    <definedName name="CRCTableOLD">#REF!</definedName>
    <definedName name="CriteriaType">[8]ControlPanel!$Z$2:$Z$5</definedName>
    <definedName name="CurrentMonth">'[9]38000 Other Rev'!$H$8</definedName>
    <definedName name="Cutomers" localSheetId="3">#REF!</definedName>
    <definedName name="Cutomers" localSheetId="4">#REF!</definedName>
    <definedName name="Cutomers" localSheetId="5">#REF!</definedName>
    <definedName name="Cutomers" localSheetId="6">#REF!</definedName>
    <definedName name="Cutomers" localSheetId="7">#REF!</definedName>
    <definedName name="Cutomers" localSheetId="8">#REF!</definedName>
    <definedName name="Cutomers" localSheetId="9">#REF!</definedName>
    <definedName name="Cutomers" localSheetId="2">#REF!</definedName>
    <definedName name="Cutomers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2">#REF!</definedName>
    <definedName name="_xlnm.Database">#REF!</definedName>
    <definedName name="Database1" localSheetId="3">#REF!</definedName>
    <definedName name="Database1" localSheetId="4">#REF!</definedName>
    <definedName name="Database1" localSheetId="5">#REF!</definedName>
    <definedName name="Database1" localSheetId="6">#REF!</definedName>
    <definedName name="Database1" localSheetId="7">#REF!</definedName>
    <definedName name="Database1" localSheetId="8">#REF!</definedName>
    <definedName name="Database1" localSheetId="9">#REF!</definedName>
    <definedName name="Database1" localSheetId="2">#REF!</definedName>
    <definedName name="Database1">#REF!</definedName>
    <definedName name="DateFrom">'[9]38000 Other Rev'!$G$12</definedName>
    <definedName name="DateTo">'[9]38000 Other Rev'!$G$13</definedName>
    <definedName name="DBxStaffPriceOut">'[7]Price Out-Reg EASTSIDE-Resi'!#REF!</definedName>
    <definedName name="DEPT" localSheetId="3">[4]Hidden!#REF!</definedName>
    <definedName name="DEPT" localSheetId="4">[4]Hidden!#REF!</definedName>
    <definedName name="DEPT" localSheetId="5">[4]Hidden!#REF!</definedName>
    <definedName name="DEPT" localSheetId="6">[4]Hidden!#REF!</definedName>
    <definedName name="DEPT" localSheetId="7">[4]Hidden!#REF!</definedName>
    <definedName name="DEPT" localSheetId="8">[4]Hidden!#REF!</definedName>
    <definedName name="DEPT" localSheetId="9">[4]Hidden!#REF!</definedName>
    <definedName name="DEPT" localSheetId="2">[4]Hidden!#REF!</definedName>
    <definedName name="DEPT">[4]Hidden!#REF!</definedName>
    <definedName name="Dist">[10]Data!$E$3</definedName>
    <definedName name="District">'[11]Vashon BS'!#REF!</definedName>
    <definedName name="DistrictNum" localSheetId="3">#REF!</definedName>
    <definedName name="DistrictNum" localSheetId="4">#REF!</definedName>
    <definedName name="DistrictNum" localSheetId="5">#REF!</definedName>
    <definedName name="DistrictNum" localSheetId="6">#REF!</definedName>
    <definedName name="DistrictNum" localSheetId="7">#REF!</definedName>
    <definedName name="DistrictNum" localSheetId="8">#REF!</definedName>
    <definedName name="DistrictNum" localSheetId="9">#REF!</definedName>
    <definedName name="DistrictNum" localSheetId="2">#REF!</definedName>
    <definedName name="DistrictNum">#REF!</definedName>
    <definedName name="dOG">#REF!</definedName>
    <definedName name="drlFilter">[1]Settings!$D$27</definedName>
    <definedName name="End" localSheetId="3">#REF!</definedName>
    <definedName name="End" localSheetId="4">#REF!</definedName>
    <definedName name="End" localSheetId="5">#REF!</definedName>
    <definedName name="End" localSheetId="6">#REF!</definedName>
    <definedName name="End" localSheetId="7">#REF!</definedName>
    <definedName name="End" localSheetId="8">#REF!</definedName>
    <definedName name="End" localSheetId="9">#REF!</definedName>
    <definedName name="End" localSheetId="2">#REF!</definedName>
    <definedName name="End">#REF!</definedName>
    <definedName name="EntrieShownLimit">'[9]38000 Other Rev'!$D$6</definedName>
    <definedName name="ExcludeIC">'[11]Vashon BS'!#REF!</definedName>
    <definedName name="EXT">#REF!</definedName>
    <definedName name="FBTable" localSheetId="3">#REF!</definedName>
    <definedName name="FBTable" localSheetId="4">#REF!</definedName>
    <definedName name="FBTable" localSheetId="5">#REF!</definedName>
    <definedName name="FBTable" localSheetId="6">#REF!</definedName>
    <definedName name="FBTable" localSheetId="7">#REF!</definedName>
    <definedName name="FBTable" localSheetId="8">#REF!</definedName>
    <definedName name="FBTable" localSheetId="9">#REF!</definedName>
    <definedName name="FBTable" localSheetId="2">#REF!</definedName>
    <definedName name="FBTable">#REF!</definedName>
    <definedName name="FBTableOld" localSheetId="3">#REF!</definedName>
    <definedName name="FBTableOld" localSheetId="4">#REF!</definedName>
    <definedName name="FBTableOld" localSheetId="5">#REF!</definedName>
    <definedName name="FBTableOld" localSheetId="6">#REF!</definedName>
    <definedName name="FBTableOld" localSheetId="7">#REF!</definedName>
    <definedName name="FBTableOld" localSheetId="8">#REF!</definedName>
    <definedName name="FBTableOld" localSheetId="9">#REF!</definedName>
    <definedName name="FBTableOld" localSheetId="2">#REF!</definedName>
    <definedName name="FBTableOld">#REF!</definedName>
    <definedName name="filter">[1]Settings!$B$14:$H$25</definedName>
    <definedName name="FundsApprPend">[10]Data!#REF!</definedName>
    <definedName name="FundsBudUnbud">[10]Data!#REF!</definedName>
    <definedName name="GLMappingStart" localSheetId="3">#REF!</definedName>
    <definedName name="GLMappingStart" localSheetId="4">#REF!</definedName>
    <definedName name="GLMappingStart" localSheetId="5">#REF!</definedName>
    <definedName name="GLMappingStart" localSheetId="6">#REF!</definedName>
    <definedName name="GLMappingStart" localSheetId="7">#REF!</definedName>
    <definedName name="GLMappingStart" localSheetId="8">#REF!</definedName>
    <definedName name="GLMappingStart" localSheetId="9">#REF!</definedName>
    <definedName name="GLMappingStart" localSheetId="2">#REF!</definedName>
    <definedName name="GLMappingStart">#REF!</definedName>
    <definedName name="GLMappingStart1">#REF!</definedName>
    <definedName name="Import_Range">[10]Data!#REF!</definedName>
    <definedName name="IncomeStmnt" localSheetId="3">#REF!</definedName>
    <definedName name="IncomeStmnt" localSheetId="4">#REF!</definedName>
    <definedName name="IncomeStmnt" localSheetId="5">#REF!</definedName>
    <definedName name="IncomeStmnt" localSheetId="6">#REF!</definedName>
    <definedName name="IncomeStmnt" localSheetId="7">#REF!</definedName>
    <definedName name="IncomeStmnt" localSheetId="8">#REF!</definedName>
    <definedName name="IncomeStmnt" localSheetId="9">#REF!</definedName>
    <definedName name="IncomeStmnt" localSheetId="2">#REF!</definedName>
    <definedName name="IncomeStmnt">#REF!</definedName>
    <definedName name="INPUT" localSheetId="3">#REF!</definedName>
    <definedName name="INPUT" localSheetId="4">#REF!</definedName>
    <definedName name="INPUT" localSheetId="5">#REF!</definedName>
    <definedName name="INPUT" localSheetId="6">#REF!</definedName>
    <definedName name="INPUT" localSheetId="7">#REF!</definedName>
    <definedName name="INPUT" localSheetId="8">#REF!</definedName>
    <definedName name="INPUT" localSheetId="9">#REF!</definedName>
    <definedName name="INPUT" localSheetId="2">#REF!</definedName>
    <definedName name="INPUT">#REF!</definedName>
    <definedName name="Insurance" localSheetId="3">#REF!</definedName>
    <definedName name="Insurance" localSheetId="4">#REF!</definedName>
    <definedName name="Insurance" localSheetId="5">#REF!</definedName>
    <definedName name="Insurance" localSheetId="6">#REF!</definedName>
    <definedName name="Insurance" localSheetId="7">#REF!</definedName>
    <definedName name="Insurance" localSheetId="8">#REF!</definedName>
    <definedName name="Insurance" localSheetId="9">#REF!</definedName>
    <definedName name="Insurance" localSheetId="2">#REF!</definedName>
    <definedName name="Insurance">#REF!</definedName>
    <definedName name="Interject_LastPulledValues_BalanceRange">#REF!</definedName>
    <definedName name="Interject_LastPulledValues_DescriptionRange">#REF!</definedName>
    <definedName name="Interject_LastPulledValues_LastChangeGUID">#REF!</definedName>
    <definedName name="Interject_LastPulledValues_PreviousLastChangeGUID">#REF!</definedName>
    <definedName name="Invoice_Start">[10]Invoice_Drill!#REF!</definedName>
    <definedName name="JEDetail" localSheetId="3">#REF!</definedName>
    <definedName name="JEDetail" localSheetId="4">#REF!</definedName>
    <definedName name="JEDetail" localSheetId="5">#REF!</definedName>
    <definedName name="JEDetail" localSheetId="6">#REF!</definedName>
    <definedName name="JEDetail" localSheetId="7">#REF!</definedName>
    <definedName name="JEDetail" localSheetId="8">#REF!</definedName>
    <definedName name="JEDetail" localSheetId="9">#REF!</definedName>
    <definedName name="JEDetail" localSheetId="2">#REF!</definedName>
    <definedName name="JEDetail">#REF!</definedName>
    <definedName name="JEDetail1">#REF!</definedName>
    <definedName name="JEType" localSheetId="3">#REF!</definedName>
    <definedName name="JEType" localSheetId="4">#REF!</definedName>
    <definedName name="JEType" localSheetId="5">#REF!</definedName>
    <definedName name="JEType" localSheetId="6">#REF!</definedName>
    <definedName name="JEType" localSheetId="7">#REF!</definedName>
    <definedName name="JEType" localSheetId="8">#REF!</definedName>
    <definedName name="JEType" localSheetId="9">#REF!</definedName>
    <definedName name="JEType" localSheetId="2">#REF!</definedName>
    <definedName name="JEType">#REF!</definedName>
    <definedName name="JEType1">#REF!</definedName>
    <definedName name="lblBillAreaStatus" localSheetId="3">#REF!</definedName>
    <definedName name="lblBillAreaStatus" localSheetId="4">#REF!</definedName>
    <definedName name="lblBillAreaStatus" localSheetId="5">#REF!</definedName>
    <definedName name="lblBillAreaStatus" localSheetId="6">#REF!</definedName>
    <definedName name="lblBillAreaStatus" localSheetId="7">#REF!</definedName>
    <definedName name="lblBillAreaStatus" localSheetId="8">#REF!</definedName>
    <definedName name="lblBillAreaStatus" localSheetId="9">#REF!</definedName>
    <definedName name="lblBillAreaStatus" localSheetId="2">#REF!</definedName>
    <definedName name="lblBillAreaStatus">#REF!</definedName>
    <definedName name="lblBillCycleStatus" localSheetId="3">#REF!</definedName>
    <definedName name="lblBillCycleStatus" localSheetId="4">#REF!</definedName>
    <definedName name="lblBillCycleStatus" localSheetId="5">#REF!</definedName>
    <definedName name="lblBillCycleStatus" localSheetId="6">#REF!</definedName>
    <definedName name="lblBillCycleStatus" localSheetId="7">#REF!</definedName>
    <definedName name="lblBillCycleStatus" localSheetId="8">#REF!</definedName>
    <definedName name="lblBillCycleStatus" localSheetId="9">#REF!</definedName>
    <definedName name="lblBillCycleStatus" localSheetId="2">#REF!</definedName>
    <definedName name="lblBillCycleStatus">#REF!</definedName>
    <definedName name="lblCategoryStatus" localSheetId="3">#REF!</definedName>
    <definedName name="lblCategoryStatus" localSheetId="4">#REF!</definedName>
    <definedName name="lblCategoryStatus" localSheetId="5">#REF!</definedName>
    <definedName name="lblCategoryStatus" localSheetId="6">#REF!</definedName>
    <definedName name="lblCategoryStatus" localSheetId="7">#REF!</definedName>
    <definedName name="lblCategoryStatus" localSheetId="8">#REF!</definedName>
    <definedName name="lblCategoryStatus" localSheetId="9">#REF!</definedName>
    <definedName name="lblCategoryStatus" localSheetId="2">#REF!</definedName>
    <definedName name="lblCategoryStatus">#REF!</definedName>
    <definedName name="lblCompanyStatus" localSheetId="3">#REF!</definedName>
    <definedName name="lblCompanyStatus" localSheetId="4">#REF!</definedName>
    <definedName name="lblCompanyStatus" localSheetId="5">#REF!</definedName>
    <definedName name="lblCompanyStatus" localSheetId="6">#REF!</definedName>
    <definedName name="lblCompanyStatus" localSheetId="7">#REF!</definedName>
    <definedName name="lblCompanyStatus" localSheetId="8">#REF!</definedName>
    <definedName name="lblCompanyStatus" localSheetId="9">#REF!</definedName>
    <definedName name="lblCompanyStatus" localSheetId="2">#REF!</definedName>
    <definedName name="lblCompanyStatus">#REF!</definedName>
    <definedName name="lblDatabaseStatus" localSheetId="3">#REF!</definedName>
    <definedName name="lblDatabaseStatus" localSheetId="4">#REF!</definedName>
    <definedName name="lblDatabaseStatus" localSheetId="5">#REF!</definedName>
    <definedName name="lblDatabaseStatus" localSheetId="6">#REF!</definedName>
    <definedName name="lblDatabaseStatus" localSheetId="7">#REF!</definedName>
    <definedName name="lblDatabaseStatus" localSheetId="8">#REF!</definedName>
    <definedName name="lblDatabaseStatus" localSheetId="9">#REF!</definedName>
    <definedName name="lblDatabaseStatus" localSheetId="2">#REF!</definedName>
    <definedName name="lblDatabaseStatus">#REF!</definedName>
    <definedName name="lblPullStatus" localSheetId="3">#REF!</definedName>
    <definedName name="lblPullStatus" localSheetId="4">#REF!</definedName>
    <definedName name="lblPullStatus" localSheetId="5">#REF!</definedName>
    <definedName name="lblPullStatus" localSheetId="6">#REF!</definedName>
    <definedName name="lblPullStatus" localSheetId="7">#REF!</definedName>
    <definedName name="lblPullStatus" localSheetId="8">#REF!</definedName>
    <definedName name="lblPullStatus" localSheetId="9">#REF!</definedName>
    <definedName name="lblPullStatus" localSheetId="2">#REF!</definedName>
    <definedName name="lblPullStatus">#REF!</definedName>
    <definedName name="lllllllllllllllllllll" localSheetId="3">#REF!</definedName>
    <definedName name="lllllllllllllllllllll" localSheetId="4">#REF!</definedName>
    <definedName name="lllllllllllllllllllll" localSheetId="5">#REF!</definedName>
    <definedName name="lllllllllllllllllllll" localSheetId="6">#REF!</definedName>
    <definedName name="lllllllllllllllllllll" localSheetId="7">#REF!</definedName>
    <definedName name="lllllllllllllllllllll" localSheetId="8">#REF!</definedName>
    <definedName name="lllllllllllllllllllll" localSheetId="9">#REF!</definedName>
    <definedName name="lllllllllllllllllllll" localSheetId="2">#REF!</definedName>
    <definedName name="lllllllllllllllllllll">#REF!</definedName>
    <definedName name="MainDataEnd" localSheetId="3">#REF!</definedName>
    <definedName name="MainDataEnd" localSheetId="4">#REF!</definedName>
    <definedName name="MainDataEnd" localSheetId="5">#REF!</definedName>
    <definedName name="MainDataEnd" localSheetId="6">#REF!</definedName>
    <definedName name="MainDataEnd" localSheetId="7">#REF!</definedName>
    <definedName name="MainDataEnd" localSheetId="8">#REF!</definedName>
    <definedName name="MainDataEnd" localSheetId="9">#REF!</definedName>
    <definedName name="MainDataEnd" localSheetId="2">#REF!</definedName>
    <definedName name="MainDataEnd">#REF!</definedName>
    <definedName name="MainDataStart" localSheetId="3">#REF!</definedName>
    <definedName name="MainDataStart" localSheetId="4">#REF!</definedName>
    <definedName name="MainDataStart" localSheetId="5">#REF!</definedName>
    <definedName name="MainDataStart" localSheetId="6">#REF!</definedName>
    <definedName name="MainDataStart" localSheetId="7">#REF!</definedName>
    <definedName name="MainDataStart" localSheetId="8">#REF!</definedName>
    <definedName name="MainDataStart" localSheetId="9">#REF!</definedName>
    <definedName name="MainDataStart" localSheetId="2">#REF!</definedName>
    <definedName name="MainDataStart">#REF!</definedName>
    <definedName name="MapKeyStart" localSheetId="3">#REF!</definedName>
    <definedName name="MapKeyStart" localSheetId="4">#REF!</definedName>
    <definedName name="MapKeyStart" localSheetId="5">#REF!</definedName>
    <definedName name="MapKeyStart" localSheetId="6">#REF!</definedName>
    <definedName name="MapKeyStart" localSheetId="7">#REF!</definedName>
    <definedName name="MapKeyStart" localSheetId="8">#REF!</definedName>
    <definedName name="MapKeyStart" localSheetId="9">#REF!</definedName>
    <definedName name="MapKeyStart" localSheetId="2">#REF!</definedName>
    <definedName name="MapKeyStart">#REF!</definedName>
    <definedName name="master_def" localSheetId="3">#REF!</definedName>
    <definedName name="master_def" localSheetId="4">#REF!</definedName>
    <definedName name="master_def" localSheetId="5">#REF!</definedName>
    <definedName name="master_def" localSheetId="6">#REF!</definedName>
    <definedName name="master_def" localSheetId="7">#REF!</definedName>
    <definedName name="master_def" localSheetId="8">#REF!</definedName>
    <definedName name="master_def" localSheetId="9">#REF!</definedName>
    <definedName name="master_def" localSheetId="2">#REF!</definedName>
    <definedName name="master_def">#REF!</definedName>
    <definedName name="MATRIX">#REF!</definedName>
    <definedName name="MemoAttachment">#REF!</definedName>
    <definedName name="MetaSet">[1]Orientation!$C$22</definedName>
    <definedName name="MFStaffPriceOut">'[7]Price Out-Reg EASTSIDE-Resi'!#REF!</definedName>
    <definedName name="MonthList">'[10]Lookup Tables'!$A$1:$A$13</definedName>
    <definedName name="NewOnlyOrg">#N/A</definedName>
    <definedName name="nn">#REF!</definedName>
    <definedName name="NOTES" localSheetId="3">#REF!</definedName>
    <definedName name="NOTES" localSheetId="4">#REF!</definedName>
    <definedName name="NOTES" localSheetId="5">#REF!</definedName>
    <definedName name="NOTES" localSheetId="6">#REF!</definedName>
    <definedName name="NOTES" localSheetId="7">#REF!</definedName>
    <definedName name="NOTES" localSheetId="8">#REF!</definedName>
    <definedName name="NOTES" localSheetId="9">#REF!</definedName>
    <definedName name="NOTES" localSheetId="2">#REF!</definedName>
    <definedName name="NOTES">#REF!</definedName>
    <definedName name="NR">#REF!</definedName>
    <definedName name="OfficerSalary">#N/A</definedName>
    <definedName name="OffsetAcctBil">[12]JEexport!$L$10</definedName>
    <definedName name="OffsetAcctPmt">[12]JEexport!$L$9</definedName>
    <definedName name="Org11_13">#N/A</definedName>
    <definedName name="Org7_10">#N/A</definedName>
    <definedName name="p" localSheetId="3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8">#REF!</definedName>
    <definedName name="p" localSheetId="9">#REF!</definedName>
    <definedName name="p" localSheetId="2">#REF!</definedName>
    <definedName name="p">#REF!</definedName>
    <definedName name="PAGE_1" localSheetId="3">#REF!</definedName>
    <definedName name="PAGE_1" localSheetId="4">#REF!</definedName>
    <definedName name="PAGE_1" localSheetId="5">#REF!</definedName>
    <definedName name="PAGE_1" localSheetId="6">#REF!</definedName>
    <definedName name="PAGE_1" localSheetId="7">#REF!</definedName>
    <definedName name="PAGE_1" localSheetId="8">#REF!</definedName>
    <definedName name="PAGE_1" localSheetId="9">#REF!</definedName>
    <definedName name="PAGE_1" localSheetId="2">#REF!</definedName>
    <definedName name="PAGE_1">#REF!</definedName>
    <definedName name="Page16">#REF!</definedName>
    <definedName name="Page17">#REF!</definedName>
    <definedName name="Page18">#REF!</definedName>
    <definedName name="Page7a">#REF!</definedName>
    <definedName name="pBatchID" localSheetId="3">#REF!</definedName>
    <definedName name="pBatchID" localSheetId="4">#REF!</definedName>
    <definedName name="pBatchID" localSheetId="5">#REF!</definedName>
    <definedName name="pBatchID" localSheetId="6">#REF!</definedName>
    <definedName name="pBatchID" localSheetId="7">#REF!</definedName>
    <definedName name="pBatchID" localSheetId="8">#REF!</definedName>
    <definedName name="pBatchID" localSheetId="9">#REF!</definedName>
    <definedName name="pBatchID" localSheetId="2">#REF!</definedName>
    <definedName name="pBatchID">#REF!</definedName>
    <definedName name="pBillArea" localSheetId="3">#REF!</definedName>
    <definedName name="pBillArea" localSheetId="4">#REF!</definedName>
    <definedName name="pBillArea" localSheetId="5">#REF!</definedName>
    <definedName name="pBillArea" localSheetId="6">#REF!</definedName>
    <definedName name="pBillArea" localSheetId="7">#REF!</definedName>
    <definedName name="pBillArea" localSheetId="8">#REF!</definedName>
    <definedName name="pBillArea" localSheetId="9">#REF!</definedName>
    <definedName name="pBillArea" localSheetId="2">#REF!</definedName>
    <definedName name="pBillArea">#REF!</definedName>
    <definedName name="pBillCycle" localSheetId="3">#REF!</definedName>
    <definedName name="pBillCycle" localSheetId="4">#REF!</definedName>
    <definedName name="pBillCycle" localSheetId="5">#REF!</definedName>
    <definedName name="pBillCycle" localSheetId="6">#REF!</definedName>
    <definedName name="pBillCycle" localSheetId="7">#REF!</definedName>
    <definedName name="pBillCycle" localSheetId="8">#REF!</definedName>
    <definedName name="pBillCycle" localSheetId="9">#REF!</definedName>
    <definedName name="pBillCycle" localSheetId="2">#REF!</definedName>
    <definedName name="pBillCycle">#REF!</definedName>
    <definedName name="pCategory" localSheetId="3">#REF!</definedName>
    <definedName name="pCategory" localSheetId="4">#REF!</definedName>
    <definedName name="pCategory" localSheetId="5">#REF!</definedName>
    <definedName name="pCategory" localSheetId="6">#REF!</definedName>
    <definedName name="pCategory" localSheetId="7">#REF!</definedName>
    <definedName name="pCategory" localSheetId="8">#REF!</definedName>
    <definedName name="pCategory" localSheetId="9">#REF!</definedName>
    <definedName name="pCategory" localSheetId="2">#REF!</definedName>
    <definedName name="pCategory">#REF!</definedName>
    <definedName name="pCompany" localSheetId="3">#REF!</definedName>
    <definedName name="pCompany" localSheetId="4">#REF!</definedName>
    <definedName name="pCompany" localSheetId="5">#REF!</definedName>
    <definedName name="pCompany" localSheetId="6">#REF!</definedName>
    <definedName name="pCompany" localSheetId="7">#REF!</definedName>
    <definedName name="pCompany" localSheetId="8">#REF!</definedName>
    <definedName name="pCompany" localSheetId="9">#REF!</definedName>
    <definedName name="pCompany" localSheetId="2">#REF!</definedName>
    <definedName name="pCompany">#REF!</definedName>
    <definedName name="pCustomerNumber" localSheetId="3">#REF!</definedName>
    <definedName name="pCustomerNumber" localSheetId="4">#REF!</definedName>
    <definedName name="pCustomerNumber" localSheetId="5">#REF!</definedName>
    <definedName name="pCustomerNumber" localSheetId="6">#REF!</definedName>
    <definedName name="pCustomerNumber" localSheetId="7">#REF!</definedName>
    <definedName name="pCustomerNumber" localSheetId="8">#REF!</definedName>
    <definedName name="pCustomerNumber" localSheetId="9">#REF!</definedName>
    <definedName name="pCustomerNumber" localSheetId="2">#REF!</definedName>
    <definedName name="pCustomerNumber">#REF!</definedName>
    <definedName name="pDatabase" localSheetId="3">#REF!</definedName>
    <definedName name="pDatabase" localSheetId="4">#REF!</definedName>
    <definedName name="pDatabase" localSheetId="5">#REF!</definedName>
    <definedName name="pDatabase" localSheetId="6">#REF!</definedName>
    <definedName name="pDatabase" localSheetId="7">#REF!</definedName>
    <definedName name="pDatabase" localSheetId="8">#REF!</definedName>
    <definedName name="pDatabase" localSheetId="9">#REF!</definedName>
    <definedName name="pDatabase" localSheetId="2">#REF!</definedName>
    <definedName name="pDatabase">#REF!</definedName>
    <definedName name="pEndPostDate" localSheetId="3">#REF!</definedName>
    <definedName name="pEndPostDate" localSheetId="4">#REF!</definedName>
    <definedName name="pEndPostDate" localSheetId="5">#REF!</definedName>
    <definedName name="pEndPostDate" localSheetId="6">#REF!</definedName>
    <definedName name="pEndPostDate" localSheetId="7">#REF!</definedName>
    <definedName name="pEndPostDate" localSheetId="8">#REF!</definedName>
    <definedName name="pEndPostDate" localSheetId="9">#REF!</definedName>
    <definedName name="pEndPostDate" localSheetId="2">#REF!</definedName>
    <definedName name="pEndPostDate">#REF!</definedName>
    <definedName name="Period" localSheetId="3">#REF!</definedName>
    <definedName name="Period" localSheetId="4">#REF!</definedName>
    <definedName name="Period" localSheetId="5">#REF!</definedName>
    <definedName name="Period" localSheetId="6">#REF!</definedName>
    <definedName name="Period" localSheetId="7">#REF!</definedName>
    <definedName name="Period" localSheetId="8">#REF!</definedName>
    <definedName name="Period" localSheetId="9">#REF!</definedName>
    <definedName name="Period" localSheetId="2">#REF!</definedName>
    <definedName name="Period">#REF!</definedName>
    <definedName name="pMonth" localSheetId="3">#REF!</definedName>
    <definedName name="pMonth" localSheetId="4">#REF!</definedName>
    <definedName name="pMonth" localSheetId="5">#REF!</definedName>
    <definedName name="pMonth" localSheetId="6">#REF!</definedName>
    <definedName name="pMonth" localSheetId="7">#REF!</definedName>
    <definedName name="pMonth" localSheetId="8">#REF!</definedName>
    <definedName name="pMonth" localSheetId="9">#REF!</definedName>
    <definedName name="pMonth" localSheetId="2">#REF!</definedName>
    <definedName name="pMonth">#REF!</definedName>
    <definedName name="pOnlyShowLastTranx" localSheetId="3">#REF!</definedName>
    <definedName name="pOnlyShowLastTranx" localSheetId="4">#REF!</definedName>
    <definedName name="pOnlyShowLastTranx" localSheetId="5">#REF!</definedName>
    <definedName name="pOnlyShowLastTranx" localSheetId="6">#REF!</definedName>
    <definedName name="pOnlyShowLastTranx" localSheetId="7">#REF!</definedName>
    <definedName name="pOnlyShowLastTranx" localSheetId="8">#REF!</definedName>
    <definedName name="pOnlyShowLastTranx" localSheetId="9">#REF!</definedName>
    <definedName name="pOnlyShowLastTranx" localSheetId="2">#REF!</definedName>
    <definedName name="pOnlyShowLastTranx">#REF!</definedName>
    <definedName name="primtbl">[1]Orientation!$C$23</definedName>
    <definedName name="_xlnm.Print_Area" localSheetId="3">'Army Non-Reg - Price Out'!$B$1:$N$46</definedName>
    <definedName name="_xlnm.Print_Area" localSheetId="4">'Harrington Non-Reg - Price Out'!$B$1:$N$43</definedName>
    <definedName name="_xlnm.Print_Area" localSheetId="5">'Latah Co Non-Reg - Price Out'!$B$1:$N$20</definedName>
    <definedName name="_xlnm.Print_Area" localSheetId="6">'Rockford Non-Reg - Price Out'!$B$1:$N$51</definedName>
    <definedName name="_xlnm.Print_Area" localSheetId="7">'Spangle Non-Reg - Price Out'!$B$1:$M$61</definedName>
    <definedName name="_xlnm.Print_Area" localSheetId="1">'Spokane Reg - Price out'!$A$1:$P$112</definedName>
    <definedName name="_xlnm.Print_Area" localSheetId="8">'Starbuck Non-Reg - Price Out'!$B$1:$N$37</definedName>
    <definedName name="_xlnm.Print_Area" localSheetId="9">'Tekoa Non-Reg - Price Out'!$B$1:$N$72</definedName>
    <definedName name="_xlnm.Print_Area" localSheetId="2">'Whitman Reg - Price Out'!$A$1:$N$173</definedName>
    <definedName name="_xlnm.Print_Area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2">#REF!</definedName>
    <definedName name="Print_Area_MI">#REF!</definedName>
    <definedName name="Print_Area1" localSheetId="3">#REF!</definedName>
    <definedName name="Print_Area1" localSheetId="4">#REF!</definedName>
    <definedName name="Print_Area1" localSheetId="5">#REF!</definedName>
    <definedName name="Print_Area1" localSheetId="6">#REF!</definedName>
    <definedName name="Print_Area1" localSheetId="7">#REF!</definedName>
    <definedName name="Print_Area1" localSheetId="8">#REF!</definedName>
    <definedName name="Print_Area1" localSheetId="9">#REF!</definedName>
    <definedName name="Print_Area1" localSheetId="2">#REF!</definedName>
    <definedName name="Print_Area1">#REF!</definedName>
    <definedName name="Print_Area2" localSheetId="3">#REF!</definedName>
    <definedName name="Print_Area2" localSheetId="4">#REF!</definedName>
    <definedName name="Print_Area2" localSheetId="5">#REF!</definedName>
    <definedName name="Print_Area2" localSheetId="6">#REF!</definedName>
    <definedName name="Print_Area2" localSheetId="7">#REF!</definedName>
    <definedName name="Print_Area2" localSheetId="8">#REF!</definedName>
    <definedName name="Print_Area2" localSheetId="9">#REF!</definedName>
    <definedName name="Print_Area2" localSheetId="2">#REF!</definedName>
    <definedName name="Print_Area2">#REF!</definedName>
    <definedName name="Print_Area3" localSheetId="3">#REF!</definedName>
    <definedName name="Print_Area3" localSheetId="4">#REF!</definedName>
    <definedName name="Print_Area3" localSheetId="5">#REF!</definedName>
    <definedName name="Print_Area3" localSheetId="6">#REF!</definedName>
    <definedName name="Print_Area3" localSheetId="7">#REF!</definedName>
    <definedName name="Print_Area3" localSheetId="8">#REF!</definedName>
    <definedName name="Print_Area3" localSheetId="9">#REF!</definedName>
    <definedName name="Print_Area3" localSheetId="2">#REF!</definedName>
    <definedName name="Print_Area3">#REF!</definedName>
    <definedName name="Print_Area5" localSheetId="3">#REF!</definedName>
    <definedName name="Print_Area5" localSheetId="4">#REF!</definedName>
    <definedName name="Print_Area5" localSheetId="5">#REF!</definedName>
    <definedName name="Print_Area5" localSheetId="6">#REF!</definedName>
    <definedName name="Print_Area5" localSheetId="7">#REF!</definedName>
    <definedName name="Print_Area5" localSheetId="8">#REF!</definedName>
    <definedName name="Print_Area5" localSheetId="9">#REF!</definedName>
    <definedName name="Print_Area5" localSheetId="2">#REF!</definedName>
    <definedName name="Print_Area5">#REF!</definedName>
    <definedName name="_xlnm.Print_Titles" localSheetId="7">'Spangle Non-Reg - Price Out'!$1:$6</definedName>
    <definedName name="_xlnm.Print_Titles" localSheetId="1">'Spokane Reg - Price out'!$1:$6</definedName>
    <definedName name="_xlnm.Print_Titles" localSheetId="9">'Tekoa Non-Reg - Price Out'!$1:$6</definedName>
    <definedName name="_xlnm.Print_Titles" localSheetId="2">'Whitman Reg - Price Out'!$1:$6</definedName>
    <definedName name="Print1" localSheetId="3">#REF!</definedName>
    <definedName name="Print1" localSheetId="4">#REF!</definedName>
    <definedName name="Print1" localSheetId="5">#REF!</definedName>
    <definedName name="Print1" localSheetId="6">#REF!</definedName>
    <definedName name="Print1" localSheetId="7">#REF!</definedName>
    <definedName name="Print1" localSheetId="8">#REF!</definedName>
    <definedName name="Print1" localSheetId="9">#REF!</definedName>
    <definedName name="Print1" localSheetId="2">#REF!</definedName>
    <definedName name="Print1">#REF!</definedName>
    <definedName name="Print2" localSheetId="3">#REF!</definedName>
    <definedName name="Print2" localSheetId="4">#REF!</definedName>
    <definedName name="Print2" localSheetId="5">#REF!</definedName>
    <definedName name="Print2" localSheetId="6">#REF!</definedName>
    <definedName name="Print2" localSheetId="7">#REF!</definedName>
    <definedName name="Print2" localSheetId="8">#REF!</definedName>
    <definedName name="Print2" localSheetId="9">#REF!</definedName>
    <definedName name="Print2" localSheetId="2">#REF!</definedName>
    <definedName name="Print2">#REF!</definedName>
    <definedName name="Print5" localSheetId="3">#REF!</definedName>
    <definedName name="Print5" localSheetId="4">#REF!</definedName>
    <definedName name="Print5" localSheetId="5">#REF!</definedName>
    <definedName name="Print5" localSheetId="6">#REF!</definedName>
    <definedName name="Print5" localSheetId="7">#REF!</definedName>
    <definedName name="Print5" localSheetId="8">#REF!</definedName>
    <definedName name="Print5" localSheetId="9">#REF!</definedName>
    <definedName name="Print5" localSheetId="2">#REF!</definedName>
    <definedName name="Print5">#REF!</definedName>
    <definedName name="ProRev">'[5]Pacific Regulated - Price Out'!$M$49</definedName>
    <definedName name="ProRev_com">'[5]Pacific Regulated - Price Out'!$M$213</definedName>
    <definedName name="ProRev_mfr">'[5]Pacific Regulated - Price Out'!$M$221</definedName>
    <definedName name="ProRev_ro">'[5]Pacific Regulated - Price Out'!$M$281</definedName>
    <definedName name="ProRev_rr">'[5]Pacific Regulated - Price Out'!$M$58</definedName>
    <definedName name="ProRev_yw">'[5]Pacific Regulated - Price Out'!$M$69</definedName>
    <definedName name="pServer" localSheetId="3">#REF!</definedName>
    <definedName name="pServer" localSheetId="4">#REF!</definedName>
    <definedName name="pServer" localSheetId="5">#REF!</definedName>
    <definedName name="pServer" localSheetId="6">#REF!</definedName>
    <definedName name="pServer" localSheetId="7">#REF!</definedName>
    <definedName name="pServer" localSheetId="8">#REF!</definedName>
    <definedName name="pServer" localSheetId="9">#REF!</definedName>
    <definedName name="pServer" localSheetId="2">#REF!</definedName>
    <definedName name="pServer">#REF!</definedName>
    <definedName name="pServiceCode" localSheetId="3">#REF!</definedName>
    <definedName name="pServiceCode" localSheetId="4">#REF!</definedName>
    <definedName name="pServiceCode" localSheetId="5">#REF!</definedName>
    <definedName name="pServiceCode" localSheetId="6">#REF!</definedName>
    <definedName name="pServiceCode" localSheetId="7">#REF!</definedName>
    <definedName name="pServiceCode" localSheetId="8">#REF!</definedName>
    <definedName name="pServiceCode" localSheetId="9">#REF!</definedName>
    <definedName name="pServiceCode" localSheetId="2">#REF!</definedName>
    <definedName name="pServiceCode">#REF!</definedName>
    <definedName name="pShowAllUnposted" localSheetId="3">#REF!</definedName>
    <definedName name="pShowAllUnposted" localSheetId="4">#REF!</definedName>
    <definedName name="pShowAllUnposted" localSheetId="5">#REF!</definedName>
    <definedName name="pShowAllUnposted" localSheetId="6">#REF!</definedName>
    <definedName name="pShowAllUnposted" localSheetId="7">#REF!</definedName>
    <definedName name="pShowAllUnposted" localSheetId="8">#REF!</definedName>
    <definedName name="pShowAllUnposted" localSheetId="9">#REF!</definedName>
    <definedName name="pShowAllUnposted" localSheetId="2">#REF!</definedName>
    <definedName name="pShowAllUnposted">#REF!</definedName>
    <definedName name="pShowCustomerDetail" localSheetId="3">#REF!</definedName>
    <definedName name="pShowCustomerDetail" localSheetId="4">#REF!</definedName>
    <definedName name="pShowCustomerDetail" localSheetId="5">#REF!</definedName>
    <definedName name="pShowCustomerDetail" localSheetId="6">#REF!</definedName>
    <definedName name="pShowCustomerDetail" localSheetId="7">#REF!</definedName>
    <definedName name="pShowCustomerDetail" localSheetId="8">#REF!</definedName>
    <definedName name="pShowCustomerDetail" localSheetId="9">#REF!</definedName>
    <definedName name="pShowCustomerDetail" localSheetId="2">#REF!</definedName>
    <definedName name="pShowCustomerDetail">#REF!</definedName>
    <definedName name="pSortOption" localSheetId="3">#REF!</definedName>
    <definedName name="pSortOption" localSheetId="4">#REF!</definedName>
    <definedName name="pSortOption" localSheetId="5">#REF!</definedName>
    <definedName name="pSortOption" localSheetId="6">#REF!</definedName>
    <definedName name="pSortOption" localSheetId="7">#REF!</definedName>
    <definedName name="pSortOption" localSheetId="8">#REF!</definedName>
    <definedName name="pSortOption" localSheetId="9">#REF!</definedName>
    <definedName name="pSortOption" localSheetId="2">#REF!</definedName>
    <definedName name="pSortOption">#REF!</definedName>
    <definedName name="pStartPostDate" localSheetId="3">#REF!</definedName>
    <definedName name="pStartPostDate" localSheetId="4">#REF!</definedName>
    <definedName name="pStartPostDate" localSheetId="5">#REF!</definedName>
    <definedName name="pStartPostDate" localSheetId="6">#REF!</definedName>
    <definedName name="pStartPostDate" localSheetId="7">#REF!</definedName>
    <definedName name="pStartPostDate" localSheetId="8">#REF!</definedName>
    <definedName name="pStartPostDate" localSheetId="9">#REF!</definedName>
    <definedName name="pStartPostDate" localSheetId="2">#REF!</definedName>
    <definedName name="pStartPostDate">#REF!</definedName>
    <definedName name="pTransType" localSheetId="3">#REF!</definedName>
    <definedName name="pTransType" localSheetId="4">#REF!</definedName>
    <definedName name="pTransType" localSheetId="5">#REF!</definedName>
    <definedName name="pTransType" localSheetId="6">#REF!</definedName>
    <definedName name="pTransType" localSheetId="7">#REF!</definedName>
    <definedName name="pTransType" localSheetId="8">#REF!</definedName>
    <definedName name="pTransType" localSheetId="9">#REF!</definedName>
    <definedName name="pTransType" localSheetId="2">#REF!</definedName>
    <definedName name="pTransType">#REF!</definedName>
    <definedName name="RCW_81.04.080">#N/A</definedName>
    <definedName name="RecyDisposal">#N/A</definedName>
    <definedName name="Reg_Cust_Billed_Percent">'[13]Consolidated IS 2009 2010'!$AK$20</definedName>
    <definedName name="Reg_Cust_Percent">'[13]Consolidated IS 2009 2010'!$AC$20</definedName>
    <definedName name="Reg_Drive_Percent">'[13]Consolidated IS 2009 2010'!$AC$40</definedName>
    <definedName name="Reg_Haul_Rev_Percent">'[13]Consolidated IS 2009 2010'!$Z$18</definedName>
    <definedName name="Reg_Lab_Percent">'[13]Consolidated IS 2009 2010'!$AC$39</definedName>
    <definedName name="Reg_Steel_Cont_Percent">'[13]Consolidated IS 2009 2010'!$AE$120</definedName>
    <definedName name="RegulatedIS">'[13]2009 IS'!$A$12:$Q$655</definedName>
    <definedName name="RelatedSalary">#N/A</definedName>
    <definedName name="report_type">[1]Orientation!$C$24</definedName>
    <definedName name="ReportNames">[8]ControlPanel!$X$2:$X$8</definedName>
    <definedName name="ReportVersion">[1]Settings!$D$5</definedName>
    <definedName name="ReslStaffPriceOut">'[7]Price Out-Reg EASTSIDE-Resi'!#REF!</definedName>
    <definedName name="RetainedEarnings" localSheetId="3">#REF!</definedName>
    <definedName name="RetainedEarnings" localSheetId="4">#REF!</definedName>
    <definedName name="RetainedEarnings" localSheetId="5">#REF!</definedName>
    <definedName name="RetainedEarnings" localSheetId="6">#REF!</definedName>
    <definedName name="RetainedEarnings" localSheetId="7">#REF!</definedName>
    <definedName name="RetainedEarnings" localSheetId="8">#REF!</definedName>
    <definedName name="RetainedEarnings" localSheetId="9">#REF!</definedName>
    <definedName name="RetainedEarnings" localSheetId="2">#REF!</definedName>
    <definedName name="RetainedEarnings">#REF!</definedName>
    <definedName name="RevCust" localSheetId="3">[14]RevenuesCust!#REF!</definedName>
    <definedName name="RevCust" localSheetId="4">[14]RevenuesCust!#REF!</definedName>
    <definedName name="RevCust" localSheetId="5">[14]RevenuesCust!#REF!</definedName>
    <definedName name="RevCust" localSheetId="6">[14]RevenuesCust!#REF!</definedName>
    <definedName name="RevCust" localSheetId="7">[14]RevenuesCust!#REF!</definedName>
    <definedName name="RevCust" localSheetId="8">[14]RevenuesCust!#REF!</definedName>
    <definedName name="RevCust" localSheetId="9">[14]RevenuesCust!#REF!</definedName>
    <definedName name="RevCust" localSheetId="2">[14]RevenuesCust!#REF!</definedName>
    <definedName name="RevCust">[14]RevenuesCust!#REF!</definedName>
    <definedName name="RevCustomer">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 localSheetId="3">#REF!</definedName>
    <definedName name="sortcol" localSheetId="4">#REF!</definedName>
    <definedName name="sortcol" localSheetId="5">#REF!</definedName>
    <definedName name="sortcol" localSheetId="6">#REF!</definedName>
    <definedName name="sortcol" localSheetId="7">#REF!</definedName>
    <definedName name="sortcol" localSheetId="8">#REF!</definedName>
    <definedName name="sortcol" localSheetId="9">#REF!</definedName>
    <definedName name="sortcol" localSheetId="2">#REF!</definedName>
    <definedName name="sortcol">#REF!</definedName>
    <definedName name="sSRCDate" localSheetId="3">'[15]Feb''12 FAR Data'!#REF!</definedName>
    <definedName name="sSRCDate" localSheetId="4">'[15]Feb''12 FAR Data'!#REF!</definedName>
    <definedName name="sSRCDate" localSheetId="5">'[15]Feb''12 FAR Data'!#REF!</definedName>
    <definedName name="sSRCDate" localSheetId="6">'[15]Feb''12 FAR Data'!#REF!</definedName>
    <definedName name="sSRCDate" localSheetId="7">'[15]Feb''12 FAR Data'!#REF!</definedName>
    <definedName name="sSRCDate" localSheetId="8">'[15]Feb''12 FAR Data'!#REF!</definedName>
    <definedName name="sSRCDate" localSheetId="9">'[15]Feb''12 FAR Data'!#REF!</definedName>
    <definedName name="sSRCDate" localSheetId="2">'[15]Feb''12 FAR Data'!#REF!</definedName>
    <definedName name="sSRCDate">'[15]Feb''12 FAR Data'!#REF!</definedName>
    <definedName name="Supplemental_filter">[1]Settings!$C$31</definedName>
    <definedName name="SWDisposal">#N/A</definedName>
    <definedName name="System">[16]BS_Close!$V$8</definedName>
    <definedName name="TemplateEnd" localSheetId="3">#REF!</definedName>
    <definedName name="TemplateEnd" localSheetId="4">#REF!</definedName>
    <definedName name="TemplateEnd" localSheetId="5">#REF!</definedName>
    <definedName name="TemplateEnd" localSheetId="6">#REF!</definedName>
    <definedName name="TemplateEnd" localSheetId="7">#REF!</definedName>
    <definedName name="TemplateEnd" localSheetId="8">#REF!</definedName>
    <definedName name="TemplateEnd" localSheetId="9">#REF!</definedName>
    <definedName name="TemplateEnd" localSheetId="2">#REF!</definedName>
    <definedName name="TemplateEnd">#REF!</definedName>
    <definedName name="TemplateStart" localSheetId="3">#REF!</definedName>
    <definedName name="TemplateStart" localSheetId="4">#REF!</definedName>
    <definedName name="TemplateStart" localSheetId="5">#REF!</definedName>
    <definedName name="TemplateStart" localSheetId="6">#REF!</definedName>
    <definedName name="TemplateStart" localSheetId="7">#REF!</definedName>
    <definedName name="TemplateStart" localSheetId="8">#REF!</definedName>
    <definedName name="TemplateStart" localSheetId="9">#REF!</definedName>
    <definedName name="TemplateStart" localSheetId="2">#REF!</definedName>
    <definedName name="TemplateStart">#REF!</definedName>
    <definedName name="TheTable" localSheetId="3">#REF!</definedName>
    <definedName name="TheTable" localSheetId="4">#REF!</definedName>
    <definedName name="TheTable" localSheetId="5">#REF!</definedName>
    <definedName name="TheTable" localSheetId="6">#REF!</definedName>
    <definedName name="TheTable" localSheetId="7">#REF!</definedName>
    <definedName name="TheTable" localSheetId="8">#REF!</definedName>
    <definedName name="TheTable" localSheetId="9">#REF!</definedName>
    <definedName name="TheTable" localSheetId="2">#REF!</definedName>
    <definedName name="TheTable">#REF!</definedName>
    <definedName name="TheTableOLD" localSheetId="3">#REF!</definedName>
    <definedName name="TheTableOLD" localSheetId="4">#REF!</definedName>
    <definedName name="TheTableOLD" localSheetId="5">#REF!</definedName>
    <definedName name="TheTableOLD" localSheetId="6">#REF!</definedName>
    <definedName name="TheTableOLD" localSheetId="7">#REF!</definedName>
    <definedName name="TheTableOLD" localSheetId="8">#REF!</definedName>
    <definedName name="TheTableOLD" localSheetId="9">#REF!</definedName>
    <definedName name="TheTableOLD" localSheetId="2">#REF!</definedName>
    <definedName name="TheTableOLD">#REF!</definedName>
    <definedName name="timeseries">[1]Orientation!$B$6:$C$13</definedName>
    <definedName name="Tons">#REF!</definedName>
    <definedName name="Total_Comm">'[6]Tariff Rate Sheet'!$L$214</definedName>
    <definedName name="Total_DB">'[6]Tariff Rate Sheet'!$L$278</definedName>
    <definedName name="Total_Resi">'[6]Tariff Rate Sheet'!$L$107</definedName>
    <definedName name="Transactions" localSheetId="3">#REF!</definedName>
    <definedName name="Transactions" localSheetId="4">#REF!</definedName>
    <definedName name="Transactions" localSheetId="5">#REF!</definedName>
    <definedName name="Transactions" localSheetId="6">#REF!</definedName>
    <definedName name="Transactions" localSheetId="7">#REF!</definedName>
    <definedName name="Transactions" localSheetId="8">#REF!</definedName>
    <definedName name="Transactions" localSheetId="9">#REF!</definedName>
    <definedName name="Transactions" localSheetId="2">#REF!</definedName>
    <definedName name="Transactions">#REF!</definedName>
    <definedName name="UnregulatedIS">'[13]2010 IS'!$A$12:$Q$654</definedName>
    <definedName name="Version">[10]Data!#REF!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hidden="1">{"Page1",#N/A,TRUE,"SUMM";"Page2",#N/A,TRUE,"Rev";"Page3",#N/A,TRUE,"Dir_Costs"}</definedName>
    <definedName name="WTable" localSheetId="3">#REF!</definedName>
    <definedName name="WTable" localSheetId="4">#REF!</definedName>
    <definedName name="WTable" localSheetId="5">#REF!</definedName>
    <definedName name="WTable" localSheetId="6">#REF!</definedName>
    <definedName name="WTable" localSheetId="7">#REF!</definedName>
    <definedName name="WTable" localSheetId="8">#REF!</definedName>
    <definedName name="WTable" localSheetId="9">#REF!</definedName>
    <definedName name="WTable" localSheetId="2">#REF!</definedName>
    <definedName name="WTable">#REF!</definedName>
    <definedName name="WTableOld" localSheetId="3">#REF!</definedName>
    <definedName name="WTableOld" localSheetId="4">#REF!</definedName>
    <definedName name="WTableOld" localSheetId="5">#REF!</definedName>
    <definedName name="WTableOld" localSheetId="6">#REF!</definedName>
    <definedName name="WTableOld" localSheetId="7">#REF!</definedName>
    <definedName name="WTableOld" localSheetId="8">#REF!</definedName>
    <definedName name="WTableOld" localSheetId="9">#REF!</definedName>
    <definedName name="WTableOld" localSheetId="2">#REF!</definedName>
    <definedName name="WTableOld">#REF!</definedName>
    <definedName name="ww">#REF!</definedName>
    <definedName name="xperiod">[1]Orientation!$G$15</definedName>
    <definedName name="xtabin" localSheetId="3">[4]Hidden!#REF!</definedName>
    <definedName name="xtabin" localSheetId="4">[4]Hidden!#REF!</definedName>
    <definedName name="xtabin" localSheetId="5">[4]Hidden!#REF!</definedName>
    <definedName name="xtabin" localSheetId="6">[4]Hidden!#REF!</definedName>
    <definedName name="xtabin" localSheetId="7">[4]Hidden!#REF!</definedName>
    <definedName name="xtabin" localSheetId="8">[4]Hidden!#REF!</definedName>
    <definedName name="xtabin" localSheetId="9">[4]Hidden!#REF!</definedName>
    <definedName name="xtabin" localSheetId="2">[4]Hidden!#REF!</definedName>
    <definedName name="xtabin">[4]Hidden!#REF!</definedName>
    <definedName name="xx" localSheetId="3">#REF!</definedName>
    <definedName name="xx" localSheetId="4">#REF!</definedName>
    <definedName name="xx" localSheetId="5">#REF!</definedName>
    <definedName name="xx" localSheetId="6">#REF!</definedName>
    <definedName name="xx" localSheetId="7">#REF!</definedName>
    <definedName name="xx" localSheetId="8">#REF!</definedName>
    <definedName name="xx" localSheetId="9">#REF!</definedName>
    <definedName name="xx" localSheetId="2">#REF!</definedName>
    <definedName name="xx">#REF!</definedName>
    <definedName name="xxx">#REF!</definedName>
    <definedName name="xxxx">#REF!</definedName>
    <definedName name="YearMonth">'[11]Vashon BS'!#REF!</definedName>
    <definedName name="YWMedWasteDisp">#N/A</definedName>
    <definedName name="yy">#REF!</definedName>
  </definedNames>
  <calcPr calcId="145621" iterate="1" concurrentManualCount="4"/>
</workbook>
</file>

<file path=xl/calcChain.xml><?xml version="1.0" encoding="utf-8"?>
<calcChain xmlns="http://schemas.openxmlformats.org/spreadsheetml/2006/main">
  <c r="G25" i="14" l="1"/>
  <c r="M17" i="48" l="1"/>
  <c r="K12" i="48"/>
  <c r="J12" i="48"/>
  <c r="G12" i="48"/>
  <c r="I12" i="48"/>
  <c r="J86" i="48" l="1"/>
  <c r="J87" i="48"/>
  <c r="J88" i="48"/>
  <c r="J85" i="48"/>
  <c r="I86" i="48"/>
  <c r="I87" i="48"/>
  <c r="I88" i="48"/>
  <c r="I85" i="48"/>
  <c r="K39" i="48"/>
  <c r="K43" i="48"/>
  <c r="K55" i="48"/>
  <c r="K38" i="48"/>
  <c r="I39" i="48"/>
  <c r="J39" i="48"/>
  <c r="I40" i="48"/>
  <c r="J40" i="48"/>
  <c r="K40" i="48" s="1"/>
  <c r="I41" i="48"/>
  <c r="J41" i="48"/>
  <c r="K41" i="48" s="1"/>
  <c r="I42" i="48"/>
  <c r="J42" i="48"/>
  <c r="K42" i="48" s="1"/>
  <c r="I43" i="48"/>
  <c r="J43" i="48"/>
  <c r="I44" i="48"/>
  <c r="J44" i="48"/>
  <c r="K44" i="48" s="1"/>
  <c r="I45" i="48"/>
  <c r="J45" i="48"/>
  <c r="K45" i="48" s="1"/>
  <c r="I46" i="48"/>
  <c r="J46" i="48"/>
  <c r="K46" i="48" s="1"/>
  <c r="I47" i="48"/>
  <c r="J47" i="48"/>
  <c r="K47" i="48" s="1"/>
  <c r="I48" i="48"/>
  <c r="J48" i="48"/>
  <c r="K48" i="48" s="1"/>
  <c r="I49" i="48"/>
  <c r="J49" i="48"/>
  <c r="K49" i="48" s="1"/>
  <c r="I50" i="48"/>
  <c r="J50" i="48"/>
  <c r="K50" i="48" s="1"/>
  <c r="I51" i="48"/>
  <c r="J51" i="48"/>
  <c r="K51" i="48" s="1"/>
  <c r="I52" i="48"/>
  <c r="J52" i="48"/>
  <c r="K52" i="48" s="1"/>
  <c r="I53" i="48"/>
  <c r="J53" i="48"/>
  <c r="K53" i="48" s="1"/>
  <c r="I54" i="48"/>
  <c r="J54" i="48"/>
  <c r="K54" i="48" s="1"/>
  <c r="I55" i="48"/>
  <c r="J55" i="48"/>
  <c r="I56" i="48"/>
  <c r="J56" i="48"/>
  <c r="K56" i="48" s="1"/>
  <c r="I57" i="48"/>
  <c r="J57" i="48"/>
  <c r="K57" i="48" s="1"/>
  <c r="I58" i="48"/>
  <c r="J58" i="48"/>
  <c r="K58" i="48" s="1"/>
  <c r="J38" i="48"/>
  <c r="I38" i="48"/>
  <c r="J13" i="48"/>
  <c r="J14" i="48"/>
  <c r="J15" i="48"/>
  <c r="J16" i="48"/>
  <c r="J17" i="48"/>
  <c r="J18" i="48"/>
  <c r="K18" i="48" s="1"/>
  <c r="J19" i="48"/>
  <c r="J20" i="48"/>
  <c r="J21" i="48"/>
  <c r="I13" i="48"/>
  <c r="I14" i="48"/>
  <c r="I15" i="48"/>
  <c r="K15" i="48" s="1"/>
  <c r="I16" i="48"/>
  <c r="I17" i="48"/>
  <c r="I18" i="48"/>
  <c r="I19" i="48"/>
  <c r="K19" i="48" s="1"/>
  <c r="I20" i="48"/>
  <c r="I21" i="48"/>
  <c r="K86" i="48" l="1"/>
  <c r="K85" i="48"/>
  <c r="K87" i="48"/>
  <c r="K88" i="48"/>
  <c r="K14" i="48"/>
  <c r="K21" i="48"/>
  <c r="K17" i="48"/>
  <c r="K13" i="48"/>
  <c r="K20" i="48"/>
  <c r="K16" i="48"/>
  <c r="D163" i="49" l="1"/>
  <c r="C16" i="15" s="1"/>
  <c r="F161" i="49"/>
  <c r="G161" i="49" s="1"/>
  <c r="F151" i="49"/>
  <c r="G151" i="49" s="1"/>
  <c r="I151" i="49" s="1"/>
  <c r="F149" i="49"/>
  <c r="G149" i="49" s="1"/>
  <c r="I149" i="49" s="1"/>
  <c r="D158" i="49"/>
  <c r="C14" i="15" s="1"/>
  <c r="I143" i="49"/>
  <c r="F141" i="49"/>
  <c r="G141" i="49" s="1"/>
  <c r="F140" i="49"/>
  <c r="G140" i="49" s="1"/>
  <c r="D143" i="49"/>
  <c r="C13" i="15" s="1"/>
  <c r="F134" i="49"/>
  <c r="G134" i="49" s="1"/>
  <c r="D136" i="49"/>
  <c r="C12" i="15" s="1"/>
  <c r="F94" i="49"/>
  <c r="G94" i="49" s="1"/>
  <c r="I94" i="49" s="1"/>
  <c r="F93" i="49"/>
  <c r="G93" i="49" s="1"/>
  <c r="I93" i="49" s="1"/>
  <c r="F91" i="49"/>
  <c r="G91" i="49" s="1"/>
  <c r="I91" i="49" s="1"/>
  <c r="F90" i="49"/>
  <c r="G90" i="49" s="1"/>
  <c r="I90" i="49" s="1"/>
  <c r="F88" i="49"/>
  <c r="G88" i="49" s="1"/>
  <c r="I88" i="49" s="1"/>
  <c r="F86" i="49"/>
  <c r="G86" i="49" s="1"/>
  <c r="I86" i="49" s="1"/>
  <c r="F85" i="49"/>
  <c r="G85" i="49" s="1"/>
  <c r="I85" i="49" s="1"/>
  <c r="F83" i="49"/>
  <c r="G83" i="49" s="1"/>
  <c r="I83" i="49" s="1"/>
  <c r="F82" i="49"/>
  <c r="G82" i="49" s="1"/>
  <c r="I82" i="49" s="1"/>
  <c r="F80" i="49"/>
  <c r="G80" i="49" s="1"/>
  <c r="I80" i="49" s="1"/>
  <c r="F78" i="49"/>
  <c r="G78" i="49" s="1"/>
  <c r="I78" i="49" s="1"/>
  <c r="F77" i="49"/>
  <c r="G77" i="49" s="1"/>
  <c r="I77" i="49" s="1"/>
  <c r="F75" i="49"/>
  <c r="G75" i="49" s="1"/>
  <c r="I75" i="49" s="1"/>
  <c r="F74" i="49"/>
  <c r="G74" i="49" s="1"/>
  <c r="I74" i="49" s="1"/>
  <c r="F72" i="49"/>
  <c r="G72" i="49" s="1"/>
  <c r="I72" i="49" s="1"/>
  <c r="F70" i="49"/>
  <c r="G70" i="49" s="1"/>
  <c r="I70" i="49" s="1"/>
  <c r="F69" i="49"/>
  <c r="G69" i="49" s="1"/>
  <c r="I69" i="49" s="1"/>
  <c r="F66" i="49"/>
  <c r="G66" i="49" s="1"/>
  <c r="I66" i="49" s="1"/>
  <c r="F64" i="49"/>
  <c r="G64" i="49" s="1"/>
  <c r="I64" i="49" s="1"/>
  <c r="F62" i="49"/>
  <c r="G62" i="49" s="1"/>
  <c r="I62" i="49" s="1"/>
  <c r="F61" i="49"/>
  <c r="G61" i="49" s="1"/>
  <c r="I61" i="49" s="1"/>
  <c r="F59" i="49"/>
  <c r="G59" i="49" s="1"/>
  <c r="I59" i="49" s="1"/>
  <c r="F58" i="49"/>
  <c r="G58" i="49" s="1"/>
  <c r="I58" i="49" s="1"/>
  <c r="F56" i="49"/>
  <c r="G56" i="49" s="1"/>
  <c r="I56" i="49" s="1"/>
  <c r="F54" i="49"/>
  <c r="G54" i="49" s="1"/>
  <c r="I54" i="49" s="1"/>
  <c r="F53" i="49"/>
  <c r="G53" i="49" s="1"/>
  <c r="I53" i="49" s="1"/>
  <c r="F51" i="49"/>
  <c r="G51" i="49" s="1"/>
  <c r="I51" i="49" s="1"/>
  <c r="F50" i="49"/>
  <c r="G50" i="49" s="1"/>
  <c r="I50" i="49" s="1"/>
  <c r="D43" i="49"/>
  <c r="C7" i="15" s="1"/>
  <c r="F41" i="49"/>
  <c r="F22" i="49"/>
  <c r="G22" i="49" s="1"/>
  <c r="I22" i="49" s="1"/>
  <c r="F21" i="49"/>
  <c r="G21" i="49" s="1"/>
  <c r="I21" i="49" s="1"/>
  <c r="F20" i="49"/>
  <c r="G20" i="49" s="1"/>
  <c r="I20" i="49" s="1"/>
  <c r="F19" i="49"/>
  <c r="G19" i="49" s="1"/>
  <c r="I19" i="49" s="1"/>
  <c r="F18" i="49"/>
  <c r="G18" i="49" s="1"/>
  <c r="I18" i="49" s="1"/>
  <c r="F17" i="49"/>
  <c r="G17" i="49" s="1"/>
  <c r="F16" i="49"/>
  <c r="G16" i="49" s="1"/>
  <c r="F15" i="49"/>
  <c r="G15" i="49" s="1"/>
  <c r="F14" i="49"/>
  <c r="G14" i="49" s="1"/>
  <c r="F110" i="48"/>
  <c r="G108" i="48"/>
  <c r="E110" i="48"/>
  <c r="F104" i="48"/>
  <c r="E104" i="48"/>
  <c r="F99" i="48"/>
  <c r="J97" i="48"/>
  <c r="E99" i="48"/>
  <c r="F94" i="48"/>
  <c r="G92" i="48"/>
  <c r="G90" i="48"/>
  <c r="G89" i="48"/>
  <c r="G88" i="48"/>
  <c r="M88" i="48"/>
  <c r="M87" i="48"/>
  <c r="M86" i="48"/>
  <c r="G86" i="48"/>
  <c r="G85" i="48"/>
  <c r="G78" i="48"/>
  <c r="G77" i="48"/>
  <c r="G76" i="48"/>
  <c r="G75" i="48"/>
  <c r="G74" i="48"/>
  <c r="G73" i="48"/>
  <c r="G72" i="48"/>
  <c r="G71" i="48"/>
  <c r="G70" i="48"/>
  <c r="G69" i="48"/>
  <c r="G68" i="48"/>
  <c r="G67" i="48"/>
  <c r="G66" i="48"/>
  <c r="G65" i="48"/>
  <c r="G64" i="48"/>
  <c r="G63" i="48"/>
  <c r="G62" i="48"/>
  <c r="G61" i="48"/>
  <c r="G59" i="48"/>
  <c r="G58" i="48"/>
  <c r="G57" i="48"/>
  <c r="M57" i="48"/>
  <c r="G53" i="48"/>
  <c r="G52" i="48"/>
  <c r="G48" i="48"/>
  <c r="G45" i="48"/>
  <c r="M45" i="48"/>
  <c r="G44" i="48"/>
  <c r="M44" i="48"/>
  <c r="M43" i="48"/>
  <c r="G41" i="48"/>
  <c r="M41" i="48"/>
  <c r="G40" i="48"/>
  <c r="M40" i="48"/>
  <c r="M39" i="48"/>
  <c r="G31" i="48"/>
  <c r="G30" i="48"/>
  <c r="G29" i="48"/>
  <c r="G28" i="48"/>
  <c r="G27" i="48"/>
  <c r="G26" i="48"/>
  <c r="G25" i="48"/>
  <c r="G24" i="48"/>
  <c r="G23" i="48"/>
  <c r="G22" i="48"/>
  <c r="G20" i="48"/>
  <c r="M20" i="48"/>
  <c r="G19" i="48"/>
  <c r="M18" i="48"/>
  <c r="F67" i="49" l="1"/>
  <c r="G67" i="49" s="1"/>
  <c r="I67" i="49" s="1"/>
  <c r="F52" i="49"/>
  <c r="F55" i="49"/>
  <c r="G55" i="49" s="1"/>
  <c r="I55" i="49" s="1"/>
  <c r="F57" i="49"/>
  <c r="G57" i="49" s="1"/>
  <c r="I57" i="49" s="1"/>
  <c r="F68" i="49"/>
  <c r="G68" i="49" s="1"/>
  <c r="I68" i="49" s="1"/>
  <c r="F71" i="49"/>
  <c r="G71" i="49" s="1"/>
  <c r="I71" i="49" s="1"/>
  <c r="F73" i="49"/>
  <c r="G73" i="49" s="1"/>
  <c r="I73" i="49" s="1"/>
  <c r="F84" i="49"/>
  <c r="G84" i="49" s="1"/>
  <c r="I84" i="49" s="1"/>
  <c r="F87" i="49"/>
  <c r="G87" i="49" s="1"/>
  <c r="I87" i="49" s="1"/>
  <c r="F89" i="49"/>
  <c r="G89" i="49" s="1"/>
  <c r="I89" i="49" s="1"/>
  <c r="F139" i="49"/>
  <c r="G139" i="49" s="1"/>
  <c r="G143" i="49" s="1"/>
  <c r="F49" i="49"/>
  <c r="F60" i="49"/>
  <c r="G60" i="49" s="1"/>
  <c r="I60" i="49" s="1"/>
  <c r="F63" i="49"/>
  <c r="G63" i="49" s="1"/>
  <c r="I63" i="49" s="1"/>
  <c r="F65" i="49"/>
  <c r="G65" i="49" s="1"/>
  <c r="I65" i="49" s="1"/>
  <c r="F76" i="49"/>
  <c r="G76" i="49" s="1"/>
  <c r="I76" i="49" s="1"/>
  <c r="F79" i="49"/>
  <c r="G79" i="49" s="1"/>
  <c r="I79" i="49" s="1"/>
  <c r="F81" i="49"/>
  <c r="G81" i="49" s="1"/>
  <c r="I81" i="49" s="1"/>
  <c r="F92" i="49"/>
  <c r="G92" i="49" s="1"/>
  <c r="I92" i="49" s="1"/>
  <c r="D170" i="49"/>
  <c r="C17" i="15" s="1"/>
  <c r="F148" i="49"/>
  <c r="F150" i="49"/>
  <c r="G150" i="49" s="1"/>
  <c r="I150" i="49" s="1"/>
  <c r="M21" i="48"/>
  <c r="M50" i="48"/>
  <c r="M51" i="48"/>
  <c r="M54" i="48"/>
  <c r="M55" i="48"/>
  <c r="M56" i="48"/>
  <c r="M42" i="48"/>
  <c r="M47" i="48"/>
  <c r="M46" i="48"/>
  <c r="M53" i="48"/>
  <c r="E33" i="48"/>
  <c r="M49" i="48"/>
  <c r="F80" i="48"/>
  <c r="F12" i="49"/>
  <c r="D38" i="49"/>
  <c r="I38" i="49"/>
  <c r="G41" i="49"/>
  <c r="F43" i="49"/>
  <c r="G21" i="48"/>
  <c r="F33" i="48"/>
  <c r="F112" i="48" s="1"/>
  <c r="F115" i="48" s="1"/>
  <c r="G38" i="48"/>
  <c r="G42" i="48"/>
  <c r="G46" i="48"/>
  <c r="G54" i="48"/>
  <c r="G55" i="48"/>
  <c r="F143" i="49"/>
  <c r="G14" i="48"/>
  <c r="G16" i="48"/>
  <c r="G17" i="48"/>
  <c r="M19" i="48"/>
  <c r="G18" i="48"/>
  <c r="G39" i="48"/>
  <c r="G43" i="48"/>
  <c r="G47" i="48"/>
  <c r="G49" i="48"/>
  <c r="G50" i="48"/>
  <c r="G51" i="48"/>
  <c r="G87" i="48"/>
  <c r="G94" i="48" s="1"/>
  <c r="B14" i="15" s="1"/>
  <c r="G91" i="48"/>
  <c r="G97" i="48"/>
  <c r="G99" i="48" s="1"/>
  <c r="B15" i="15" s="1"/>
  <c r="G107" i="48"/>
  <c r="G110" i="48" s="1"/>
  <c r="B17" i="15" s="1"/>
  <c r="F13" i="49"/>
  <c r="G13" i="49" s="1"/>
  <c r="G13" i="48"/>
  <c r="G15" i="48"/>
  <c r="E80" i="48"/>
  <c r="M48" i="48"/>
  <c r="G56" i="48"/>
  <c r="M58" i="48"/>
  <c r="G60" i="48"/>
  <c r="E94" i="48"/>
  <c r="I97" i="48"/>
  <c r="G102" i="48"/>
  <c r="G104" i="48" s="1"/>
  <c r="B16" i="15" s="1"/>
  <c r="G49" i="49"/>
  <c r="F131" i="49"/>
  <c r="G136" i="49"/>
  <c r="I134" i="49"/>
  <c r="I136" i="49" s="1"/>
  <c r="N5" i="49" s="1"/>
  <c r="D131" i="49"/>
  <c r="C9" i="15" s="1"/>
  <c r="F136" i="49"/>
  <c r="N2" i="49" l="1"/>
  <c r="G148" i="49"/>
  <c r="F158" i="49"/>
  <c r="G52" i="49"/>
  <c r="I52" i="49" s="1"/>
  <c r="D172" i="49"/>
  <c r="D175" i="49" s="1"/>
  <c r="C6" i="15"/>
  <c r="M85" i="48"/>
  <c r="M94" i="48" s="1"/>
  <c r="K94" i="48"/>
  <c r="P2" i="48"/>
  <c r="M38" i="48"/>
  <c r="M80" i="48" s="1"/>
  <c r="K80" i="48"/>
  <c r="K33" i="48"/>
  <c r="M52" i="48"/>
  <c r="I49" i="49"/>
  <c r="M33" i="48"/>
  <c r="G80" i="48"/>
  <c r="B9" i="15" s="1"/>
  <c r="E112" i="48"/>
  <c r="E115" i="48" s="1"/>
  <c r="G33" i="48"/>
  <c r="B6" i="15" s="1"/>
  <c r="I41" i="49"/>
  <c r="G43" i="49"/>
  <c r="F38" i="49"/>
  <c r="G12" i="49"/>
  <c r="G38" i="49" s="1"/>
  <c r="G131" i="49" l="1"/>
  <c r="N4" i="49"/>
  <c r="I131" i="49"/>
  <c r="I148" i="49"/>
  <c r="I158" i="49" s="1"/>
  <c r="G158" i="49"/>
  <c r="B18" i="15"/>
  <c r="P4" i="48"/>
  <c r="I43" i="49"/>
  <c r="N3" i="49"/>
  <c r="G112" i="48"/>
  <c r="G115" i="48" s="1"/>
  <c r="G28" i="13" l="1"/>
  <c r="A30" i="11"/>
  <c r="E39" i="8" l="1"/>
  <c r="G9" i="15" s="1"/>
  <c r="H28" i="13"/>
  <c r="J28" i="13" s="1"/>
  <c r="M7" i="15"/>
  <c r="G27" i="8" l="1"/>
  <c r="G28" i="8"/>
  <c r="H28" i="8" s="1"/>
  <c r="J28" i="8" s="1"/>
  <c r="G29" i="8"/>
  <c r="H29" i="8" s="1"/>
  <c r="J29" i="8" s="1"/>
  <c r="G30" i="8"/>
  <c r="H30" i="8" s="1"/>
  <c r="J30" i="8" s="1"/>
  <c r="G31" i="8"/>
  <c r="H31" i="8" s="1"/>
  <c r="J31" i="8" s="1"/>
  <c r="G32" i="8"/>
  <c r="H32" i="8" s="1"/>
  <c r="J32" i="8" s="1"/>
  <c r="G33" i="8"/>
  <c r="H33" i="8" s="1"/>
  <c r="J33" i="8" s="1"/>
  <c r="G13" i="8"/>
  <c r="H13" i="8" s="1"/>
  <c r="G14" i="8"/>
  <c r="H14" i="8" s="1"/>
  <c r="J14" i="8" s="1"/>
  <c r="G15" i="8"/>
  <c r="H15" i="8" s="1"/>
  <c r="J15" i="8" s="1"/>
  <c r="G16" i="8"/>
  <c r="H16" i="8" s="1"/>
  <c r="J16" i="8" s="1"/>
  <c r="G12" i="8"/>
  <c r="G39" i="8" l="1"/>
  <c r="H27" i="8"/>
  <c r="G22" i="8"/>
  <c r="H12" i="8"/>
  <c r="H22" i="8" s="1"/>
  <c r="J22" i="8"/>
  <c r="N2" i="8"/>
  <c r="G27" i="13"/>
  <c r="H27" i="13" s="1"/>
  <c r="J27" i="13" s="1"/>
  <c r="G26" i="13"/>
  <c r="G13" i="13"/>
  <c r="H13" i="13" s="1"/>
  <c r="G14" i="13"/>
  <c r="H14" i="13" s="1"/>
  <c r="G15" i="13"/>
  <c r="H15" i="13" s="1"/>
  <c r="J15" i="13" s="1"/>
  <c r="G16" i="13"/>
  <c r="H16" i="13" s="1"/>
  <c r="J16" i="13" s="1"/>
  <c r="G17" i="13"/>
  <c r="H17" i="13" s="1"/>
  <c r="J17" i="13" s="1"/>
  <c r="G12" i="13"/>
  <c r="G41" i="11"/>
  <c r="G29" i="11"/>
  <c r="H29" i="11" s="1"/>
  <c r="J29" i="11" s="1"/>
  <c r="G30" i="10"/>
  <c r="H30" i="10" s="1"/>
  <c r="J30" i="10" s="1"/>
  <c r="G31" i="10"/>
  <c r="H31" i="10" s="1"/>
  <c r="J31" i="10" s="1"/>
  <c r="G32" i="10"/>
  <c r="H32" i="10" s="1"/>
  <c r="J32" i="10" s="1"/>
  <c r="G33" i="10"/>
  <c r="H33" i="10" s="1"/>
  <c r="J33" i="10" s="1"/>
  <c r="G34" i="10"/>
  <c r="H34" i="10" s="1"/>
  <c r="J34" i="10" s="1"/>
  <c r="G35" i="10"/>
  <c r="H35" i="10" s="1"/>
  <c r="J35" i="10" s="1"/>
  <c r="G36" i="10"/>
  <c r="H36" i="10" s="1"/>
  <c r="J36" i="10" s="1"/>
  <c r="G37" i="10"/>
  <c r="H37" i="10" s="1"/>
  <c r="J37" i="10" s="1"/>
  <c r="G29" i="10"/>
  <c r="E37" i="3"/>
  <c r="E43" i="3"/>
  <c r="G28" i="3"/>
  <c r="H28" i="3" s="1"/>
  <c r="G27" i="3"/>
  <c r="H27" i="3" s="1"/>
  <c r="J27" i="3" s="1"/>
  <c r="G26" i="3"/>
  <c r="G14" i="3"/>
  <c r="H14" i="3" s="1"/>
  <c r="J14" i="3" s="1"/>
  <c r="G15" i="3"/>
  <c r="H15" i="3" s="1"/>
  <c r="J15" i="3" s="1"/>
  <c r="G13" i="3"/>
  <c r="G13" i="9" l="1"/>
  <c r="H13" i="9" s="1"/>
  <c r="J13" i="9" s="1"/>
  <c r="E16" i="9"/>
  <c r="G12" i="9"/>
  <c r="G14" i="9"/>
  <c r="H14" i="9" s="1"/>
  <c r="J14" i="9" s="1"/>
  <c r="G47" i="10"/>
  <c r="H41" i="11"/>
  <c r="G47" i="11"/>
  <c r="G33" i="13"/>
  <c r="H26" i="13"/>
  <c r="G21" i="13"/>
  <c r="H12" i="13"/>
  <c r="H21" i="13" s="1"/>
  <c r="J21" i="13"/>
  <c r="N2" i="13"/>
  <c r="H39" i="8"/>
  <c r="J27" i="8"/>
  <c r="G21" i="3"/>
  <c r="H13" i="3"/>
  <c r="E21" i="3"/>
  <c r="E45" i="3" s="1"/>
  <c r="H26" i="3"/>
  <c r="G32" i="3"/>
  <c r="G14" i="10"/>
  <c r="H14" i="10" s="1"/>
  <c r="G17" i="10"/>
  <c r="H17" i="10" s="1"/>
  <c r="J17" i="10" s="1"/>
  <c r="G13" i="10"/>
  <c r="H13" i="10" s="1"/>
  <c r="G16" i="10"/>
  <c r="H16" i="10" s="1"/>
  <c r="J16" i="10" s="1"/>
  <c r="G12" i="10"/>
  <c r="E24" i="10"/>
  <c r="G15" i="10"/>
  <c r="H15" i="10" s="1"/>
  <c r="J15" i="10" s="1"/>
  <c r="G31" i="14"/>
  <c r="H31" i="14" s="1"/>
  <c r="J31" i="14" s="1"/>
  <c r="G35" i="14"/>
  <c r="H35" i="14" s="1"/>
  <c r="J35" i="14" s="1"/>
  <c r="G34" i="14"/>
  <c r="H34" i="14" s="1"/>
  <c r="J34" i="14" s="1"/>
  <c r="H29" i="10"/>
  <c r="G13" i="11"/>
  <c r="H13" i="11" s="1"/>
  <c r="J13" i="11" s="1"/>
  <c r="G12" i="11"/>
  <c r="G24" i="11"/>
  <c r="G45" i="14"/>
  <c r="H45" i="14" s="1"/>
  <c r="J45" i="14" s="1"/>
  <c r="G11" i="14"/>
  <c r="G13" i="14"/>
  <c r="H13" i="14" s="1"/>
  <c r="G15" i="14"/>
  <c r="H15" i="14" s="1"/>
  <c r="J15" i="14" s="1"/>
  <c r="G32" i="14"/>
  <c r="H32" i="14" s="1"/>
  <c r="J32" i="14" s="1"/>
  <c r="G14" i="14"/>
  <c r="H14" i="14" s="1"/>
  <c r="J14" i="14" s="1"/>
  <c r="G12" i="14"/>
  <c r="H12" i="14" s="1"/>
  <c r="G42" i="14"/>
  <c r="H42" i="14" s="1"/>
  <c r="J42" i="14" s="1"/>
  <c r="G41" i="14"/>
  <c r="H41" i="14" s="1"/>
  <c r="J41" i="14" s="1"/>
  <c r="G38" i="14"/>
  <c r="H38" i="14" s="1"/>
  <c r="J38" i="14" s="1"/>
  <c r="G36" i="14"/>
  <c r="H36" i="14" s="1"/>
  <c r="J36" i="14" s="1"/>
  <c r="G44" i="14"/>
  <c r="H44" i="14" s="1"/>
  <c r="J44" i="14" s="1"/>
  <c r="G39" i="14"/>
  <c r="H39" i="14" s="1"/>
  <c r="J39" i="14" s="1"/>
  <c r="G37" i="14"/>
  <c r="H37" i="14" s="1"/>
  <c r="J37" i="14" s="1"/>
  <c r="G30" i="14"/>
  <c r="G43" i="14"/>
  <c r="H43" i="14" s="1"/>
  <c r="J43" i="14" s="1"/>
  <c r="G40" i="14"/>
  <c r="H40" i="14" s="1"/>
  <c r="J40" i="14" s="1"/>
  <c r="G33" i="14"/>
  <c r="H33" i="14" s="1"/>
  <c r="J33" i="14" s="1"/>
  <c r="E32" i="3"/>
  <c r="G16" i="9" l="1"/>
  <c r="H12" i="9"/>
  <c r="H16" i="9" s="1"/>
  <c r="J16" i="9"/>
  <c r="N2" i="9"/>
  <c r="J29" i="10"/>
  <c r="J47" i="10" s="1"/>
  <c r="H47" i="10"/>
  <c r="G24" i="10"/>
  <c r="G19" i="11"/>
  <c r="J41" i="11"/>
  <c r="J47" i="11" s="1"/>
  <c r="H47" i="11"/>
  <c r="H33" i="13"/>
  <c r="J26" i="13"/>
  <c r="N2" i="14"/>
  <c r="J25" i="14"/>
  <c r="H11" i="14"/>
  <c r="H25" i="14" s="1"/>
  <c r="H30" i="14"/>
  <c r="H69" i="14" s="1"/>
  <c r="G69" i="14"/>
  <c r="J39" i="8"/>
  <c r="N4" i="8"/>
  <c r="H32" i="3"/>
  <c r="J26" i="3"/>
  <c r="J32" i="3" s="1"/>
  <c r="H21" i="3"/>
  <c r="J13" i="3"/>
  <c r="J24" i="10"/>
  <c r="N2" i="10"/>
  <c r="N4" i="10"/>
  <c r="H12" i="10"/>
  <c r="J30" i="14"/>
  <c r="J69" i="14" s="1"/>
  <c r="H24" i="11"/>
  <c r="H12" i="11"/>
  <c r="H19" i="11" s="1"/>
  <c r="H24" i="10" l="1"/>
  <c r="J24" i="11"/>
  <c r="J33" i="13"/>
  <c r="N4" i="13"/>
  <c r="J21" i="3"/>
  <c r="N4" i="3"/>
  <c r="J12" i="11"/>
  <c r="J19" i="11" s="1"/>
  <c r="N4" i="14"/>
  <c r="M15" i="15" l="1"/>
  <c r="G28" i="11"/>
  <c r="H28" i="11" s="1"/>
  <c r="J28" i="11" s="1"/>
  <c r="G27" i="11"/>
  <c r="G26" i="11"/>
  <c r="H26" i="11" s="1"/>
  <c r="J26" i="11" s="1"/>
  <c r="G25" i="11"/>
  <c r="G36" i="11" l="1"/>
  <c r="H25" i="11"/>
  <c r="H27" i="11"/>
  <c r="J25" i="11" l="1"/>
  <c r="H36" i="11"/>
  <c r="J27" i="11"/>
  <c r="M2" i="11" s="1"/>
  <c r="M4" i="11"/>
  <c r="A43" i="14"/>
  <c r="A45" i="14"/>
  <c r="A56" i="14"/>
  <c r="A29" i="11"/>
  <c r="A36" i="10"/>
  <c r="A40" i="10"/>
  <c r="A19" i="3"/>
  <c r="J36" i="11" l="1"/>
  <c r="E22" i="8"/>
  <c r="G6" i="15" l="1"/>
  <c r="G18" i="15" s="1"/>
  <c r="E42" i="8"/>
  <c r="A46" i="14"/>
  <c r="A66" i="14"/>
  <c r="A62" i="14"/>
  <c r="A63" i="14"/>
  <c r="A22" i="14"/>
  <c r="A61" i="14"/>
  <c r="A31" i="14"/>
  <c r="A32" i="14"/>
  <c r="A33" i="14"/>
  <c r="A34" i="14"/>
  <c r="A35" i="14"/>
  <c r="A36" i="14"/>
  <c r="A37" i="14"/>
  <c r="A38" i="14"/>
  <c r="A39" i="14"/>
  <c r="A40" i="14"/>
  <c r="A41" i="14"/>
  <c r="A47" i="14"/>
  <c r="A52" i="14"/>
  <c r="A53" i="14"/>
  <c r="A54" i="14"/>
  <c r="A55" i="14"/>
  <c r="A57" i="14"/>
  <c r="A58" i="14"/>
  <c r="A65" i="14"/>
  <c r="A67" i="14"/>
  <c r="A30" i="14"/>
  <c r="A11" i="14"/>
  <c r="A12" i="14"/>
  <c r="A13" i="14"/>
  <c r="A14" i="14"/>
  <c r="A15" i="14"/>
  <c r="A16" i="14"/>
  <c r="A17" i="14"/>
  <c r="A18" i="14"/>
  <c r="A19" i="14"/>
  <c r="A20" i="14"/>
  <c r="A21" i="14"/>
  <c r="A26" i="13"/>
  <c r="A27" i="13"/>
  <c r="A28" i="13"/>
  <c r="A29" i="13"/>
  <c r="A31" i="13"/>
  <c r="A12" i="13"/>
  <c r="A13" i="13"/>
  <c r="A14" i="13"/>
  <c r="A15" i="13"/>
  <c r="A16" i="13"/>
  <c r="A17" i="13"/>
  <c r="A18" i="13"/>
  <c r="A19" i="13"/>
  <c r="A43" i="11"/>
  <c r="A44" i="11"/>
  <c r="A56" i="11"/>
  <c r="A55" i="11"/>
  <c r="A50" i="11"/>
  <c r="A41" i="11"/>
  <c r="A42" i="11"/>
  <c r="A45" i="11"/>
  <c r="A24" i="11"/>
  <c r="A25" i="11"/>
  <c r="A26" i="11"/>
  <c r="A27" i="11"/>
  <c r="A28" i="11"/>
  <c r="A32" i="11"/>
  <c r="A33" i="11"/>
  <c r="A34" i="11"/>
  <c r="A12" i="11"/>
  <c r="A13" i="11"/>
  <c r="A14" i="11"/>
  <c r="A17" i="11"/>
  <c r="A44" i="10"/>
  <c r="A42" i="10"/>
  <c r="A37" i="10"/>
  <c r="A22" i="10"/>
  <c r="A30" i="10"/>
  <c r="A31" i="10"/>
  <c r="A32" i="10"/>
  <c r="A33" i="10"/>
  <c r="A34" i="10"/>
  <c r="A38" i="10"/>
  <c r="A35" i="10"/>
  <c r="A39" i="10"/>
  <c r="A41" i="10"/>
  <c r="A43" i="10"/>
  <c r="A45" i="10"/>
  <c r="A29" i="10"/>
  <c r="A13" i="10"/>
  <c r="A14" i="10"/>
  <c r="A15" i="10"/>
  <c r="A16" i="10"/>
  <c r="A17" i="10"/>
  <c r="A18" i="10"/>
  <c r="A19" i="10"/>
  <c r="A20" i="10"/>
  <c r="A21" i="10"/>
  <c r="A12" i="10"/>
  <c r="A12" i="9"/>
  <c r="A14" i="9"/>
  <c r="A37" i="8"/>
  <c r="A36" i="8"/>
  <c r="A35" i="8"/>
  <c r="A34" i="8"/>
  <c r="A33" i="8"/>
  <c r="A32" i="8"/>
  <c r="A31" i="8"/>
  <c r="A30" i="8"/>
  <c r="A29" i="8"/>
  <c r="A28" i="8"/>
  <c r="A27" i="8"/>
  <c r="A12" i="8"/>
  <c r="A13" i="8"/>
  <c r="A14" i="8"/>
  <c r="A15" i="8"/>
  <c r="A16" i="8"/>
  <c r="A17" i="8"/>
  <c r="A18" i="8"/>
  <c r="A19" i="8"/>
  <c r="A20" i="8"/>
  <c r="A41" i="3"/>
  <c r="A40" i="3"/>
  <c r="A35" i="3"/>
  <c r="A27" i="3"/>
  <c r="A28" i="3"/>
  <c r="A29" i="3"/>
  <c r="A30" i="3"/>
  <c r="A26" i="3"/>
  <c r="A13" i="3"/>
  <c r="A14" i="3"/>
  <c r="A15" i="3"/>
  <c r="A16" i="3"/>
  <c r="A18" i="3"/>
  <c r="E47" i="8" l="1"/>
  <c r="G19" i="15" s="1"/>
  <c r="E45" i="8"/>
  <c r="F17" i="15"/>
  <c r="F16" i="15"/>
  <c r="F14" i="15" l="1"/>
  <c r="M8" i="15"/>
  <c r="M10" i="15"/>
  <c r="M11" i="15"/>
  <c r="M12" i="15"/>
  <c r="M13" i="15"/>
  <c r="D8" i="15"/>
  <c r="D10" i="15"/>
  <c r="D11" i="15"/>
  <c r="O10" i="15" l="1"/>
  <c r="O8" i="15"/>
  <c r="O11" i="15"/>
  <c r="F9" i="15" l="1"/>
  <c r="E48" i="3"/>
  <c r="Q8" i="15" l="1"/>
  <c r="Q10" i="15"/>
  <c r="Q11" i="15"/>
  <c r="E25" i="14" l="1"/>
  <c r="E52" i="11"/>
  <c r="J16" i="15" s="1"/>
  <c r="M16" i="15" s="1"/>
  <c r="L6" i="15" l="1"/>
  <c r="E21" i="13"/>
  <c r="K6" i="15" s="1"/>
  <c r="I6" i="15"/>
  <c r="E69" i="14"/>
  <c r="L9" i="15" s="1"/>
  <c r="E19" i="11"/>
  <c r="J6" i="15" s="1"/>
  <c r="E47" i="11"/>
  <c r="J14" i="15" s="1"/>
  <c r="M14" i="15" s="1"/>
  <c r="E58" i="11"/>
  <c r="J17" i="15" s="1"/>
  <c r="M17" i="15" s="1"/>
  <c r="E71" i="14" l="1"/>
  <c r="E76" i="14" s="1"/>
  <c r="E19" i="9"/>
  <c r="E22" i="9" s="1"/>
  <c r="H6" i="15"/>
  <c r="M6" i="15" s="1"/>
  <c r="L18" i="15"/>
  <c r="E36" i="11"/>
  <c r="J9" i="15" s="1"/>
  <c r="E47" i="10"/>
  <c r="E33" i="13"/>
  <c r="K9" i="15" s="1"/>
  <c r="I9" i="15" l="1"/>
  <c r="I18" i="15" s="1"/>
  <c r="E50" i="10"/>
  <c r="L19" i="15"/>
  <c r="E74" i="14"/>
  <c r="E36" i="13"/>
  <c r="K18" i="15"/>
  <c r="J18" i="15"/>
  <c r="E60" i="11"/>
  <c r="H18" i="15"/>
  <c r="H19" i="15" s="1"/>
  <c r="E53" i="10" l="1"/>
  <c r="E55" i="10"/>
  <c r="E39" i="13"/>
  <c r="E41" i="13"/>
  <c r="K19" i="15" s="1"/>
  <c r="E63" i="11"/>
  <c r="E65" i="11"/>
  <c r="J19" i="15" s="1"/>
  <c r="M9" i="15"/>
  <c r="I19" i="15"/>
  <c r="F18" i="15" l="1"/>
  <c r="F19" i="15" s="1"/>
  <c r="M18" i="15" l="1"/>
  <c r="D7" i="15" l="1"/>
  <c r="O7" i="15" s="1"/>
  <c r="Q7" i="15" s="1"/>
  <c r="D12" i="15"/>
  <c r="O12" i="15" s="1"/>
  <c r="Q12" i="15" s="1"/>
  <c r="D15" i="15"/>
  <c r="O15" i="15" s="1"/>
  <c r="Q15" i="15" s="1"/>
  <c r="D13" i="15" l="1"/>
  <c r="O13" i="15" s="1"/>
  <c r="Q13" i="15" s="1"/>
  <c r="D9" i="15" l="1"/>
  <c r="O9" i="15" s="1"/>
  <c r="Q9" i="15" s="1"/>
  <c r="D14" i="15"/>
  <c r="O14" i="15" s="1"/>
  <c r="Q14" i="15" s="1"/>
  <c r="D17" i="15"/>
  <c r="O17" i="15" s="1"/>
  <c r="Q17" i="15" s="1"/>
  <c r="D16" i="15"/>
  <c r="O16" i="15" s="1"/>
  <c r="Q16" i="15" s="1"/>
  <c r="C18" i="15" l="1"/>
  <c r="D6" i="15"/>
  <c r="O6" i="15" s="1"/>
  <c r="Q6" i="15" s="1"/>
  <c r="Q18" i="15" s="1"/>
  <c r="R18" i="15" s="1"/>
  <c r="D18" i="15" l="1"/>
  <c r="O18" i="15"/>
  <c r="D20" i="15" l="1"/>
  <c r="C19" i="15" l="1"/>
  <c r="B19" i="15" l="1"/>
</calcChain>
</file>

<file path=xl/comments1.xml><?xml version="1.0" encoding="utf-8"?>
<comments xmlns="http://schemas.openxmlformats.org/spreadsheetml/2006/main">
  <authors>
    <author>WCNX</author>
  </authors>
  <commentList>
    <comment ref="P5" authorId="0">
      <text>
        <r>
          <rPr>
            <b/>
            <sz val="8"/>
            <color indexed="81"/>
            <rFont val="Tahoma"/>
            <family val="2"/>
          </rPr>
          <t>WCNX:</t>
        </r>
        <r>
          <rPr>
            <sz val="8"/>
            <color indexed="81"/>
            <rFont val="Tahoma"/>
            <family val="2"/>
          </rPr>
          <t xml:space="preserve">
Link to YTD Income Statement, refresh each month to ensure you are balancing revenue on a monthly basis.</t>
        </r>
      </text>
    </comment>
  </commentList>
</comments>
</file>

<file path=xl/comments2.xml><?xml version="1.0" encoding="utf-8"?>
<comments xmlns="http://schemas.openxmlformats.org/spreadsheetml/2006/main">
  <authors>
    <author>Chelsea Paschke</author>
  </authors>
  <commentList>
    <comment ref="E37" authorId="0">
      <text>
        <r>
          <rPr>
            <b/>
            <sz val="9"/>
            <color indexed="81"/>
            <rFont val="Tahoma"/>
            <family val="2"/>
          </rPr>
          <t>Chelsea Paschke:</t>
        </r>
        <r>
          <rPr>
            <sz val="9"/>
            <color indexed="81"/>
            <rFont val="Tahoma"/>
            <family val="2"/>
          </rPr>
          <t xml:space="preserve">
reverse out for revenue calc
</t>
        </r>
      </text>
    </comment>
  </commentList>
</comments>
</file>

<file path=xl/sharedStrings.xml><?xml version="1.0" encoding="utf-8"?>
<sst xmlns="http://schemas.openxmlformats.org/spreadsheetml/2006/main" count="1060" uniqueCount="354">
  <si>
    <t>Total</t>
  </si>
  <si>
    <t>Service Code</t>
  </si>
  <si>
    <t>Service Code Description</t>
  </si>
  <si>
    <t>Rate</t>
  </si>
  <si>
    <t>Revenue</t>
  </si>
  <si>
    <t>Customers</t>
  </si>
  <si>
    <t>RESIDENTIAL SERVICES</t>
  </si>
  <si>
    <t>RESIDENTIAL GARBAGE</t>
  </si>
  <si>
    <t>TOTAL RESIDENTIAL GARBAGE</t>
  </si>
  <si>
    <t>COMMERCIAL SERVICES</t>
  </si>
  <si>
    <t>COMMERCIAL GARBAGE</t>
  </si>
  <si>
    <t>TOTAL COMMERCIAL GARBAGE</t>
  </si>
  <si>
    <t>DROP BOX SERVICES</t>
  </si>
  <si>
    <t>DROP BOX HAULS/RENTAL</t>
  </si>
  <si>
    <t>TOTAL DROP BOX HAULS/RENTAL</t>
  </si>
  <si>
    <t>PASSTHROUGH DISPOSAL</t>
  </si>
  <si>
    <t>TOTAL PASSTHROUGH DISPOSAL</t>
  </si>
  <si>
    <t>Service Charges</t>
  </si>
  <si>
    <t>FINCHG</t>
  </si>
  <si>
    <t>FINANCE CHARGE</t>
  </si>
  <si>
    <t>TOTAL SERVICE CHARGES</t>
  </si>
  <si>
    <t>TOTAL REVENUE</t>
  </si>
  <si>
    <t>Empire Disposal Inc.</t>
  </si>
  <si>
    <t>RL020.0G1W001</t>
  </si>
  <si>
    <t>RL 20 GL 1X WK 1</t>
  </si>
  <si>
    <t>RL032.0G1M001</t>
  </si>
  <si>
    <t>RL 32 GL 1X MO 1</t>
  </si>
  <si>
    <t>RL032.0G1W001</t>
  </si>
  <si>
    <t>RL 32 GL 1X WK 1</t>
  </si>
  <si>
    <t>RL032.0G1W002</t>
  </si>
  <si>
    <t>RL 32 GL 1X WK 2</t>
  </si>
  <si>
    <t>RL032.0G1W003</t>
  </si>
  <si>
    <t>RL 32 GL 1X WK 3</t>
  </si>
  <si>
    <t>RL065.0G1W001</t>
  </si>
  <si>
    <t>RL 65 GL 1X WK 1</t>
  </si>
  <si>
    <t>RL065.0G1W002</t>
  </si>
  <si>
    <t>RL 65 GL 1X WK 2</t>
  </si>
  <si>
    <t>RL090.0G1W001</t>
  </si>
  <si>
    <t>RL 90 GL 1X WK 1</t>
  </si>
  <si>
    <t>RL090.0G1W002</t>
  </si>
  <si>
    <t>RL 90 GL 1X WK 2</t>
  </si>
  <si>
    <t>RL090.0G1W003</t>
  </si>
  <si>
    <t>RL 90 GL 1X WK 3</t>
  </si>
  <si>
    <t>RL32R-OC</t>
  </si>
  <si>
    <t>1 RL 32 GL ON CALL-RES</t>
  </si>
  <si>
    <t>EXTRA-RES</t>
  </si>
  <si>
    <t>EXTRA CAN, BAG, BOX-RES</t>
  </si>
  <si>
    <t>EXTRYDG-RES</t>
  </si>
  <si>
    <t>EXTRA YARDAGE - RES</t>
  </si>
  <si>
    <t>BULKY-RES</t>
  </si>
  <si>
    <t>BULKY ITEM PICK UP-RES</t>
  </si>
  <si>
    <t>OS-RES</t>
  </si>
  <si>
    <t>OVERSIZE CAN - RES</t>
  </si>
  <si>
    <t>OW-RES</t>
  </si>
  <si>
    <t>OVERFILL/WEIGHT CAN-RES</t>
  </si>
  <si>
    <t>DIST-RES</t>
  </si>
  <si>
    <t>DISTANCE FEE - RES</t>
  </si>
  <si>
    <t>REDEL-RES</t>
  </si>
  <si>
    <t>REDELIVERY FEE - RES</t>
  </si>
  <si>
    <t>REINSTATE-RES</t>
  </si>
  <si>
    <t>REINSTATE FEE - RES</t>
  </si>
  <si>
    <t>RL001.0Y1W001</t>
  </si>
  <si>
    <t>RL 1 YD 1X WK 1</t>
  </si>
  <si>
    <t>RL001.5Y1W001</t>
  </si>
  <si>
    <t>RL 1.5 YD 1X WK 1</t>
  </si>
  <si>
    <t>RL001.5Y1W002</t>
  </si>
  <si>
    <t>RL 1.5 YD 1X WK 2</t>
  </si>
  <si>
    <t>RL002.0Y1W001</t>
  </si>
  <si>
    <t>RL 2 YD 1X WK 1</t>
  </si>
  <si>
    <t>RL003.0Y1W001</t>
  </si>
  <si>
    <t>RL 3 YD 1X WK 1</t>
  </si>
  <si>
    <t>RL003.0Y1W002</t>
  </si>
  <si>
    <t>RL 3 YD 1X WK 2</t>
  </si>
  <si>
    <t>RL004.0Y1W001</t>
  </si>
  <si>
    <t>RL 4 YD 1X WK 1</t>
  </si>
  <si>
    <t>RL004.0Y1W002</t>
  </si>
  <si>
    <t>RL 4 YD 1X WK 2</t>
  </si>
  <si>
    <t>RL006.0Y1W001</t>
  </si>
  <si>
    <t>RL 6 YD 1X WK 1</t>
  </si>
  <si>
    <t>RL006.0Y1W002</t>
  </si>
  <si>
    <t>RL 6 YD 1X WK 2</t>
  </si>
  <si>
    <t>RL032.0G1W001COMM</t>
  </si>
  <si>
    <t>RL 32 GL 1X WK COMM 1</t>
  </si>
  <si>
    <t>RL032.0G1W002COMM</t>
  </si>
  <si>
    <t>RL 32 GL 1X WK COMM 2</t>
  </si>
  <si>
    <t>RL065.0G1W001COMM</t>
  </si>
  <si>
    <t>RL 65 GL 1X WK COMM 1</t>
  </si>
  <si>
    <t>RL090.0G1W001COMM</t>
  </si>
  <si>
    <t>RL 90 GL 1X WK COMM 1</t>
  </si>
  <si>
    <t>RL090.0G1W002COMM</t>
  </si>
  <si>
    <t>RL 90 GL 1X WK COMM 2</t>
  </si>
  <si>
    <t>RL1.5C-OC</t>
  </si>
  <si>
    <t>1 RL 1.5 YD ON CALL-COMM</t>
  </si>
  <si>
    <t>RL1.5TC-COMM</t>
  </si>
  <si>
    <t>RL TEMPORARY 1.5 YD-COMM</t>
  </si>
  <si>
    <t>RL2TC-COMM</t>
  </si>
  <si>
    <t>RL TEMPORARY 2 YD-COMM</t>
  </si>
  <si>
    <t>RL32C-OC</t>
  </si>
  <si>
    <t>1 RL 32 GL ON CALL - COMM</t>
  </si>
  <si>
    <t>RL3TC-COMM</t>
  </si>
  <si>
    <t>RL TEMPORARY 3 YD - COMM</t>
  </si>
  <si>
    <t>RL4C-OC</t>
  </si>
  <si>
    <t>1 RL 4 YD ON CALL-COMM</t>
  </si>
  <si>
    <t>RL4TC-COMM</t>
  </si>
  <si>
    <t>RL TEMPORARY 4 YD-COMM</t>
  </si>
  <si>
    <t>EXTRA-COMM</t>
  </si>
  <si>
    <t>EXTRA CAN, BAG, BOX-COMM</t>
  </si>
  <si>
    <t>EXTRAYDG-COMM</t>
  </si>
  <si>
    <t>EXTRA YARDAGE - COMM</t>
  </si>
  <si>
    <t>RENT1.5-COMM</t>
  </si>
  <si>
    <t>RENTAL FEE 1.5 YD COMM</t>
  </si>
  <si>
    <t>RENT1.5TEMP-COMM</t>
  </si>
  <si>
    <t xml:space="preserve">RENTAL FEE 1.5 YD TEMP - </t>
  </si>
  <si>
    <t>RENT1-COMM</t>
  </si>
  <si>
    <t>RENTAL FEE 1 YD COMM MA</t>
  </si>
  <si>
    <t>RENT2-COMM</t>
  </si>
  <si>
    <t>RENTAL FEE 2 YD COMM</t>
  </si>
  <si>
    <t>RENT2TEMP-COMM</t>
  </si>
  <si>
    <t>RENTAL FEE 2 YD TEMP - COMM</t>
  </si>
  <si>
    <t>RENT3-COMM</t>
  </si>
  <si>
    <t>RENTAL FEE 3 YD COMM</t>
  </si>
  <si>
    <t>RENT4-COMM</t>
  </si>
  <si>
    <t>RENTAL FEE 4 YD COMM</t>
  </si>
  <si>
    <t>RENT4TEMP-COMM</t>
  </si>
  <si>
    <t>RENTAL FEE 4YD TEMP - COM</t>
  </si>
  <si>
    <t>RENT6-COMM</t>
  </si>
  <si>
    <t>RENTAL FEE 6 YD COMM</t>
  </si>
  <si>
    <t>DELTEMP-COMM</t>
  </si>
  <si>
    <t>DELIVERY FEE TEMP-COMM</t>
  </si>
  <si>
    <t>DIST-COM</t>
  </si>
  <si>
    <t>DISTANCE FEE - COMM</t>
  </si>
  <si>
    <t>REINSTATE-COMM</t>
  </si>
  <si>
    <t>REINSTATE FEE - COMM</t>
  </si>
  <si>
    <t>HAUL25-RO</t>
  </si>
  <si>
    <t>HAUL 25 YD - RO</t>
  </si>
  <si>
    <t>HAUL25TEMP-RO</t>
  </si>
  <si>
    <t>HAUL 25 YD TEMP - RO</t>
  </si>
  <si>
    <t>HAUL40TEMP-RO</t>
  </si>
  <si>
    <t>HAUL 40 YD TEMP - RO</t>
  </si>
  <si>
    <t>HAUL-CP</t>
  </si>
  <si>
    <t>COMPACTOR HAUL - RO</t>
  </si>
  <si>
    <t>RENT25MO-RO</t>
  </si>
  <si>
    <t>RENTAL FEE 25YD MONTHLY</t>
  </si>
  <si>
    <t>RENT40MO-RO</t>
  </si>
  <si>
    <t>RENTAL FEE 40 YD MONTHLY</t>
  </si>
  <si>
    <t>DEL-RO</t>
  </si>
  <si>
    <t>DELIVERY FEE - RO</t>
  </si>
  <si>
    <t>MILE-RO</t>
  </si>
  <si>
    <t>MILEAGE FEE - RO</t>
  </si>
  <si>
    <t>HAULREC-RO</t>
  </si>
  <si>
    <t>HAUL RECYCLE - RO</t>
  </si>
  <si>
    <t>DISP-RO</t>
  </si>
  <si>
    <t>DISPOSAL CHARGE - RO</t>
  </si>
  <si>
    <t>RETCKC</t>
  </si>
  <si>
    <t>RETURN CHECK CHARGE</t>
  </si>
  <si>
    <t>RL032.0G1W004</t>
  </si>
  <si>
    <t>RL 32 GL 1X WK 4</t>
  </si>
  <si>
    <t>RL065.0G1W003</t>
  </si>
  <si>
    <t>RL 65 GL 1X WK 3</t>
  </si>
  <si>
    <t>RL90R-OC</t>
  </si>
  <si>
    <t>RL 90 GL ON CALL - RES</t>
  </si>
  <si>
    <t>RRECWGBG</t>
  </si>
  <si>
    <t>RESI RECYCLE WITH GARBAGE</t>
  </si>
  <si>
    <t>RL001.0Y3W001</t>
  </si>
  <si>
    <t>RL 1 YD 3X WK 1</t>
  </si>
  <si>
    <t>RL001.5Y1M001</t>
  </si>
  <si>
    <t>RL 1.5 YD 1X MO 1</t>
  </si>
  <si>
    <t>RL001.5Y1W003</t>
  </si>
  <si>
    <t>RL 1.5 YD 1X WK 3</t>
  </si>
  <si>
    <t>RL001.5Y2W001</t>
  </si>
  <si>
    <t>RL 1.5 YD 2X WK 1</t>
  </si>
  <si>
    <t>RL001.5Y3W001</t>
  </si>
  <si>
    <t>RL 1.5 YD 3X WK 1</t>
  </si>
  <si>
    <t>RL002.0Y1M001</t>
  </si>
  <si>
    <t>RL 2 YD 1X MO 1</t>
  </si>
  <si>
    <t>RL002.0Y2W001</t>
  </si>
  <si>
    <t>RL 2 YD 2X WK 1</t>
  </si>
  <si>
    <t>RL002.0Y3W001</t>
  </si>
  <si>
    <t>RL 2 YD 3X WK 1</t>
  </si>
  <si>
    <t>RL003.0Y2W001</t>
  </si>
  <si>
    <t>RL 3 YD 2X WK 1</t>
  </si>
  <si>
    <t>RL003.0Y3W001</t>
  </si>
  <si>
    <t>RL 3 YD 3X WK 1</t>
  </si>
  <si>
    <t>RL003.0Y3W002</t>
  </si>
  <si>
    <t>RL 3 YD 3X WK 2</t>
  </si>
  <si>
    <t>RL004.0Y3W001</t>
  </si>
  <si>
    <t>RL 4 YD 3X WK 1</t>
  </si>
  <si>
    <t>RL004.0Y4W001</t>
  </si>
  <si>
    <t>RL 4 YD 4X WK 1</t>
  </si>
  <si>
    <t>RL006.0Y2W001</t>
  </si>
  <si>
    <t>RL 6 YD 2X WK 1</t>
  </si>
  <si>
    <t>RL006.0Y4W001</t>
  </si>
  <si>
    <t>RL 6 YD 4X WK 1</t>
  </si>
  <si>
    <t>RL008.0Y1W001</t>
  </si>
  <si>
    <t>RL 8 YD 1X WK 1</t>
  </si>
  <si>
    <t>RL008.0Y2W001</t>
  </si>
  <si>
    <t>RL 8 YD 2X WK 1</t>
  </si>
  <si>
    <t>RL065.0G1W005COMM</t>
  </si>
  <si>
    <t>RL 65 GL 1X WK COMM 5</t>
  </si>
  <si>
    <t>RL090.0G2W001COMM</t>
  </si>
  <si>
    <t>RL 90 GL 2X WK COMM 1</t>
  </si>
  <si>
    <t>RL090.0G2W004COMM</t>
  </si>
  <si>
    <t>RL 90 GL 2X WK COMM 4</t>
  </si>
  <si>
    <t>RL1C-OC</t>
  </si>
  <si>
    <t>1 RL 1 YD ON CALL-COMM</t>
  </si>
  <si>
    <t>RL1TC-COMM</t>
  </si>
  <si>
    <t>RL TEMPORARY 1 YD-COMM</t>
  </si>
  <si>
    <t>RL2C-OC</t>
  </si>
  <si>
    <t>1 RL 2 YD ON CALL-COMM</t>
  </si>
  <si>
    <t>RL3C-OC</t>
  </si>
  <si>
    <t>1 RL 3 YD ON CALL-COMM</t>
  </si>
  <si>
    <t>RL90C-OC</t>
  </si>
  <si>
    <t>1 RL 90 GL ON CALL-COMM</t>
  </si>
  <si>
    <t>RENT1TEMP-COMM</t>
  </si>
  <si>
    <t>RENTAL FEE 1 YD TEMP - COMM</t>
  </si>
  <si>
    <t>RENT3TEMP-COMM</t>
  </si>
  <si>
    <t>RENTAL FEE 3 YD TEMP - CO</t>
  </si>
  <si>
    <t>RENT8-COMM</t>
  </si>
  <si>
    <t>RENTAL FEE 8 YD COMM</t>
  </si>
  <si>
    <t>HAULMED-COMM</t>
  </si>
  <si>
    <t>MEDICAL WASTE SERVICE - COMM</t>
  </si>
  <si>
    <t>OS-COMM</t>
  </si>
  <si>
    <t>OVERSIZE CAN - COMM</t>
  </si>
  <si>
    <t>OW-COMM</t>
  </si>
  <si>
    <t>OVERFILL/WEIGHT CAN-COMM</t>
  </si>
  <si>
    <t>ROLL-COMM</t>
  </si>
  <si>
    <t>ROLL OUT CHARGE - COMM</t>
  </si>
  <si>
    <t>UNLCKC</t>
  </si>
  <si>
    <t>UNLOCKING FEE - COMM</t>
  </si>
  <si>
    <t>RECCOMSVC1W001</t>
  </si>
  <si>
    <t>COMMERCIAL RECYCLE WEEKLY</t>
  </si>
  <si>
    <t>HAUL40-RO</t>
  </si>
  <si>
    <t>HAUL 40 YD - RO</t>
  </si>
  <si>
    <t>RL001.0Y1W002</t>
  </si>
  <si>
    <t>RL 1 YD 1X WK 2</t>
  </si>
  <si>
    <t>RL003.0Y1W004</t>
  </si>
  <si>
    <t>RL 3 YD 1X WK 4</t>
  </si>
  <si>
    <t>FUEL-COMM</t>
  </si>
  <si>
    <t>FUEL &amp; MATERIAL SURCHARGE - COMM</t>
  </si>
  <si>
    <t>Army Corps Non-Regulated - Price Out</t>
  </si>
  <si>
    <t>Harrington Non-Regulated - Price Out</t>
  </si>
  <si>
    <t>Latah Co Non-Regulated - Price Out</t>
  </si>
  <si>
    <t>Rockford Non-Regulated - Price Out</t>
  </si>
  <si>
    <t>Spangle Non-Regulated - Price Out</t>
  </si>
  <si>
    <t>Starbuck Non-Regulated - Price Out</t>
  </si>
  <si>
    <t>Tekoa Co. Non-Regulated - Price Out</t>
  </si>
  <si>
    <t>Commercial Recycling</t>
  </si>
  <si>
    <t>PER GL</t>
  </si>
  <si>
    <t>Difference</t>
  </si>
  <si>
    <t>Resi MSW</t>
  </si>
  <si>
    <t>Resi Recycle</t>
  </si>
  <si>
    <t>YW</t>
  </si>
  <si>
    <t>Comm MSW</t>
  </si>
  <si>
    <t>MF MSW</t>
  </si>
  <si>
    <t>MF Recycling</t>
  </si>
  <si>
    <t>Roll Off MSW</t>
  </si>
  <si>
    <t>Roll Off Recycling</t>
  </si>
  <si>
    <t>Pass-Through</t>
  </si>
  <si>
    <t>Empire Disposal, Inc.</t>
  </si>
  <si>
    <t>Spokane Co. Reg</t>
  </si>
  <si>
    <t>Whitman Co. Reg</t>
  </si>
  <si>
    <t>Army Corps</t>
  </si>
  <si>
    <t>Harrington</t>
  </si>
  <si>
    <t>Latah Co.</t>
  </si>
  <si>
    <t>Rockford</t>
  </si>
  <si>
    <t>Spangle</t>
  </si>
  <si>
    <t>Starbuck</t>
  </si>
  <si>
    <t>Tekoa</t>
  </si>
  <si>
    <t>DISP-COMM</t>
  </si>
  <si>
    <t>DISPOSAL FEE - COMM</t>
  </si>
  <si>
    <t>ADMINFEE-COMM</t>
  </si>
  <si>
    <t>ADMIN FEE - COMM</t>
  </si>
  <si>
    <t>TRIP1-COMM</t>
  </si>
  <si>
    <t>TRIP FEE - COMM</t>
  </si>
  <si>
    <t>TRIP-RES</t>
  </si>
  <si>
    <t>TRIP FEE - RES</t>
  </si>
  <si>
    <t>RL065.0G1W002COMM</t>
  </si>
  <si>
    <t>TIME-RES</t>
  </si>
  <si>
    <t>REDEL-COMM</t>
  </si>
  <si>
    <t>RL 65 GL 1X WK COMM 2</t>
  </si>
  <si>
    <t>REDELIVERY FEE - COMM</t>
  </si>
  <si>
    <t>TIME FEE 1 - RES</t>
  </si>
  <si>
    <t>Booked to RO</t>
  </si>
  <si>
    <t>Booked to Comm</t>
  </si>
  <si>
    <t>Booked to Resi</t>
  </si>
  <si>
    <t>Grand Total</t>
  </si>
  <si>
    <t>Med Waste</t>
  </si>
  <si>
    <t>Reg Total</t>
  </si>
  <si>
    <t>Non Reg Total</t>
  </si>
  <si>
    <t>ADJ-RES</t>
  </si>
  <si>
    <t>ADJUSTMENT RESIDENTIAL</t>
  </si>
  <si>
    <t>Containers</t>
  </si>
  <si>
    <t>Garbage Carts</t>
  </si>
  <si>
    <t>Recycling Carts</t>
  </si>
  <si>
    <t>Note:  Revenue below is from the datailed billing system records, and connot be linked.</t>
  </si>
  <si>
    <t>MM001</t>
  </si>
  <si>
    <t xml:space="preserve">DRIVEIN1-COMM </t>
  </si>
  <si>
    <t>DRIVE IN 125-250' - COMM</t>
  </si>
  <si>
    <t>RL006.0Y5W001</t>
  </si>
  <si>
    <t>RL 6 YD 5X WEEK</t>
  </si>
  <si>
    <t>DRIVEIN1-RES</t>
  </si>
  <si>
    <t xml:space="preserve">DRIVE IN 125-250' - RES </t>
  </si>
  <si>
    <t>WI1-RES</t>
  </si>
  <si>
    <t>WALK IN 5-25 FT - RES</t>
  </si>
  <si>
    <t>RL001.0Y1M001</t>
  </si>
  <si>
    <t>RL 1 YD 1X MO 1</t>
  </si>
  <si>
    <t>ADJ-FIN</t>
  </si>
  <si>
    <t>ADJUSTMENT FINANCE CHARGE</t>
  </si>
  <si>
    <t>RL032.0G1W003COMM</t>
  </si>
  <si>
    <t>RL 32 GL 1X WK COMM 3</t>
  </si>
  <si>
    <t>PUREDEL1-COMM</t>
  </si>
  <si>
    <t>PU/REDEL UP TO 8 YDS - COMM</t>
  </si>
  <si>
    <t>Check</t>
  </si>
  <si>
    <t>RL6C-OC</t>
  </si>
  <si>
    <t>1 RL 6 YD ON CALL - COMM</t>
  </si>
  <si>
    <t>DAMAGE-COMM</t>
  </si>
  <si>
    <t>DAMAGE - COMM</t>
  </si>
  <si>
    <t>Contract</t>
  </si>
  <si>
    <t>Revenue Summary &amp; GL Recon - 2017</t>
  </si>
  <si>
    <t>Notes</t>
  </si>
  <si>
    <t>RL 4 YD 2X WK 1</t>
  </si>
  <si>
    <t>RL004.0Y2W001</t>
  </si>
  <si>
    <t>MED WASTE ADDL CONT 6+</t>
  </si>
  <si>
    <t>HAULMEDADDL6-COMM</t>
  </si>
  <si>
    <t>MED WASTE ADDL CONT 2-5</t>
  </si>
  <si>
    <t>HAULMEDADDL-COMM</t>
  </si>
  <si>
    <t>CONT CLEAN 1 YD - COMM</t>
  </si>
  <si>
    <t>CLEAN1YD-COMM</t>
  </si>
  <si>
    <t>8 YD ON CALL - COMM</t>
  </si>
  <si>
    <t>RL8C-OC</t>
  </si>
  <si>
    <t>per Month</t>
  </si>
  <si>
    <t>Avg Cust</t>
  </si>
  <si>
    <t>To Revenue Summary</t>
  </si>
  <si>
    <t>Units</t>
  </si>
  <si>
    <t>BILL AREAS: SPOKANE CO., TOWN OF LATAH</t>
  </si>
  <si>
    <t>Spokane Co. Regulated - Price Out</t>
  </si>
  <si>
    <t>Jan 17 - March 17</t>
  </si>
  <si>
    <t>April 17 - Dec 17</t>
  </si>
  <si>
    <t xml:space="preserve">Avg Cust </t>
  </si>
  <si>
    <t>DROP BOX RECYLING</t>
  </si>
  <si>
    <t>DROP BOX RECYLING (NON-REG)</t>
  </si>
  <si>
    <t>TOTAL DROP BOX RECYCLING</t>
  </si>
  <si>
    <t>pass</t>
  </si>
  <si>
    <t>BILL AREAS: ALBION, COLFAX, MALDEN, OAKESDALE, PALOUSE, UNIONTOWN, WHITMAN COUNTY</t>
  </si>
  <si>
    <t>Whitman Co. Regulated - Price Out</t>
  </si>
  <si>
    <t>RESIDENTIAL RECYCLING</t>
  </si>
  <si>
    <t>TOTAL RESIDENTIAL RECYCLING</t>
  </si>
  <si>
    <t>COMMERCIAL RECYCLING</t>
  </si>
  <si>
    <t>COMMERCIAL RECYCLING (NON-REG)</t>
  </si>
  <si>
    <t>TOTAL COMMERCIAL RECYCLING</t>
  </si>
  <si>
    <t>MEDICAL WASTE</t>
  </si>
  <si>
    <t>TOTAL MEDICAL WASTE</t>
  </si>
  <si>
    <t xml:space="preserve">TOTAL DROP BOX </t>
  </si>
  <si>
    <t>Missing Goodwill and Damage entries, see REV by Area 2017 Tab.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</si>
</sst>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&quot;$&quot;#,##0\ ;\(&quot;$&quot;#,##0\)"/>
    <numFmt numFmtId="168" formatCode="General_)"/>
    <numFmt numFmtId="169" formatCode="mm\-yy;\-0;;@"/>
    <numFmt numFmtId="170" formatCode=".00#####;\-.00####;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indexed="5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0"/>
      <name val="Times New Roman"/>
      <family val="1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1"/>
      <name val="Calibri"/>
      <family val="2"/>
    </font>
    <font>
      <sz val="11"/>
      <color indexed="61"/>
      <name val="Calibri"/>
      <family val="2"/>
    </font>
    <font>
      <sz val="12"/>
      <name val="Arial MT"/>
    </font>
    <font>
      <b/>
      <u/>
      <sz val="11"/>
      <name val="Arial"/>
      <family val="2"/>
    </font>
    <font>
      <b/>
      <sz val="18"/>
      <color indexed="61"/>
      <name val="Cambria"/>
      <family val="2"/>
    </font>
    <font>
      <sz val="11"/>
      <color indexed="10"/>
      <name val="Calibri"/>
      <family val="2"/>
    </font>
    <font>
      <b/>
      <i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b/>
      <sz val="9.5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3366FF"/>
      <name val="Calibri"/>
      <family val="2"/>
      <scheme val="minor"/>
    </font>
    <font>
      <b/>
      <sz val="10"/>
      <color indexed="10"/>
      <name val="Arial"/>
      <family val="2"/>
    </font>
    <font>
      <b/>
      <sz val="12"/>
      <color indexed="12"/>
      <name val="Times New Roman"/>
      <family val="1"/>
    </font>
    <font>
      <b/>
      <sz val="11"/>
      <color indexed="51"/>
      <name val="Calibri"/>
      <family val="2"/>
    </font>
    <font>
      <b/>
      <sz val="11"/>
      <color indexed="10"/>
      <name val="Calibri"/>
      <family val="2"/>
    </font>
    <font>
      <b/>
      <sz val="11"/>
      <color indexed="18"/>
      <name val="Britannic Bold"/>
      <family val="2"/>
    </font>
    <font>
      <sz val="12"/>
      <name val="CG Omega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u/>
      <sz val="10"/>
      <name val="Arial"/>
      <family val="2"/>
    </font>
    <font>
      <u/>
      <sz val="9.35"/>
      <color theme="10"/>
      <name val="Calibri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sz val="11"/>
      <color indexed="19"/>
      <name val="Calibri"/>
      <family val="2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sz val="8"/>
      <color indexed="56"/>
      <name val="Arial"/>
      <family val="2"/>
    </font>
    <font>
      <b/>
      <sz val="10"/>
      <name val="Times New Roman"/>
      <family val="1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10"/>
      <color indexed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48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5"/>
      </patternFill>
    </fill>
    <fill>
      <patternFill patternType="solid">
        <fgColor indexed="42"/>
        <bgColor indexed="29"/>
      </patternFill>
    </fill>
    <fill>
      <patternFill patternType="mediumGray">
        <fgColor indexed="22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744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44" fontId="12" fillId="0" borderId="0" applyFon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7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41" fontId="9" fillId="0" borderId="0"/>
    <xf numFmtId="0" fontId="16" fillId="13" borderId="0" applyNumberFormat="0" applyBorder="0" applyAlignment="0" applyProtection="0"/>
    <xf numFmtId="3" fontId="9" fillId="0" borderId="0"/>
    <xf numFmtId="0" fontId="17" fillId="14" borderId="2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" fontId="18" fillId="0" borderId="0"/>
    <xf numFmtId="0" fontId="19" fillId="0" borderId="0"/>
    <xf numFmtId="0" fontId="19" fillId="0" borderId="0"/>
    <xf numFmtId="0" fontId="20" fillId="15" borderId="3" applyAlignment="0">
      <alignment horizontal="right"/>
      <protection locked="0"/>
    </xf>
    <xf numFmtId="44" fontId="2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2" fillId="16" borderId="0">
      <alignment horizontal="right"/>
      <protection locked="0"/>
    </xf>
    <xf numFmtId="2" fontId="22" fillId="16" borderId="0">
      <alignment horizontal="right"/>
      <protection locked="0"/>
    </xf>
    <xf numFmtId="0" fontId="23" fillId="17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3" fontId="29" fillId="18" borderId="0">
      <protection locked="0"/>
    </xf>
    <xf numFmtId="4" fontId="29" fillId="18" borderId="0">
      <protection locked="0"/>
    </xf>
    <xf numFmtId="0" fontId="30" fillId="0" borderId="7" applyNumberFormat="0" applyFill="0" applyAlignment="0" applyProtection="0"/>
    <xf numFmtId="0" fontId="31" fillId="7" borderId="0" applyNumberFormat="0" applyBorder="0" applyAlignment="0" applyProtection="0"/>
    <xf numFmtId="43" fontId="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19" borderId="8" applyNumberFormat="0" applyFont="0" applyAlignment="0" applyProtection="0"/>
    <xf numFmtId="165" fontId="33" fillId="0" borderId="0" applyNumberFormat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0" fontId="9" fillId="0" borderId="0"/>
    <xf numFmtId="0" fontId="34" fillId="0" borderId="0" applyNumberFormat="0" applyFont="0" applyFill="0" applyBorder="0" applyAlignment="0" applyProtection="0">
      <alignment horizontal="left"/>
    </xf>
    <xf numFmtId="0" fontId="35" fillId="0" borderId="9">
      <alignment horizontal="center"/>
    </xf>
    <xf numFmtId="0" fontId="18" fillId="0" borderId="0">
      <alignment vertical="top"/>
    </xf>
    <xf numFmtId="0" fontId="18" fillId="0" borderId="0" applyNumberFormat="0" applyBorder="0" applyAlignment="0"/>
    <xf numFmtId="0" fontId="36" fillId="0" borderId="10" applyNumberFormat="0" applyFill="0" applyAlignment="0" applyProtection="0"/>
    <xf numFmtId="9" fontId="1" fillId="0" borderId="0" applyFont="0" applyFill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19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21" borderId="0" applyNumberFormat="0" applyBorder="0" applyAlignment="0" applyProtection="0"/>
    <xf numFmtId="0" fontId="12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9" borderId="0" applyNumberFormat="0" applyBorder="0" applyAlignment="0" applyProtection="0"/>
    <xf numFmtId="0" fontId="15" fillId="27" borderId="0" applyNumberFormat="0" applyBorder="0" applyAlignment="0" applyProtection="0"/>
    <xf numFmtId="0" fontId="15" fillId="12" borderId="0" applyNumberFormat="0" applyBorder="0" applyAlignment="0" applyProtection="0"/>
    <xf numFmtId="0" fontId="15" fillId="28" borderId="0" applyNumberFormat="0" applyBorder="0" applyAlignment="0" applyProtection="0"/>
    <xf numFmtId="41" fontId="9" fillId="0" borderId="0"/>
    <xf numFmtId="41" fontId="9" fillId="0" borderId="0"/>
    <xf numFmtId="41" fontId="9" fillId="0" borderId="0"/>
    <xf numFmtId="3" fontId="9" fillId="0" borderId="0"/>
    <xf numFmtId="3" fontId="9" fillId="0" borderId="0"/>
    <xf numFmtId="3" fontId="9" fillId="0" borderId="0"/>
    <xf numFmtId="0" fontId="17" fillId="5" borderId="2" applyNumberFormat="0" applyAlignment="0" applyProtection="0"/>
    <xf numFmtId="0" fontId="38" fillId="29" borderId="12" applyNumberFormat="0" applyAlignment="0" applyProtection="0"/>
    <xf numFmtId="0" fontId="9" fillId="30" borderId="0">
      <alignment horizontal="center"/>
    </xf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2" fillId="0" borderId="0" applyFont="0" applyFill="0" applyBorder="0" applyAlignment="0" applyProtection="0"/>
    <xf numFmtId="14" fontId="9" fillId="0" borderId="0"/>
    <xf numFmtId="0" fontId="40" fillId="0" borderId="0" applyNumberFormat="0" applyFill="0" applyBorder="0" applyAlignment="0" applyProtection="0"/>
    <xf numFmtId="1" fontId="9" fillId="0" borderId="0">
      <alignment horizontal="center"/>
    </xf>
    <xf numFmtId="0" fontId="41" fillId="0" borderId="13" applyNumberFormat="0" applyFill="0" applyAlignment="0" applyProtection="0"/>
    <xf numFmtId="0" fontId="42" fillId="0" borderId="5" applyNumberFormat="0" applyFill="0" applyAlignment="0" applyProtection="0"/>
    <xf numFmtId="0" fontId="43" fillId="0" borderId="14" applyNumberFormat="0" applyFill="0" applyAlignment="0" applyProtection="0"/>
    <xf numFmtId="0" fontId="44" fillId="0" borderId="0" applyNumberFormat="0" applyFill="0" applyBorder="0" applyAlignment="0" applyProtection="0"/>
    <xf numFmtId="0" fontId="45" fillId="7" borderId="2" applyNumberFormat="0" applyAlignment="0" applyProtection="0"/>
    <xf numFmtId="0" fontId="12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2" fillId="0" borderId="0"/>
    <xf numFmtId="0" fontId="39" fillId="19" borderId="8" applyNumberFormat="0" applyFont="0" applyAlignment="0" applyProtection="0"/>
    <xf numFmtId="0" fontId="26" fillId="14" borderId="15" applyNumberFormat="0" applyAlignment="0" applyProtection="0"/>
    <xf numFmtId="9" fontId="3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8" fillId="0" borderId="0">
      <alignment vertical="top"/>
    </xf>
    <xf numFmtId="37" fontId="47" fillId="0" borderId="0"/>
    <xf numFmtId="0" fontId="48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4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>
      <alignment wrapText="1"/>
    </xf>
    <xf numFmtId="9" fontId="9" fillId="0" borderId="0" applyFont="0" applyFill="0" applyBorder="0" applyAlignment="0" applyProtection="0">
      <alignment wrapText="1"/>
    </xf>
    <xf numFmtId="0" fontId="9" fillId="0" borderId="0">
      <alignment wrapText="1"/>
    </xf>
    <xf numFmtId="0" fontId="18" fillId="0" borderId="0">
      <alignment vertical="top"/>
    </xf>
    <xf numFmtId="44" fontId="9" fillId="0" borderId="0" applyFont="0" applyFill="0" applyBorder="0" applyAlignment="0" applyProtection="0">
      <alignment wrapText="1"/>
    </xf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>
      <alignment wrapText="1"/>
    </xf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60" fillId="0" borderId="0">
      <alignment wrapText="1"/>
    </xf>
    <xf numFmtId="9" fontId="60" fillId="0" borderId="0" applyFont="0" applyFill="0" applyBorder="0" applyAlignment="0" applyProtection="0">
      <alignment wrapText="1"/>
    </xf>
    <xf numFmtId="0" fontId="60" fillId="0" borderId="0">
      <alignment wrapText="1"/>
    </xf>
    <xf numFmtId="0" fontId="60" fillId="0" borderId="0">
      <alignment wrapText="1"/>
    </xf>
    <xf numFmtId="44" fontId="9" fillId="0" borderId="0" applyFont="0" applyFill="0" applyBorder="0" applyAlignment="0" applyProtection="0"/>
    <xf numFmtId="0" fontId="12" fillId="5" borderId="0" applyNumberFormat="0" applyBorder="0" applyAlignment="0" applyProtection="0"/>
    <xf numFmtId="0" fontId="12" fillId="40" borderId="0" applyNumberFormat="0" applyBorder="0" applyAlignment="0" applyProtection="0"/>
    <xf numFmtId="0" fontId="12" fillId="20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3" borderId="0" applyNumberFormat="0" applyBorder="0" applyAlignment="0" applyProtection="0"/>
    <xf numFmtId="0" fontId="12" fillId="9" borderId="0" applyNumberFormat="0" applyBorder="0" applyAlignment="0" applyProtection="0"/>
    <xf numFmtId="0" fontId="12" fillId="17" borderId="0" applyNumberFormat="0" applyBorder="0" applyAlignment="0" applyProtection="0"/>
    <xf numFmtId="0" fontId="12" fillId="19" borderId="0" applyNumberFormat="0" applyBorder="0" applyAlignment="0" applyProtection="0"/>
    <xf numFmtId="0" fontId="12" fillId="5" borderId="0" applyNumberFormat="0" applyBorder="0" applyAlignment="0" applyProtection="0"/>
    <xf numFmtId="0" fontId="12" fillId="40" borderId="0" applyNumberFormat="0" applyBorder="0" applyAlignment="0" applyProtection="0"/>
    <xf numFmtId="0" fontId="12" fillId="21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22" borderId="0" applyNumberFormat="0" applyBorder="0" applyAlignment="0" applyProtection="0"/>
    <xf numFmtId="0" fontId="12" fillId="40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9" borderId="0" applyNumberFormat="0" applyBorder="0" applyAlignment="0" applyProtection="0"/>
    <xf numFmtId="0" fontId="12" fillId="25" borderId="0" applyNumberFormat="0" applyBorder="0" applyAlignment="0" applyProtection="0"/>
    <xf numFmtId="0" fontId="12" fillId="7" borderId="0" applyNumberFormat="0" applyBorder="0" applyAlignment="0" applyProtection="0"/>
    <xf numFmtId="0" fontId="12" fillId="21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6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5" fillId="8" borderId="0" applyNumberFormat="0" applyBorder="0" applyAlignment="0" applyProtection="0"/>
    <xf numFmtId="0" fontId="15" fillId="28" borderId="0" applyNumberFormat="0" applyBorder="0" applyAlignment="0" applyProtection="0"/>
    <xf numFmtId="0" fontId="15" fillId="24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25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28" borderId="0" applyNumberFormat="0" applyBorder="0" applyAlignment="0" applyProtection="0"/>
    <xf numFmtId="0" fontId="15" fillId="8" borderId="0" applyNumberFormat="0" applyBorder="0" applyAlignment="0" applyProtection="0"/>
    <xf numFmtId="0" fontId="15" fillId="22" borderId="0" applyNumberFormat="0" applyBorder="0" applyAlignment="0" applyProtection="0"/>
    <xf numFmtId="0" fontId="15" fillId="41" borderId="0" applyNumberFormat="0" applyBorder="0" applyAlignment="0" applyProtection="0"/>
    <xf numFmtId="0" fontId="15" fillId="9" borderId="0" applyNumberFormat="0" applyBorder="0" applyAlignment="0" applyProtection="0"/>
    <xf numFmtId="0" fontId="15" fillId="8" borderId="0" applyNumberFormat="0" applyBorder="0" applyAlignment="0" applyProtection="0"/>
    <xf numFmtId="0" fontId="15" fillId="28" borderId="0" applyNumberFormat="0" applyBorder="0" applyAlignment="0" applyProtection="0"/>
    <xf numFmtId="0" fontId="15" fillId="27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1" borderId="0" applyNumberFormat="0" applyBorder="0" applyAlignment="0" applyProtection="0"/>
    <xf numFmtId="0" fontId="15" fillId="42" borderId="0" applyNumberFormat="0" applyBorder="0" applyAlignment="0" applyProtection="0"/>
    <xf numFmtId="0" fontId="15" fillId="11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32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41" borderId="0" applyNumberFormat="0" applyBorder="0" applyAlignment="0" applyProtection="0"/>
    <xf numFmtId="0" fontId="15" fillId="12" borderId="0" applyNumberFormat="0" applyBorder="0" applyAlignment="0" applyProtection="0"/>
    <xf numFmtId="0" fontId="15" fillId="10" borderId="0" applyNumberFormat="0" applyBorder="0" applyAlignment="0" applyProtection="0"/>
    <xf numFmtId="49" fontId="65" fillId="0" borderId="0" applyFill="0" applyBorder="0" applyAlignment="0" applyProtection="0"/>
    <xf numFmtId="0" fontId="66" fillId="0" borderId="20" applyBorder="0">
      <alignment horizontal="center" vertical="center" wrapText="1"/>
    </xf>
    <xf numFmtId="0" fontId="16" fillId="13" borderId="0" applyNumberFormat="0" applyBorder="0" applyAlignment="0" applyProtection="0"/>
    <xf numFmtId="0" fontId="16" fillId="21" borderId="0" applyNumberFormat="0" applyBorder="0" applyAlignment="0" applyProtection="0"/>
    <xf numFmtId="0" fontId="17" fillId="14" borderId="2" applyNumberFormat="0" applyAlignment="0" applyProtection="0"/>
    <xf numFmtId="0" fontId="67" fillId="14" borderId="2" applyNumberFormat="0" applyAlignment="0" applyProtection="0"/>
    <xf numFmtId="0" fontId="17" fillId="5" borderId="2" applyNumberFormat="0" applyAlignment="0" applyProtection="0"/>
    <xf numFmtId="0" fontId="68" fillId="14" borderId="2" applyNumberFormat="0" applyAlignment="0" applyProtection="0"/>
    <xf numFmtId="0" fontId="68" fillId="14" borderId="2" applyNumberFormat="0" applyAlignment="0" applyProtection="0"/>
    <xf numFmtId="0" fontId="38" fillId="43" borderId="26" applyNumberFormat="0" applyAlignment="0" applyProtection="0"/>
    <xf numFmtId="0" fontId="69" fillId="44" borderId="0" applyNumberFormat="0" applyBorder="0" applyAlignment="0" applyProtection="0">
      <alignment horizontal="center"/>
      <protection hidden="1"/>
    </xf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34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4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9" fillId="0" borderId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22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24" fillId="0" borderId="4" applyNumberFormat="0" applyFill="0" applyAlignment="0" applyProtection="0"/>
    <xf numFmtId="0" fontId="71" fillId="0" borderId="27" applyNumberFormat="0" applyFill="0" applyAlignment="0" applyProtection="0"/>
    <xf numFmtId="0" fontId="41" fillId="0" borderId="13" applyNumberFormat="0" applyFill="0" applyAlignment="0" applyProtection="0"/>
    <xf numFmtId="0" fontId="24" fillId="0" borderId="28" applyNumberFormat="0" applyFill="0" applyAlignment="0" applyProtection="0"/>
    <xf numFmtId="0" fontId="24" fillId="0" borderId="28" applyNumberFormat="0" applyFill="0" applyAlignment="0" applyProtection="0"/>
    <xf numFmtId="0" fontId="25" fillId="0" borderId="5" applyNumberFormat="0" applyFill="0" applyAlignment="0" applyProtection="0"/>
    <xf numFmtId="0" fontId="72" fillId="0" borderId="5" applyNumberFormat="0" applyFill="0" applyAlignment="0" applyProtection="0"/>
    <xf numFmtId="0" fontId="42" fillId="0" borderId="5" applyNumberFormat="0" applyFill="0" applyAlignment="0" applyProtection="0"/>
    <xf numFmtId="0" fontId="25" fillId="0" borderId="29" applyNumberFormat="0" applyFill="0" applyAlignment="0" applyProtection="0"/>
    <xf numFmtId="0" fontId="25" fillId="0" borderId="29" applyNumberFormat="0" applyFill="0" applyAlignment="0" applyProtection="0"/>
    <xf numFmtId="0" fontId="26" fillId="0" borderId="6" applyNumberFormat="0" applyFill="0" applyAlignment="0" applyProtection="0"/>
    <xf numFmtId="0" fontId="44" fillId="0" borderId="30" applyNumberFormat="0" applyFill="0" applyAlignment="0" applyProtection="0"/>
    <xf numFmtId="0" fontId="43" fillId="0" borderId="14" applyNumberFormat="0" applyFill="0" applyAlignment="0" applyProtection="0"/>
    <xf numFmtId="0" fontId="26" fillId="0" borderId="31" applyNumberFormat="0" applyFill="0" applyAlignment="0" applyProtection="0"/>
    <xf numFmtId="0" fontId="26" fillId="0" borderId="31" applyNumberFormat="0" applyFill="0" applyAlignment="0" applyProtection="0"/>
    <xf numFmtId="0" fontId="4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6" fillId="40" borderId="2" applyNumberFormat="0" applyAlignment="0" applyProtection="0"/>
    <xf numFmtId="0" fontId="76" fillId="7" borderId="2" applyNumberFormat="0" applyAlignment="0" applyProtection="0"/>
    <xf numFmtId="0" fontId="66" fillId="0" borderId="20" applyBorder="0">
      <alignment horizontal="center" vertical="center" wrapText="1"/>
    </xf>
    <xf numFmtId="0" fontId="30" fillId="0" borderId="7" applyNumberFormat="0" applyFill="0" applyAlignment="0" applyProtection="0"/>
    <xf numFmtId="0" fontId="77" fillId="0" borderId="32" applyNumberFormat="0" applyFill="0" applyAlignment="0" applyProtection="0"/>
    <xf numFmtId="0" fontId="30" fillId="0" borderId="7" applyNumberFormat="0" applyFill="0" applyAlignment="0" applyProtection="0"/>
    <xf numFmtId="0" fontId="49" fillId="0" borderId="33" applyNumberFormat="0" applyFill="0" applyAlignment="0" applyProtection="0"/>
    <xf numFmtId="0" fontId="31" fillId="7" borderId="0" applyNumberFormat="0" applyBorder="0" applyAlignment="0" applyProtection="0"/>
    <xf numFmtId="0" fontId="78" fillId="7" borderId="0" applyNumberFormat="0" applyBorder="0" applyAlignment="0" applyProtection="0"/>
    <xf numFmtId="0" fontId="31" fillId="7" borderId="0" applyNumberFormat="0" applyBorder="0" applyAlignment="0" applyProtection="0"/>
    <xf numFmtId="0" fontId="79" fillId="7" borderId="0" applyNumberFormat="0" applyBorder="0" applyAlignment="0" applyProtection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80" fillId="0" borderId="0"/>
    <xf numFmtId="0" fontId="1" fillId="0" borderId="0"/>
    <xf numFmtId="0" fontId="70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80" fillId="0" borderId="0"/>
    <xf numFmtId="0" fontId="1" fillId="0" borderId="0"/>
    <xf numFmtId="0" fontId="9" fillId="0" borderId="0"/>
    <xf numFmtId="0" fontId="1" fillId="0" borderId="0"/>
    <xf numFmtId="0" fontId="12" fillId="0" borderId="0"/>
    <xf numFmtId="0" fontId="9" fillId="0" borderId="0"/>
    <xf numFmtId="0" fontId="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2" fillId="0" borderId="0"/>
    <xf numFmtId="168" fontId="32" fillId="0" borderId="0"/>
    <xf numFmtId="0" fontId="12" fillId="0" borderId="0"/>
    <xf numFmtId="0" fontId="9" fillId="0" borderId="0">
      <alignment vertical="top"/>
    </xf>
    <xf numFmtId="0" fontId="12" fillId="0" borderId="0"/>
    <xf numFmtId="0" fontId="12" fillId="0" borderId="0"/>
    <xf numFmtId="0" fontId="12" fillId="0" borderId="0"/>
    <xf numFmtId="0" fontId="1" fillId="0" borderId="0"/>
    <xf numFmtId="0" fontId="9" fillId="0" borderId="0"/>
    <xf numFmtId="0" fontId="9" fillId="0" borderId="0">
      <alignment wrapText="1"/>
    </xf>
    <xf numFmtId="0" fontId="12" fillId="0" borderId="0"/>
    <xf numFmtId="0" fontId="1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34" fillId="0" borderId="0"/>
    <xf numFmtId="0" fontId="34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19" borderId="8" applyNumberFormat="0" applyFont="0" applyAlignment="0" applyProtection="0"/>
    <xf numFmtId="0" fontId="18" fillId="19" borderId="8" applyNumberFormat="0" applyFont="0" applyAlignment="0" applyProtection="0"/>
    <xf numFmtId="0" fontId="39" fillId="19" borderId="8" applyNumberFormat="0" applyFont="0" applyAlignment="0" applyProtection="0"/>
    <xf numFmtId="0" fontId="32" fillId="19" borderId="8" applyNumberFormat="0" applyFont="0" applyAlignment="0" applyProtection="0"/>
    <xf numFmtId="0" fontId="32" fillId="19" borderId="8" applyNumberFormat="0" applyFont="0" applyAlignment="0" applyProtection="0"/>
    <xf numFmtId="0" fontId="81" fillId="5" borderId="34" applyNumberFormat="0" applyAlignment="0" applyProtection="0"/>
    <xf numFmtId="0" fontId="81" fillId="14" borderId="34" applyNumberFormat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169" fontId="21" fillId="0" borderId="0">
      <alignment horizontal="center"/>
    </xf>
    <xf numFmtId="38" fontId="82" fillId="0" borderId="0" applyNumberFormat="0" applyFont="0" applyFill="0" applyBorder="0">
      <alignment horizontal="left" indent="4"/>
      <protection locked="0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34" fillId="45" borderId="0" applyNumberFormat="0" applyFont="0" applyBorder="0" applyAlignment="0" applyProtection="0"/>
    <xf numFmtId="170" fontId="83" fillId="33" borderId="0" applyFill="0" applyBorder="0" applyProtection="0">
      <alignment horizontal="center"/>
      <protection hidden="1"/>
    </xf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6" fillId="0" borderId="10" applyNumberFormat="0" applyFill="0" applyAlignment="0" applyProtection="0"/>
    <xf numFmtId="0" fontId="36" fillId="0" borderId="35" applyNumberFormat="0" applyFill="0" applyAlignment="0" applyProtection="0"/>
    <xf numFmtId="0" fontId="36" fillId="0" borderId="16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86" fillId="0" borderId="0">
      <alignment horizontal="center"/>
    </xf>
    <xf numFmtId="0" fontId="49" fillId="0" borderId="0" applyNumberFormat="0" applyFill="0" applyBorder="0" applyAlignment="0" applyProtection="0"/>
    <xf numFmtId="164" fontId="53" fillId="34" borderId="0" applyFont="0" applyFill="0" applyBorder="0" applyAlignment="0" applyProtection="0">
      <alignment wrapText="1"/>
    </xf>
  </cellStyleXfs>
  <cellXfs count="146">
    <xf numFmtId="0" fontId="0" fillId="0" borderId="0" xfId="0"/>
    <xf numFmtId="0" fontId="2" fillId="0" borderId="0" xfId="0" applyFont="1" applyFill="1"/>
    <xf numFmtId="0" fontId="4" fillId="0" borderId="0" xfId="3" applyFont="1" applyFill="1"/>
    <xf numFmtId="0" fontId="4" fillId="0" borderId="0" xfId="3" applyFont="1" applyFill="1" applyAlignment="1">
      <alignment horizontal="center"/>
    </xf>
    <xf numFmtId="0" fontId="4" fillId="0" borderId="0" xfId="3" applyFont="1"/>
    <xf numFmtId="0" fontId="5" fillId="0" borderId="0" xfId="0" applyFont="1"/>
    <xf numFmtId="0" fontId="6" fillId="0" borderId="0" xfId="3" applyFont="1" applyFill="1"/>
    <xf numFmtId="2" fontId="4" fillId="0" borderId="0" xfId="3" applyNumberFormat="1" applyFont="1"/>
    <xf numFmtId="0" fontId="6" fillId="0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/>
    </xf>
    <xf numFmtId="0" fontId="6" fillId="3" borderId="0" xfId="3" applyFont="1" applyFill="1" applyAlignment="1">
      <alignment horizontal="center" wrapText="1"/>
    </xf>
    <xf numFmtId="0" fontId="6" fillId="0" borderId="0" xfId="3" applyFont="1" applyFill="1" applyAlignment="1">
      <alignment horizontal="center"/>
    </xf>
    <xf numFmtId="14" fontId="6" fillId="2" borderId="0" xfId="3" applyNumberFormat="1" applyFont="1" applyFill="1" applyAlignment="1">
      <alignment horizontal="center" wrapText="1"/>
    </xf>
    <xf numFmtId="0" fontId="6" fillId="4" borderId="0" xfId="3" applyFont="1" applyFill="1" applyAlignment="1">
      <alignment horizontal="center" wrapText="1"/>
    </xf>
    <xf numFmtId="0" fontId="5" fillId="0" borderId="0" xfId="0" applyFont="1" applyFill="1"/>
    <xf numFmtId="0" fontId="7" fillId="0" borderId="0" xfId="3" applyFont="1" applyFill="1" applyAlignment="1">
      <alignment horizontal="center"/>
    </xf>
    <xf numFmtId="0" fontId="8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43" fontId="4" fillId="0" borderId="0" xfId="1" applyFont="1" applyFill="1" applyAlignment="1">
      <alignment horizontal="center"/>
    </xf>
    <xf numFmtId="164" fontId="4" fillId="0" borderId="0" xfId="1" applyNumberFormat="1" applyFont="1" applyFill="1"/>
    <xf numFmtId="164" fontId="4" fillId="0" borderId="0" xfId="1" applyNumberFormat="1" applyFont="1"/>
    <xf numFmtId="43" fontId="4" fillId="0" borderId="0" xfId="3" applyNumberFormat="1" applyFont="1"/>
    <xf numFmtId="0" fontId="10" fillId="0" borderId="0" xfId="0" applyFont="1"/>
    <xf numFmtId="0" fontId="4" fillId="0" borderId="0" xfId="3" applyFont="1" applyFill="1" applyBorder="1"/>
    <xf numFmtId="0" fontId="6" fillId="0" borderId="0" xfId="3" applyFont="1" applyBorder="1" applyAlignment="1">
      <alignment horizontal="right"/>
    </xf>
    <xf numFmtId="44" fontId="11" fillId="0" borderId="1" xfId="2" applyFont="1" applyFill="1" applyBorder="1"/>
    <xf numFmtId="0" fontId="8" fillId="0" borderId="0" xfId="3" applyFont="1" applyAlignment="1">
      <alignment horizontal="center"/>
    </xf>
    <xf numFmtId="43" fontId="4" fillId="0" borderId="0" xfId="1" applyFont="1"/>
    <xf numFmtId="0" fontId="4" fillId="0" borderId="0" xfId="3" applyFont="1" applyBorder="1"/>
    <xf numFmtId="0" fontId="8" fillId="0" borderId="0" xfId="3" applyFont="1" applyFill="1" applyAlignment="1">
      <alignment horizontal="left"/>
    </xf>
    <xf numFmtId="0" fontId="4" fillId="0" borderId="0" xfId="0" applyFont="1" applyFill="1" applyAlignment="1">
      <alignment vertical="top"/>
    </xf>
    <xf numFmtId="0" fontId="6" fillId="0" borderId="0" xfId="3" applyFont="1" applyFill="1" applyAlignment="1">
      <alignment horizontal="right"/>
    </xf>
    <xf numFmtId="43" fontId="5" fillId="0" borderId="0" xfId="1" applyFont="1"/>
    <xf numFmtId="0" fontId="6" fillId="0" borderId="0" xfId="3" applyFont="1" applyFill="1" applyBorder="1" applyAlignment="1">
      <alignment horizontal="right"/>
    </xf>
    <xf numFmtId="0" fontId="8" fillId="0" borderId="0" xfId="3" applyFont="1" applyFill="1" applyAlignment="1">
      <alignment horizontal="center"/>
    </xf>
    <xf numFmtId="0" fontId="6" fillId="0" borderId="0" xfId="3" applyFont="1" applyFill="1" applyBorder="1"/>
    <xf numFmtId="44" fontId="11" fillId="0" borderId="0" xfId="2" applyFont="1" applyFill="1" applyBorder="1"/>
    <xf numFmtId="0" fontId="37" fillId="0" borderId="0" xfId="0" applyFont="1"/>
    <xf numFmtId="0" fontId="0" fillId="0" borderId="0" xfId="0" applyAlignment="1">
      <alignment horizontal="right"/>
    </xf>
    <xf numFmtId="164" fontId="0" fillId="0" borderId="0" xfId="1" applyNumberFormat="1" applyFont="1"/>
    <xf numFmtId="164" fontId="0" fillId="0" borderId="0" xfId="1" applyNumberFormat="1" applyFont="1" applyFill="1"/>
    <xf numFmtId="164" fontId="0" fillId="0" borderId="0" xfId="1" applyNumberFormat="1" applyFont="1" applyBorder="1"/>
    <xf numFmtId="164" fontId="0" fillId="0" borderId="3" xfId="1" applyNumberFormat="1" applyFont="1" applyBorder="1"/>
    <xf numFmtId="43" fontId="0" fillId="0" borderId="0" xfId="0" applyNumberFormat="1"/>
    <xf numFmtId="43" fontId="4" fillId="0" borderId="0" xfId="1" applyNumberFormat="1" applyFont="1"/>
    <xf numFmtId="0" fontId="5" fillId="0" borderId="0" xfId="0" applyFont="1" applyBorder="1"/>
    <xf numFmtId="164" fontId="0" fillId="0" borderId="0" xfId="0" applyNumberFormat="1"/>
    <xf numFmtId="44" fontId="5" fillId="0" borderId="0" xfId="0" applyNumberFormat="1" applyFont="1"/>
    <xf numFmtId="2" fontId="5" fillId="0" borderId="0" xfId="0" applyNumberFormat="1" applyFont="1"/>
    <xf numFmtId="164" fontId="4" fillId="0" borderId="0" xfId="3" applyNumberFormat="1" applyFont="1"/>
    <xf numFmtId="43" fontId="0" fillId="0" borderId="0" xfId="1" applyFont="1"/>
    <xf numFmtId="0" fontId="50" fillId="0" borderId="0" xfId="3" applyFont="1"/>
    <xf numFmtId="43" fontId="5" fillId="0" borderId="0" xfId="0" applyNumberFormat="1" applyFont="1"/>
    <xf numFmtId="164" fontId="0" fillId="0" borderId="18" xfId="1" applyNumberFormat="1" applyFont="1" applyBorder="1"/>
    <xf numFmtId="1" fontId="6" fillId="4" borderId="0" xfId="3" applyNumberFormat="1" applyFont="1" applyFill="1" applyAlignment="1">
      <alignment horizontal="center"/>
    </xf>
    <xf numFmtId="2" fontId="6" fillId="4" borderId="0" xfId="3" applyNumberFormat="1" applyFont="1" applyFill="1" applyAlignment="1">
      <alignment horizontal="center" wrapText="1"/>
    </xf>
    <xf numFmtId="2" fontId="4" fillId="0" borderId="0" xfId="1" applyNumberFormat="1" applyFont="1"/>
    <xf numFmtId="43" fontId="0" fillId="0" borderId="0" xfId="1" applyFont="1" applyAlignment="1">
      <alignment horizontal="left"/>
    </xf>
    <xf numFmtId="0" fontId="52" fillId="0" borderId="0" xfId="0" applyFont="1" applyAlignment="1">
      <alignment horizontal="right"/>
    </xf>
    <xf numFmtId="43" fontId="4" fillId="0" borderId="0" xfId="1" applyFont="1" applyFill="1" applyAlignment="1">
      <alignment horizontal="center"/>
    </xf>
    <xf numFmtId="43" fontId="4" fillId="0" borderId="0" xfId="1" applyFont="1" applyFill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51" fillId="0" borderId="0" xfId="3" applyFont="1" applyFill="1"/>
    <xf numFmtId="164" fontId="4" fillId="0" borderId="11" xfId="1" applyNumberFormat="1" applyFont="1" applyBorder="1"/>
    <xf numFmtId="164" fontId="4" fillId="0" borderId="11" xfId="3" applyNumberFormat="1" applyFont="1" applyBorder="1"/>
    <xf numFmtId="0" fontId="5" fillId="0" borderId="19" xfId="0" applyFont="1" applyBorder="1"/>
    <xf numFmtId="0" fontId="5" fillId="0" borderId="24" xfId="0" applyFont="1" applyBorder="1"/>
    <xf numFmtId="0" fontId="5" fillId="0" borderId="25" xfId="0" applyFont="1" applyBorder="1"/>
    <xf numFmtId="164" fontId="5" fillId="0" borderId="21" xfId="1" applyNumberFormat="1" applyFont="1" applyBorder="1"/>
    <xf numFmtId="164" fontId="5" fillId="0" borderId="22" xfId="1" applyNumberFormat="1" applyFont="1" applyBorder="1"/>
    <xf numFmtId="164" fontId="5" fillId="0" borderId="23" xfId="1" applyNumberFormat="1" applyFont="1" applyBorder="1"/>
    <xf numFmtId="164" fontId="5" fillId="0" borderId="0" xfId="1" applyNumberFormat="1" applyFont="1" applyBorder="1"/>
    <xf numFmtId="164" fontId="0" fillId="31" borderId="0" xfId="1" applyNumberFormat="1" applyFont="1" applyFill="1"/>
    <xf numFmtId="164" fontId="0" fillId="31" borderId="0" xfId="1" applyNumberFormat="1" applyFont="1" applyFill="1" applyBorder="1"/>
    <xf numFmtId="164" fontId="0" fillId="31" borderId="3" xfId="1" applyNumberFormat="1" applyFont="1" applyFill="1" applyBorder="1"/>
    <xf numFmtId="43" fontId="5" fillId="0" borderId="0" xfId="1" applyNumberFormat="1" applyFont="1"/>
    <xf numFmtId="14" fontId="6" fillId="0" borderId="0" xfId="3" applyNumberFormat="1" applyFont="1" applyFill="1" applyAlignment="1">
      <alignment horizontal="center" wrapText="1"/>
    </xf>
    <xf numFmtId="0" fontId="5" fillId="3" borderId="0" xfId="0" applyFont="1" applyFill="1"/>
    <xf numFmtId="43" fontId="4" fillId="3" borderId="0" xfId="1" applyFont="1" applyFill="1" applyAlignment="1">
      <alignment horizontal="center"/>
    </xf>
    <xf numFmtId="43" fontId="4" fillId="3" borderId="0" xfId="3" applyNumberFormat="1" applyFont="1" applyFill="1"/>
    <xf numFmtId="0" fontId="56" fillId="0" borderId="0" xfId="0" applyFont="1"/>
    <xf numFmtId="0" fontId="2" fillId="35" borderId="0" xfId="0" applyFont="1" applyFill="1" applyAlignment="1">
      <alignment horizontal="center"/>
    </xf>
    <xf numFmtId="0" fontId="58" fillId="0" borderId="0" xfId="0" applyFont="1" applyFill="1"/>
    <xf numFmtId="166" fontId="57" fillId="0" borderId="0" xfId="118" applyNumberFormat="1" applyFont="1"/>
    <xf numFmtId="0" fontId="0" fillId="3" borderId="0" xfId="0" applyFill="1" applyBorder="1"/>
    <xf numFmtId="0" fontId="5" fillId="0" borderId="0" xfId="0" applyFont="1" applyFill="1"/>
    <xf numFmtId="43" fontId="4" fillId="0" borderId="0" xfId="1" applyFont="1" applyFill="1" applyAlignment="1">
      <alignment horizontal="center"/>
    </xf>
    <xf numFmtId="164" fontId="4" fillId="0" borderId="0" xfId="3" applyNumberFormat="1" applyFont="1"/>
    <xf numFmtId="164" fontId="58" fillId="0" borderId="0" xfId="0" applyNumberFormat="1" applyFont="1" applyFill="1"/>
    <xf numFmtId="0" fontId="58" fillId="0" borderId="0" xfId="0" applyFont="1"/>
    <xf numFmtId="164" fontId="5" fillId="0" borderId="0" xfId="1" applyNumberFormat="1" applyFont="1"/>
    <xf numFmtId="43" fontId="4" fillId="0" borderId="0" xfId="3" applyNumberFormat="1" applyFont="1" applyFill="1"/>
    <xf numFmtId="0" fontId="0" fillId="0" borderId="0" xfId="0" applyAlignment="1">
      <alignment horizontal="center" vertical="center"/>
    </xf>
    <xf numFmtId="0" fontId="37" fillId="0" borderId="3" xfId="0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left"/>
    </xf>
    <xf numFmtId="0" fontId="59" fillId="37" borderId="17" xfId="0" applyFont="1" applyFill="1" applyBorder="1" applyAlignment="1">
      <alignment horizontal="center" vertical="center" wrapText="1"/>
    </xf>
    <xf numFmtId="0" fontId="59" fillId="4" borderId="17" xfId="0" applyFont="1" applyFill="1" applyBorder="1" applyAlignment="1">
      <alignment horizontal="center" vertical="center" wrapText="1"/>
    </xf>
    <xf numFmtId="0" fontId="59" fillId="38" borderId="17" xfId="0" applyFont="1" applyFill="1" applyBorder="1" applyAlignment="1">
      <alignment horizontal="center" vertical="center" wrapText="1"/>
    </xf>
    <xf numFmtId="0" fontId="59" fillId="38" borderId="17" xfId="0" applyFont="1" applyFill="1" applyBorder="1" applyAlignment="1">
      <alignment horizontal="center" vertical="center"/>
    </xf>
    <xf numFmtId="0" fontId="37" fillId="31" borderId="17" xfId="0" applyFont="1" applyFill="1" applyBorder="1" applyAlignment="1">
      <alignment horizontal="center" vertical="center"/>
    </xf>
    <xf numFmtId="10" fontId="0" fillId="0" borderId="0" xfId="118" applyNumberFormat="1" applyFont="1"/>
    <xf numFmtId="43" fontId="50" fillId="0" borderId="0" xfId="3" applyNumberFormat="1" applyFont="1" applyFill="1"/>
    <xf numFmtId="0" fontId="4" fillId="0" borderId="19" xfId="3" applyFont="1" applyBorder="1"/>
    <xf numFmtId="164" fontId="4" fillId="0" borderId="21" xfId="24" applyNumberFormat="1" applyFont="1" applyBorder="1"/>
    <xf numFmtId="0" fontId="6" fillId="0" borderId="0" xfId="3" applyFont="1" applyFill="1" applyAlignment="1">
      <alignment horizontal="left"/>
    </xf>
    <xf numFmtId="2" fontId="4" fillId="0" borderId="0" xfId="3" applyNumberFormat="1" applyFont="1" applyFill="1"/>
    <xf numFmtId="0" fontId="4" fillId="0" borderId="24" xfId="3" applyFont="1" applyBorder="1"/>
    <xf numFmtId="164" fontId="4" fillId="0" borderId="22" xfId="24" applyNumberFormat="1" applyFont="1" applyBorder="1"/>
    <xf numFmtId="0" fontId="62" fillId="2" borderId="0" xfId="3" applyFont="1" applyFill="1" applyAlignment="1">
      <alignment horizontal="center"/>
    </xf>
    <xf numFmtId="17" fontId="6" fillId="3" borderId="0" xfId="3" applyNumberFormat="1" applyFont="1" applyFill="1" applyAlignment="1">
      <alignment horizontal="center"/>
    </xf>
    <xf numFmtId="17" fontId="6" fillId="4" borderId="0" xfId="3" applyNumberFormat="1" applyFont="1" applyFill="1" applyAlignment="1">
      <alignment horizontal="center"/>
    </xf>
    <xf numFmtId="17" fontId="6" fillId="0" borderId="0" xfId="3" applyNumberFormat="1" applyFont="1" applyFill="1" applyAlignment="1">
      <alignment horizontal="center"/>
    </xf>
    <xf numFmtId="0" fontId="4" fillId="0" borderId="25" xfId="3" applyFont="1" applyBorder="1"/>
    <xf numFmtId="164" fontId="4" fillId="0" borderId="23" xfId="24" applyNumberFormat="1" applyFont="1" applyBorder="1"/>
    <xf numFmtId="43" fontId="4" fillId="0" borderId="0" xfId="24" applyFont="1" applyFill="1" applyAlignment="1">
      <alignment horizontal="center"/>
    </xf>
    <xf numFmtId="164" fontId="4" fillId="0" borderId="0" xfId="24" applyNumberFormat="1" applyFont="1" applyFill="1"/>
    <xf numFmtId="164" fontId="4" fillId="0" borderId="0" xfId="24" applyNumberFormat="1" applyFont="1"/>
    <xf numFmtId="164" fontId="5" fillId="0" borderId="0" xfId="24" applyNumberFormat="1" applyFont="1"/>
    <xf numFmtId="44" fontId="11" fillId="0" borderId="1" xfId="474" applyFont="1" applyFill="1" applyBorder="1"/>
    <xf numFmtId="164" fontId="6" fillId="0" borderId="11" xfId="24" applyNumberFormat="1" applyFont="1" applyFill="1" applyBorder="1"/>
    <xf numFmtId="164" fontId="6" fillId="0" borderId="0" xfId="24" applyNumberFormat="1" applyFont="1" applyFill="1" applyBorder="1"/>
    <xf numFmtId="164" fontId="2" fillId="0" borderId="11" xfId="24" applyNumberFormat="1" applyFont="1" applyBorder="1"/>
    <xf numFmtId="164" fontId="2" fillId="0" borderId="0" xfId="24" applyNumberFormat="1" applyFont="1" applyBorder="1"/>
    <xf numFmtId="44" fontId="11" fillId="0" borderId="0" xfId="474" applyFont="1" applyFill="1" applyBorder="1"/>
    <xf numFmtId="0" fontId="6" fillId="0" borderId="0" xfId="3" applyFont="1" applyBorder="1" applyAlignment="1">
      <alignment horizontal="left"/>
    </xf>
    <xf numFmtId="0" fontId="4" fillId="0" borderId="0" xfId="3" applyFont="1" applyAlignment="1">
      <alignment horizontal="center"/>
    </xf>
    <xf numFmtId="0" fontId="5" fillId="0" borderId="0" xfId="0" applyFont="1" applyFill="1" applyBorder="1"/>
    <xf numFmtId="43" fontId="5" fillId="0" borderId="0" xfId="24" applyFont="1"/>
    <xf numFmtId="164" fontId="5" fillId="0" borderId="0" xfId="0" applyNumberFormat="1" applyFont="1"/>
    <xf numFmtId="164" fontId="5" fillId="0" borderId="21" xfId="0" applyNumberFormat="1" applyFont="1" applyBorder="1"/>
    <xf numFmtId="164" fontId="5" fillId="0" borderId="22" xfId="0" applyNumberFormat="1" applyFont="1" applyBorder="1"/>
    <xf numFmtId="1" fontId="6" fillId="3" borderId="0" xfId="3" applyNumberFormat="1" applyFont="1" applyFill="1" applyAlignment="1">
      <alignment horizontal="center"/>
    </xf>
    <xf numFmtId="164" fontId="5" fillId="0" borderId="23" xfId="0" applyNumberFormat="1" applyFont="1" applyBorder="1"/>
    <xf numFmtId="43" fontId="4" fillId="0" borderId="0" xfId="24" applyFont="1" applyFill="1"/>
    <xf numFmtId="44" fontId="4" fillId="0" borderId="0" xfId="474" applyFont="1"/>
    <xf numFmtId="164" fontId="4" fillId="0" borderId="11" xfId="24" applyNumberFormat="1" applyFont="1" applyBorder="1"/>
    <xf numFmtId="43" fontId="4" fillId="0" borderId="0" xfId="24" applyFont="1"/>
    <xf numFmtId="0" fontId="63" fillId="0" borderId="0" xfId="0" applyFont="1" applyFill="1" applyBorder="1"/>
    <xf numFmtId="0" fontId="64" fillId="0" borderId="0" xfId="3" applyFont="1"/>
    <xf numFmtId="164" fontId="64" fillId="0" borderId="0" xfId="24" applyNumberFormat="1" applyFont="1"/>
    <xf numFmtId="164" fontId="5" fillId="0" borderId="11" xfId="24" applyNumberFormat="1" applyFont="1" applyBorder="1"/>
    <xf numFmtId="164" fontId="5" fillId="0" borderId="11" xfId="0" applyNumberFormat="1" applyFont="1" applyBorder="1"/>
    <xf numFmtId="0" fontId="63" fillId="0" borderId="0" xfId="0" applyFont="1"/>
    <xf numFmtId="43" fontId="4" fillId="0" borderId="0" xfId="24" applyNumberFormat="1" applyFont="1"/>
    <xf numFmtId="43" fontId="4" fillId="36" borderId="0" xfId="24" applyFont="1" applyFill="1" applyAlignment="1">
      <alignment horizontal="center"/>
    </xf>
  </cellXfs>
  <cellStyles count="744">
    <cellStyle name="20% - Accent1 2" xfId="5"/>
    <cellStyle name="20% - Accent1 2 2" xfId="475"/>
    <cellStyle name="20% - Accent1 2 3" xfId="476"/>
    <cellStyle name="20% - Accent1 3" xfId="119"/>
    <cellStyle name="20% - Accent1 3 2" xfId="477"/>
    <cellStyle name="20% - Accent1 3 3" xfId="478"/>
    <cellStyle name="20% - Accent1 4" xfId="479"/>
    <cellStyle name="20% - Accent2 2" xfId="120"/>
    <cellStyle name="20% - Accent2 3" xfId="480"/>
    <cellStyle name="20% - Accent2 3 2" xfId="481"/>
    <cellStyle name="20% - Accent3 2" xfId="121"/>
    <cellStyle name="20% - Accent3 3" xfId="482"/>
    <cellStyle name="20% - Accent3 3 2" xfId="483"/>
    <cellStyle name="20% - Accent4 2" xfId="6"/>
    <cellStyle name="20% - Accent4 2 2" xfId="484"/>
    <cellStyle name="20% - Accent4 2 3" xfId="485"/>
    <cellStyle name="20% - Accent4 3" xfId="122"/>
    <cellStyle name="20% - Accent4 3 2" xfId="486"/>
    <cellStyle name="20% - Accent4 3 3" xfId="487"/>
    <cellStyle name="20% - Accent4 4" xfId="488"/>
    <cellStyle name="20% - Accent5 2" xfId="123"/>
    <cellStyle name="20% - Accent5 3" xfId="489"/>
    <cellStyle name="20% - Accent6 2" xfId="124"/>
    <cellStyle name="20% - Accent6 3" xfId="490"/>
    <cellStyle name="20% - Accent6 3 2" xfId="491"/>
    <cellStyle name="40% - Accent1 2" xfId="7"/>
    <cellStyle name="40% - Accent1 3" xfId="125"/>
    <cellStyle name="40% - Accent1 3 2" xfId="492"/>
    <cellStyle name="40% - Accent1 3 3" xfId="493"/>
    <cellStyle name="40% - Accent1 4" xfId="494"/>
    <cellStyle name="40% - Accent2 2" xfId="126"/>
    <cellStyle name="40% - Accent2 3" xfId="495"/>
    <cellStyle name="40% - Accent3 2" xfId="127"/>
    <cellStyle name="40% - Accent3 3" xfId="496"/>
    <cellStyle name="40% - Accent3 3 2" xfId="497"/>
    <cellStyle name="40% - Accent4 2" xfId="8"/>
    <cellStyle name="40% - Accent4 3" xfId="128"/>
    <cellStyle name="40% - Accent4 3 2" xfId="498"/>
    <cellStyle name="40% - Accent4 3 3" xfId="499"/>
    <cellStyle name="40% - Accent4 4" xfId="500"/>
    <cellStyle name="40% - Accent5 2" xfId="9"/>
    <cellStyle name="40% - Accent5 3" xfId="501"/>
    <cellStyle name="40% - Accent5 3 2" xfId="502"/>
    <cellStyle name="40% - Accent6 2" xfId="10"/>
    <cellStyle name="40% - Accent6 3" xfId="129"/>
    <cellStyle name="40% - Accent6 3 2" xfId="503"/>
    <cellStyle name="40% - Accent6 3 3" xfId="504"/>
    <cellStyle name="40% - Accent6 4" xfId="505"/>
    <cellStyle name="60% - Accent1 2" xfId="11"/>
    <cellStyle name="60% - Accent1 2 2" xfId="506"/>
    <cellStyle name="60% - Accent1 2 3" xfId="507"/>
    <cellStyle name="60% - Accent1 3" xfId="130"/>
    <cellStyle name="60% - Accent1 3 2" xfId="508"/>
    <cellStyle name="60% - Accent1 3 3" xfId="509"/>
    <cellStyle name="60% - Accent1 4" xfId="510"/>
    <cellStyle name="60% - Accent2 2" xfId="12"/>
    <cellStyle name="60% - Accent2 3" xfId="511"/>
    <cellStyle name="60% - Accent2 3 2" xfId="512"/>
    <cellStyle name="60% - Accent3 2" xfId="13"/>
    <cellStyle name="60% - Accent3 3" xfId="131"/>
    <cellStyle name="60% - Accent3 3 2" xfId="513"/>
    <cellStyle name="60% - Accent3 3 3" xfId="514"/>
    <cellStyle name="60% - Accent3 4" xfId="515"/>
    <cellStyle name="60% - Accent4 2" xfId="14"/>
    <cellStyle name="60% - Accent4 3" xfId="132"/>
    <cellStyle name="60% - Accent4 3 2" xfId="516"/>
    <cellStyle name="60% - Accent4 3 3" xfId="517"/>
    <cellStyle name="60% - Accent4 4" xfId="518"/>
    <cellStyle name="60% - Accent5 2" xfId="15"/>
    <cellStyle name="60% - Accent5 2 2" xfId="519"/>
    <cellStyle name="60% - Accent5 2 3" xfId="520"/>
    <cellStyle name="60% - Accent5 3" xfId="521"/>
    <cellStyle name="60% - Accent5 3 2" xfId="522"/>
    <cellStyle name="60% - Accent6 2" xfId="133"/>
    <cellStyle name="60% - Accent6 3" xfId="523"/>
    <cellStyle name="60% - Accent6 3 2" xfId="524"/>
    <cellStyle name="Accent1 2" xfId="16"/>
    <cellStyle name="Accent1 2 2" xfId="525"/>
    <cellStyle name="Accent1 2 3" xfId="526"/>
    <cellStyle name="Accent1 3" xfId="134"/>
    <cellStyle name="Accent1 3 2" xfId="527"/>
    <cellStyle name="Accent1 3 3" xfId="528"/>
    <cellStyle name="Accent1 4" xfId="529"/>
    <cellStyle name="Accent2 2" xfId="17"/>
    <cellStyle name="Accent2 3" xfId="530"/>
    <cellStyle name="Accent2 3 2" xfId="531"/>
    <cellStyle name="Accent3 2" xfId="18"/>
    <cellStyle name="Accent3 2 2" xfId="532"/>
    <cellStyle name="Accent3 2 3" xfId="533"/>
    <cellStyle name="Accent3 3" xfId="534"/>
    <cellStyle name="Accent3 3 2" xfId="535"/>
    <cellStyle name="Accent4 2" xfId="135"/>
    <cellStyle name="Accent4 3" xfId="536"/>
    <cellStyle name="Accent4 3 2" xfId="537"/>
    <cellStyle name="Accent5 2" xfId="136"/>
    <cellStyle name="Accent5 3" xfId="538"/>
    <cellStyle name="Accent6 2" xfId="19"/>
    <cellStyle name="Accent6 2 2" xfId="539"/>
    <cellStyle name="Accent6 2 3" xfId="540"/>
    <cellStyle name="Accent6 3" xfId="541"/>
    <cellStyle name="Accent6 3 2" xfId="542"/>
    <cellStyle name="Accounting" xfId="20"/>
    <cellStyle name="Accounting 2" xfId="137"/>
    <cellStyle name="Accounting 3" xfId="138"/>
    <cellStyle name="Accounting_2011-11" xfId="139"/>
    <cellStyle name="APS" xfId="543"/>
    <cellStyle name="APSLabels" xfId="544"/>
    <cellStyle name="Bad 2" xfId="21"/>
    <cellStyle name="Bad 3" xfId="545"/>
    <cellStyle name="Bad 3 2" xfId="546"/>
    <cellStyle name="Budget" xfId="22"/>
    <cellStyle name="Budget 2" xfId="140"/>
    <cellStyle name="Budget 3" xfId="141"/>
    <cellStyle name="Budget_2011-11" xfId="142"/>
    <cellStyle name="Calculation 2" xfId="23"/>
    <cellStyle name="Calculation 2 2" xfId="547"/>
    <cellStyle name="Calculation 2 3" xfId="548"/>
    <cellStyle name="Calculation 3" xfId="143"/>
    <cellStyle name="Calculation 3 2" xfId="549"/>
    <cellStyle name="Calculation 3 3" xfId="550"/>
    <cellStyle name="Calculation 4" xfId="551"/>
    <cellStyle name="Check Cell 2" xfId="144"/>
    <cellStyle name="Check Cell 3" xfId="552"/>
    <cellStyle name="Color" xfId="553"/>
    <cellStyle name="combo" xfId="145"/>
    <cellStyle name="Comma" xfId="1" builtinId="3"/>
    <cellStyle name="Comma 10" xfId="24"/>
    <cellStyle name="Comma 10 2" xfId="554"/>
    <cellStyle name="Comma 11" xfId="25"/>
    <cellStyle name="Comma 11 2" xfId="295"/>
    <cellStyle name="Comma 11 2 2" xfId="296"/>
    <cellStyle name="Comma 11 3" xfId="297"/>
    <cellStyle name="Comma 12" xfId="26"/>
    <cellStyle name="Comma 12 2" xfId="555"/>
    <cellStyle name="Comma 12 2 2" xfId="556"/>
    <cellStyle name="Comma 12 3" xfId="557"/>
    <cellStyle name="Comma 12 4" xfId="558"/>
    <cellStyle name="Comma 12 5" xfId="559"/>
    <cellStyle name="Comma 13" xfId="27"/>
    <cellStyle name="Comma 13 2" xfId="560"/>
    <cellStyle name="Comma 13 3" xfId="561"/>
    <cellStyle name="Comma 14" xfId="28"/>
    <cellStyle name="Comma 15" xfId="29"/>
    <cellStyle name="Comma 15 2" xfId="562"/>
    <cellStyle name="Comma 15 3" xfId="563"/>
    <cellStyle name="Comma 16" xfId="30"/>
    <cellStyle name="Comma 17" xfId="146"/>
    <cellStyle name="Comma 17 2" xfId="291"/>
    <cellStyle name="Comma 17 3" xfId="564"/>
    <cellStyle name="Comma 18" xfId="147"/>
    <cellStyle name="Comma 18 2" xfId="565"/>
    <cellStyle name="Comma 18 3" xfId="566"/>
    <cellStyle name="Comma 19" xfId="148"/>
    <cellStyle name="Comma 2" xfId="31"/>
    <cellStyle name="Comma 2 2" xfId="32"/>
    <cellStyle name="Comma 2 2 2" xfId="149"/>
    <cellStyle name="Comma 2 2 2 2" xfId="567"/>
    <cellStyle name="Comma 2 2 3" xfId="568"/>
    <cellStyle name="Comma 2 3" xfId="33"/>
    <cellStyle name="Comma 2 4" xfId="150"/>
    <cellStyle name="Comma 2 4 2" xfId="569"/>
    <cellStyle name="Comma 2 4 3" xfId="570"/>
    <cellStyle name="Comma 2 5" xfId="571"/>
    <cellStyle name="Comma 2 6" xfId="572"/>
    <cellStyle name="Comma 2 6 2" xfId="573"/>
    <cellStyle name="Comma 20" xfId="574"/>
    <cellStyle name="Comma 21" xfId="575"/>
    <cellStyle name="Comma 21 2" xfId="576"/>
    <cellStyle name="Comma 3" xfId="34"/>
    <cellStyle name="Comma 3 2" xfId="35"/>
    <cellStyle name="Comma 3 2 2" xfId="36"/>
    <cellStyle name="Comma 3 3" xfId="37"/>
    <cellStyle name="Comma 3 4" xfId="151"/>
    <cellStyle name="Comma 4" xfId="38"/>
    <cellStyle name="Comma 4 2" xfId="39"/>
    <cellStyle name="Comma 4 2 2" xfId="260"/>
    <cellStyle name="Comma 4 2 2 2" xfId="298"/>
    <cellStyle name="Comma 4 2 2 3" xfId="299"/>
    <cellStyle name="Comma 4 2 3" xfId="300"/>
    <cellStyle name="Comma 4 2 3 2" xfId="285"/>
    <cellStyle name="Comma 4 2 4" xfId="301"/>
    <cellStyle name="Comma 4 2 4 2" xfId="577"/>
    <cellStyle name="Comma 4 3" xfId="40"/>
    <cellStyle name="Comma 4 3 2" xfId="302"/>
    <cellStyle name="Comma 4 3 2 2" xfId="284"/>
    <cellStyle name="Comma 4 3 3" xfId="303"/>
    <cellStyle name="Comma 4 3 3 2" xfId="283"/>
    <cellStyle name="Comma 4 3 4" xfId="282"/>
    <cellStyle name="Comma 4 4" xfId="41"/>
    <cellStyle name="Comma 4 4 2" xfId="304"/>
    <cellStyle name="Comma 4 4 2 2" xfId="281"/>
    <cellStyle name="Comma 4 4 3" xfId="280"/>
    <cellStyle name="Comma 4 4 3 2" xfId="279"/>
    <cellStyle name="Comma 4 4 4" xfId="278"/>
    <cellStyle name="Comma 4 5" xfId="42"/>
    <cellStyle name="Comma 4 5 2" xfId="277"/>
    <cellStyle name="Comma 4 5 2 2" xfId="276"/>
    <cellStyle name="Comma 4 6" xfId="275"/>
    <cellStyle name="Comma 4 6 2" xfId="274"/>
    <cellStyle name="Comma 4 7" xfId="352"/>
    <cellStyle name="Comma 5" xfId="43"/>
    <cellStyle name="Comma 5 2" xfId="305"/>
    <cellStyle name="Comma 5 2 2" xfId="306"/>
    <cellStyle name="Comma 5 2 2 2" xfId="307"/>
    <cellStyle name="Comma 5 2 3" xfId="308"/>
    <cellStyle name="Comma 5 3" xfId="309"/>
    <cellStyle name="Comma 5 3 2" xfId="310"/>
    <cellStyle name="Comma 5 4" xfId="311"/>
    <cellStyle name="Comma 5 5" xfId="312"/>
    <cellStyle name="Comma 6" xfId="44"/>
    <cellStyle name="Comma 6 2" xfId="152"/>
    <cellStyle name="Comma 6 2 2" xfId="314"/>
    <cellStyle name="Comma 6 2 2 2" xfId="315"/>
    <cellStyle name="Comma 6 2 3" xfId="316"/>
    <cellStyle name="Comma 6 2 4" xfId="313"/>
    <cellStyle name="Comma 6 3" xfId="317"/>
    <cellStyle name="Comma 6 3 2" xfId="318"/>
    <cellStyle name="Comma 6 4" xfId="319"/>
    <cellStyle name="Comma 7" xfId="45"/>
    <cellStyle name="Comma 7 2" xfId="320"/>
    <cellStyle name="Comma 7 2 2" xfId="321"/>
    <cellStyle name="Comma 7 2 2 2" xfId="322"/>
    <cellStyle name="Comma 7 2 3" xfId="323"/>
    <cellStyle name="Comma 7 3" xfId="324"/>
    <cellStyle name="Comma 7 3 2" xfId="325"/>
    <cellStyle name="Comma 7 4" xfId="326"/>
    <cellStyle name="Comma 8" xfId="46"/>
    <cellStyle name="Comma 8 2" xfId="327"/>
    <cellStyle name="Comma 8 2 2" xfId="328"/>
    <cellStyle name="Comma 8 3" xfId="329"/>
    <cellStyle name="Comma 8 4" xfId="578"/>
    <cellStyle name="Comma 9" xfId="47"/>
    <cellStyle name="Comma 9 2" xfId="579"/>
    <cellStyle name="Comma(2)" xfId="48"/>
    <cellStyle name="Comma0" xfId="580"/>
    <cellStyle name="Comma0 - Style2" xfId="49"/>
    <cellStyle name="Comma1 - Style1" xfId="50"/>
    <cellStyle name="Comments" xfId="51"/>
    <cellStyle name="Currency" xfId="2" builtinId="4"/>
    <cellStyle name="Currency 10" xfId="153"/>
    <cellStyle name="Currency 11" xfId="474"/>
    <cellStyle name="Currency 12" xfId="581"/>
    <cellStyle name="Currency 13" xfId="582"/>
    <cellStyle name="Currency 2" xfId="52"/>
    <cellStyle name="Currency 2 2" xfId="4"/>
    <cellStyle name="Currency 2 2 2" xfId="583"/>
    <cellStyle name="Currency 2 2 3" xfId="584"/>
    <cellStyle name="Currency 2 2 4" xfId="585"/>
    <cellStyle name="Currency 2 3" xfId="154"/>
    <cellStyle name="Currency 2 3 2" xfId="586"/>
    <cellStyle name="Currency 2 3 3" xfId="587"/>
    <cellStyle name="Currency 2 4" xfId="469"/>
    <cellStyle name="Currency 2 6" xfId="588"/>
    <cellStyle name="Currency 2 6 2" xfId="589"/>
    <cellStyle name="Currency 3" xfId="53"/>
    <cellStyle name="Currency 3 2" xfId="155"/>
    <cellStyle name="Currency 3 2 2" xfId="331"/>
    <cellStyle name="Currency 3 2 2 2" xfId="332"/>
    <cellStyle name="Currency 3 2 3" xfId="333"/>
    <cellStyle name="Currency 3 2 4" xfId="330"/>
    <cellStyle name="Currency 3 3" xfId="334"/>
    <cellStyle name="Currency 3 3 2" xfId="335"/>
    <cellStyle name="Currency 3 3 3" xfId="590"/>
    <cellStyle name="Currency 3 4" xfId="336"/>
    <cellStyle name="Currency 3 5" xfId="591"/>
    <cellStyle name="Currency 4" xfId="54"/>
    <cellStyle name="Currency 4 2" xfId="337"/>
    <cellStyle name="Currency 4 2 2" xfId="338"/>
    <cellStyle name="Currency 4 2 2 2" xfId="339"/>
    <cellStyle name="Currency 4 2 3" xfId="340"/>
    <cellStyle name="Currency 4 3" xfId="341"/>
    <cellStyle name="Currency 4 3 2" xfId="342"/>
    <cellStyle name="Currency 4 4" xfId="343"/>
    <cellStyle name="Currency 5" xfId="55"/>
    <cellStyle name="Currency 5 2" xfId="344"/>
    <cellStyle name="Currency 5 2 2" xfId="345"/>
    <cellStyle name="Currency 5 3" xfId="346"/>
    <cellStyle name="Currency 6" xfId="56"/>
    <cellStyle name="Currency 7" xfId="57"/>
    <cellStyle name="Currency 8" xfId="156"/>
    <cellStyle name="Currency 8 2" xfId="347"/>
    <cellStyle name="Currency 8 2 2" xfId="348"/>
    <cellStyle name="Currency 8 3" xfId="349"/>
    <cellStyle name="Currency 8 4" xfId="290"/>
    <cellStyle name="Currency 9" xfId="157"/>
    <cellStyle name="Currency 9 2" xfId="350"/>
    <cellStyle name="Currency 9 3" xfId="292"/>
    <cellStyle name="Currency0" xfId="592"/>
    <cellStyle name="Data Enter" xfId="58"/>
    <cellStyle name="date" xfId="158"/>
    <cellStyle name="Explanatory Text 2" xfId="159"/>
    <cellStyle name="Explanatory Text 3" xfId="593"/>
    <cellStyle name="F9ReportControlStyle_ctpInquire" xfId="594"/>
    <cellStyle name="FactSheet" xfId="59"/>
    <cellStyle name="fish" xfId="160"/>
    <cellStyle name="Good 2" xfId="60"/>
    <cellStyle name="Good 2 2" xfId="595"/>
    <cellStyle name="Good 3" xfId="596"/>
    <cellStyle name="Good 3 2" xfId="597"/>
    <cellStyle name="Good 3 3" xfId="598"/>
    <cellStyle name="Good 4" xfId="599"/>
    <cellStyle name="Heading 1 2" xfId="61"/>
    <cellStyle name="Heading 1 2 2" xfId="600"/>
    <cellStyle name="Heading 1 2 3" xfId="601"/>
    <cellStyle name="Heading 1 3" xfId="161"/>
    <cellStyle name="Heading 1 3 2" xfId="602"/>
    <cellStyle name="Heading 1 3 3" xfId="603"/>
    <cellStyle name="Heading 1 4" xfId="604"/>
    <cellStyle name="Heading 2 2" xfId="62"/>
    <cellStyle name="Heading 2 2 2" xfId="605"/>
    <cellStyle name="Heading 2 2 3" xfId="606"/>
    <cellStyle name="Heading 2 3" xfId="162"/>
    <cellStyle name="Heading 2 3 2" xfId="607"/>
    <cellStyle name="Heading 2 3 3" xfId="608"/>
    <cellStyle name="Heading 2 4" xfId="609"/>
    <cellStyle name="Heading 3 2" xfId="63"/>
    <cellStyle name="Heading 3 2 2" xfId="610"/>
    <cellStyle name="Heading 3 2 3" xfId="611"/>
    <cellStyle name="Heading 3 3" xfId="163"/>
    <cellStyle name="Heading 3 3 2" xfId="612"/>
    <cellStyle name="Heading 3 3 3" xfId="613"/>
    <cellStyle name="Heading 3 4" xfId="614"/>
    <cellStyle name="Heading 4 2" xfId="164"/>
    <cellStyle name="Heading 4 3" xfId="615"/>
    <cellStyle name="Heading 4 3 2" xfId="616"/>
    <cellStyle name="Hyperlink 2" xfId="64"/>
    <cellStyle name="Hyperlink 2 2" xfId="617"/>
    <cellStyle name="Hyperlink 2 2 2" xfId="618"/>
    <cellStyle name="Hyperlink 3" xfId="65"/>
    <cellStyle name="Hyperlink 3 2" xfId="619"/>
    <cellStyle name="Input 2" xfId="165"/>
    <cellStyle name="Input 3" xfId="620"/>
    <cellStyle name="Input 3 2" xfId="621"/>
    <cellStyle name="input(0)" xfId="66"/>
    <cellStyle name="Input(2)" xfId="67"/>
    <cellStyle name="Labels" xfId="622"/>
    <cellStyle name="Linked Cell 2" xfId="68"/>
    <cellStyle name="Linked Cell 2 2" xfId="623"/>
    <cellStyle name="Linked Cell 2 3" xfId="624"/>
    <cellStyle name="Linked Cell 3" xfId="625"/>
    <cellStyle name="Linked Cell 3 2" xfId="626"/>
    <cellStyle name="Neutral 2" xfId="69"/>
    <cellStyle name="Neutral 2 2" xfId="627"/>
    <cellStyle name="Neutral 2 3" xfId="628"/>
    <cellStyle name="Neutral 3" xfId="629"/>
    <cellStyle name="Neutral 3 2" xfId="630"/>
    <cellStyle name="New_normal" xfId="70"/>
    <cellStyle name="Normal" xfId="0" builtinId="0"/>
    <cellStyle name="Normal - Style1" xfId="71"/>
    <cellStyle name="Normal - Style2" xfId="72"/>
    <cellStyle name="Normal - Style3" xfId="73"/>
    <cellStyle name="Normal - Style4" xfId="74"/>
    <cellStyle name="Normal - Style5" xfId="75"/>
    <cellStyle name="Normal 10" xfId="76"/>
    <cellStyle name="Normal 10 2" xfId="166"/>
    <cellStyle name="Normal 10 2 2" xfId="167"/>
    <cellStyle name="Normal 10 2 2 2" xfId="353"/>
    <cellStyle name="Normal 10 2 3" xfId="354"/>
    <cellStyle name="Normal 10 2 4" xfId="631"/>
    <cellStyle name="Normal 10 2 4 2" xfId="632"/>
    <cellStyle name="Normal 10 2 5" xfId="633"/>
    <cellStyle name="Normal 10 3" xfId="355"/>
    <cellStyle name="Normal 10 3 2" xfId="356"/>
    <cellStyle name="Normal 10 4" xfId="357"/>
    <cellStyle name="Normal 10_2112 DF Schedule" xfId="168"/>
    <cellStyle name="Normal 100" xfId="634"/>
    <cellStyle name="Normal 101" xfId="635"/>
    <cellStyle name="Normal 102" xfId="636"/>
    <cellStyle name="Normal 103" xfId="637"/>
    <cellStyle name="Normal 104" xfId="638"/>
    <cellStyle name="Normal 105" xfId="639"/>
    <cellStyle name="Normal 106" xfId="640"/>
    <cellStyle name="Normal 107" xfId="641"/>
    <cellStyle name="Normal 108" xfId="642"/>
    <cellStyle name="Normal 109" xfId="643"/>
    <cellStyle name="Normal 109 2" xfId="644"/>
    <cellStyle name="Normal 11" xfId="77"/>
    <cellStyle name="Normal 11 2" xfId="358"/>
    <cellStyle name="Normal 11 2 2" xfId="359"/>
    <cellStyle name="Normal 11 2 2 2" xfId="360"/>
    <cellStyle name="Normal 11 2 3" xfId="361"/>
    <cellStyle name="Normal 11 3" xfId="362"/>
    <cellStyle name="Normal 11 3 2" xfId="363"/>
    <cellStyle name="Normal 11 4" xfId="364"/>
    <cellStyle name="Normal 110" xfId="645"/>
    <cellStyle name="Normal 111" xfId="646"/>
    <cellStyle name="Normal 112" xfId="647"/>
    <cellStyle name="Normal 12" xfId="78"/>
    <cellStyle name="Normal 12 2" xfId="365"/>
    <cellStyle name="Normal 12 2 2" xfId="366"/>
    <cellStyle name="Normal 12 2 2 2" xfId="367"/>
    <cellStyle name="Normal 12 2 3" xfId="368"/>
    <cellStyle name="Normal 12 3" xfId="369"/>
    <cellStyle name="Normal 12 3 2" xfId="370"/>
    <cellStyle name="Normal 12 4" xfId="371"/>
    <cellStyle name="Normal 12 5" xfId="648"/>
    <cellStyle name="Normal 12_Sheet1" xfId="649"/>
    <cellStyle name="Normal 13" xfId="79"/>
    <cellStyle name="Normal 13 2" xfId="372"/>
    <cellStyle name="Normal 13 2 2" xfId="373"/>
    <cellStyle name="Normal 13 2 2 2" xfId="374"/>
    <cellStyle name="Normal 13 2 3" xfId="375"/>
    <cellStyle name="Normal 13 3" xfId="376"/>
    <cellStyle name="Normal 13 3 2" xfId="377"/>
    <cellStyle name="Normal 13 4" xfId="378"/>
    <cellStyle name="Normal 13 5" xfId="650"/>
    <cellStyle name="Normal 13_Sheet1" xfId="651"/>
    <cellStyle name="Normal 14" xfId="80"/>
    <cellStyle name="Normal 14 2" xfId="379"/>
    <cellStyle name="Normal 14 2 2" xfId="380"/>
    <cellStyle name="Normal 14 3" xfId="381"/>
    <cellStyle name="Normal 14 4" xfId="652"/>
    <cellStyle name="Normal 14_Sheet1" xfId="653"/>
    <cellStyle name="Normal 15" xfId="81"/>
    <cellStyle name="Normal 15 2" xfId="382"/>
    <cellStyle name="Normal 15 2 2" xfId="654"/>
    <cellStyle name="Normal 15 3" xfId="655"/>
    <cellStyle name="Normal 15 3 2" xfId="656"/>
    <cellStyle name="Normal 15 4" xfId="657"/>
    <cellStyle name="Normal 16" xfId="82"/>
    <cellStyle name="Normal 16 2" xfId="383"/>
    <cellStyle name="Normal 16 3" xfId="384"/>
    <cellStyle name="Normal 16 3 2" xfId="385"/>
    <cellStyle name="Normal 16 4" xfId="386"/>
    <cellStyle name="Normal 17" xfId="83"/>
    <cellStyle name="Normal 17 2" xfId="387"/>
    <cellStyle name="Normal 17 3" xfId="658"/>
    <cellStyle name="Normal 17 3 2" xfId="659"/>
    <cellStyle name="Normal 18" xfId="84"/>
    <cellStyle name="Normal 18 2" xfId="388"/>
    <cellStyle name="Normal 18 2 2" xfId="389"/>
    <cellStyle name="Normal 18 3" xfId="390"/>
    <cellStyle name="Normal 18 3 2" xfId="391"/>
    <cellStyle name="Normal 18 4" xfId="392"/>
    <cellStyle name="Normal 18 5" xfId="393"/>
    <cellStyle name="Normal 19" xfId="85"/>
    <cellStyle name="Normal 19 2" xfId="660"/>
    <cellStyle name="Normal 19 3" xfId="661"/>
    <cellStyle name="Normal 19 3 2" xfId="662"/>
    <cellStyle name="Normal 2" xfId="86"/>
    <cellStyle name="Normal 2 10" xfId="663"/>
    <cellStyle name="Normal 2 11" xfId="664"/>
    <cellStyle name="Normal 2 2" xfId="87"/>
    <cellStyle name="Normal 2 2 2" xfId="88"/>
    <cellStyle name="Normal 2 2 2 2" xfId="665"/>
    <cellStyle name="Normal 2 2 2_JE_IS11" xfId="666"/>
    <cellStyle name="Normal 2 2 3" xfId="89"/>
    <cellStyle name="Normal 2 2 4" xfId="667"/>
    <cellStyle name="Normal 2 2_4MthProj2" xfId="261"/>
    <cellStyle name="Normal 2 3" xfId="90"/>
    <cellStyle name="Normal 2 3 2" xfId="91"/>
    <cellStyle name="Normal 2 3 2 2" xfId="668"/>
    <cellStyle name="Normal 2 3 2 3" xfId="669"/>
    <cellStyle name="Normal 2 3 3" xfId="92"/>
    <cellStyle name="Normal 2 3_4MthProj2" xfId="262"/>
    <cellStyle name="Normal 2 4" xfId="93"/>
    <cellStyle name="Normal 2 4 2" xfId="351"/>
    <cellStyle name="Normal 2 4 2 2" xfId="670"/>
    <cellStyle name="Normal 2 4 3" xfId="273"/>
    <cellStyle name="Normal 2 4 3 2" xfId="671"/>
    <cellStyle name="Normal 2 5" xfId="94"/>
    <cellStyle name="Normal 2 6" xfId="672"/>
    <cellStyle name="Normal 2 6 2" xfId="673"/>
    <cellStyle name="Normal 2 7" xfId="674"/>
    <cellStyle name="Normal 2 7 2" xfId="675"/>
    <cellStyle name="Normal 2 8" xfId="676"/>
    <cellStyle name="Normal 2 9" xfId="677"/>
    <cellStyle name="Normal 2_2009 Regulated Price Out" xfId="678"/>
    <cellStyle name="Normal 20" xfId="169"/>
    <cellStyle name="Normal 20 2" xfId="286"/>
    <cellStyle name="Normal 20 2 2" xfId="679"/>
    <cellStyle name="Normal 20 3" xfId="680"/>
    <cellStyle name="Normal 20 4" xfId="681"/>
    <cellStyle name="Normal 21" xfId="170"/>
    <cellStyle name="Normal 21 2" xfId="682"/>
    <cellStyle name="Normal 21 2 2" xfId="683"/>
    <cellStyle name="Normal 21 3" xfId="684"/>
    <cellStyle name="Normal 22" xfId="171"/>
    <cellStyle name="Normal 22 2" xfId="685"/>
    <cellStyle name="Normal 22 3" xfId="686"/>
    <cellStyle name="Normal 23" xfId="172"/>
    <cellStyle name="Normal 23 2" xfId="293"/>
    <cellStyle name="Normal 23 3" xfId="288"/>
    <cellStyle name="Normal 24" xfId="173"/>
    <cellStyle name="Normal 24 2" xfId="289"/>
    <cellStyle name="Normal 25" xfId="174"/>
    <cellStyle name="Normal 26" xfId="175"/>
    <cellStyle name="Normal 27" xfId="176"/>
    <cellStyle name="Normal 27 2" xfId="687"/>
    <cellStyle name="Normal 27 2 2" xfId="688"/>
    <cellStyle name="Normal 27 3" xfId="689"/>
    <cellStyle name="Normal 28" xfId="177"/>
    <cellStyle name="Normal 29" xfId="178"/>
    <cellStyle name="Normal 3" xfId="95"/>
    <cellStyle name="Normal 3 2" xfId="96"/>
    <cellStyle name="Normal 3 2 2" xfId="272"/>
    <cellStyle name="Normal 3 2 2 2" xfId="271"/>
    <cellStyle name="Normal 3 3" xfId="270"/>
    <cellStyle name="Normal 3 3 2" xfId="269"/>
    <cellStyle name="Normal 3 3 3" xfId="690"/>
    <cellStyle name="Normal 3 4" xfId="263"/>
    <cellStyle name="Normal 3_2012 PR" xfId="179"/>
    <cellStyle name="Normal 30" xfId="180"/>
    <cellStyle name="Normal 31" xfId="181"/>
    <cellStyle name="Normal 31 2" xfId="395"/>
    <cellStyle name="Normal 31 2 2" xfId="396"/>
    <cellStyle name="Normal 31 3" xfId="397"/>
    <cellStyle name="Normal 31 4" xfId="394"/>
    <cellStyle name="Normal 32" xfId="182"/>
    <cellStyle name="Normal 32 2" xfId="399"/>
    <cellStyle name="Normal 32 2 2" xfId="400"/>
    <cellStyle name="Normal 32 3" xfId="401"/>
    <cellStyle name="Normal 32 4" xfId="398"/>
    <cellStyle name="Normal 33" xfId="183"/>
    <cellStyle name="Normal 34" xfId="184"/>
    <cellStyle name="Normal 35" xfId="185"/>
    <cellStyle name="Normal 35 2" xfId="403"/>
    <cellStyle name="Normal 35 3" xfId="402"/>
    <cellStyle name="Normal 36" xfId="186"/>
    <cellStyle name="Normal 36 2" xfId="404"/>
    <cellStyle name="Normal 37" xfId="187"/>
    <cellStyle name="Normal 37 2" xfId="405"/>
    <cellStyle name="Normal 38" xfId="188"/>
    <cellStyle name="Normal 38 2" xfId="406"/>
    <cellStyle name="Normal 39" xfId="189"/>
    <cellStyle name="Normal 39 2" xfId="407"/>
    <cellStyle name="Normal 4" xfId="97"/>
    <cellStyle name="Normal 4 2" xfId="408"/>
    <cellStyle name="Normal 4 2 2" xfId="268"/>
    <cellStyle name="Normal 4 2 3" xfId="691"/>
    <cellStyle name="Normal 4 3" xfId="267"/>
    <cellStyle name="Normal 4 3 2" xfId="266"/>
    <cellStyle name="Normal 4 3 2 2" xfId="692"/>
    <cellStyle name="Normal 4 3 3" xfId="693"/>
    <cellStyle name="Normal 4 4" xfId="265"/>
    <cellStyle name="Normal 4 5" xfId="694"/>
    <cellStyle name="Normal 4_B&amp;O Taxes" xfId="264"/>
    <cellStyle name="Normal 40" xfId="190"/>
    <cellStyle name="Normal 40 2" xfId="409"/>
    <cellStyle name="Normal 41" xfId="191"/>
    <cellStyle name="Normal 41 2" xfId="410"/>
    <cellStyle name="Normal 42" xfId="192"/>
    <cellStyle name="Normal 43" xfId="193"/>
    <cellStyle name="Normal 44" xfId="194"/>
    <cellStyle name="Normal 44 2" xfId="411"/>
    <cellStyle name="Normal 45" xfId="195"/>
    <cellStyle name="Normal 46" xfId="196"/>
    <cellStyle name="Normal 47" xfId="197"/>
    <cellStyle name="Normal 48" xfId="198"/>
    <cellStyle name="Normal 49" xfId="199"/>
    <cellStyle name="Normal 5" xfId="98"/>
    <cellStyle name="Normal 5 2" xfId="99"/>
    <cellStyle name="Normal 5 2 2" xfId="412"/>
    <cellStyle name="Normal 5 2 2 2" xfId="413"/>
    <cellStyle name="Normal 5 2 3" xfId="414"/>
    <cellStyle name="Normal 5 3" xfId="415"/>
    <cellStyle name="Normal 5 3 2" xfId="416"/>
    <cellStyle name="Normal 5 4" xfId="417"/>
    <cellStyle name="Normal 5 5" xfId="695"/>
    <cellStyle name="Normal 5_2112 DF Schedule" xfId="200"/>
    <cellStyle name="Normal 50" xfId="201"/>
    <cellStyle name="Normal 51" xfId="202"/>
    <cellStyle name="Normal 52" xfId="203"/>
    <cellStyle name="Normal 53" xfId="204"/>
    <cellStyle name="Normal 54" xfId="205"/>
    <cellStyle name="Normal 55" xfId="206"/>
    <cellStyle name="Normal 56" xfId="207"/>
    <cellStyle name="Normal 57" xfId="208"/>
    <cellStyle name="Normal 58" xfId="209"/>
    <cellStyle name="Normal 59" xfId="210"/>
    <cellStyle name="Normal 6" xfId="100"/>
    <cellStyle name="Normal 6 2" xfId="418"/>
    <cellStyle name="Normal 6 2 2" xfId="419"/>
    <cellStyle name="Normal 6 2 2 2" xfId="420"/>
    <cellStyle name="Normal 6 2 3" xfId="421"/>
    <cellStyle name="Normal 6 3" xfId="422"/>
    <cellStyle name="Normal 6 3 2" xfId="423"/>
    <cellStyle name="Normal 6 4" xfId="424"/>
    <cellStyle name="Normal 60" xfId="211"/>
    <cellStyle name="Normal 61" xfId="212"/>
    <cellStyle name="Normal 62" xfId="213"/>
    <cellStyle name="Normal 63" xfId="214"/>
    <cellStyle name="Normal 64" xfId="215"/>
    <cellStyle name="Normal 65" xfId="216"/>
    <cellStyle name="Normal 66" xfId="217"/>
    <cellStyle name="Normal 67" xfId="218"/>
    <cellStyle name="Normal 68" xfId="219"/>
    <cellStyle name="Normal 69" xfId="220"/>
    <cellStyle name="Normal 7" xfId="101"/>
    <cellStyle name="Normal 7 2" xfId="425"/>
    <cellStyle name="Normal 7 2 2" xfId="426"/>
    <cellStyle name="Normal 7 2 2 2" xfId="427"/>
    <cellStyle name="Normal 7 2 2 2 2" xfId="428"/>
    <cellStyle name="Normal 7 2 2 3" xfId="429"/>
    <cellStyle name="Normal 7 2 3" xfId="430"/>
    <cellStyle name="Normal 7 2 3 2" xfId="431"/>
    <cellStyle name="Normal 7 2 4" xfId="432"/>
    <cellStyle name="Normal 7 3" xfId="433"/>
    <cellStyle name="Normal 7 3 2" xfId="434"/>
    <cellStyle name="Normal 7 3 2 2" xfId="435"/>
    <cellStyle name="Normal 7 3 3" xfId="436"/>
    <cellStyle name="Normal 7 4" xfId="437"/>
    <cellStyle name="Normal 7 4 2" xfId="438"/>
    <cellStyle name="Normal 7 5" xfId="439"/>
    <cellStyle name="Normal 70" xfId="221"/>
    <cellStyle name="Normal 71" xfId="222"/>
    <cellStyle name="Normal 72" xfId="223"/>
    <cellStyle name="Normal 73" xfId="224"/>
    <cellStyle name="Normal 74" xfId="225"/>
    <cellStyle name="Normal 75" xfId="226"/>
    <cellStyle name="Normal 76" xfId="227"/>
    <cellStyle name="Normal 77" xfId="228"/>
    <cellStyle name="Normal 78" xfId="229"/>
    <cellStyle name="Normal 79" xfId="230"/>
    <cellStyle name="Normal 8" xfId="102"/>
    <cellStyle name="Normal 8 2" xfId="440"/>
    <cellStyle name="Normal 8 2 2" xfId="441"/>
    <cellStyle name="Normal 8 2 2 2" xfId="442"/>
    <cellStyle name="Normal 8 2 3" xfId="443"/>
    <cellStyle name="Normal 8 3" xfId="444"/>
    <cellStyle name="Normal 8 3 2" xfId="445"/>
    <cellStyle name="Normal 8 4" xfId="446"/>
    <cellStyle name="Normal 80" xfId="231"/>
    <cellStyle name="Normal 81" xfId="232"/>
    <cellStyle name="Normal 82" xfId="233"/>
    <cellStyle name="Normal 83" xfId="234"/>
    <cellStyle name="Normal 84" xfId="235"/>
    <cellStyle name="Normal 84 2" xfId="696"/>
    <cellStyle name="Normal 84 3" xfId="697"/>
    <cellStyle name="Normal 85" xfId="468"/>
    <cellStyle name="Normal 85 2" xfId="698"/>
    <cellStyle name="Normal 85 2 2" xfId="699"/>
    <cellStyle name="Normal 85 3" xfId="700"/>
    <cellStyle name="Normal 86" xfId="470"/>
    <cellStyle name="Normal 87" xfId="472"/>
    <cellStyle name="Normal 88" xfId="473"/>
    <cellStyle name="Normal 89" xfId="701"/>
    <cellStyle name="Normal 9" xfId="103"/>
    <cellStyle name="Normal 9 2" xfId="447"/>
    <cellStyle name="Normal 9 2 2" xfId="448"/>
    <cellStyle name="Normal 9 2 2 2" xfId="449"/>
    <cellStyle name="Normal 9 2 3" xfId="450"/>
    <cellStyle name="Normal 9 3" xfId="451"/>
    <cellStyle name="Normal 9 3 2" xfId="452"/>
    <cellStyle name="Normal 9 4" xfId="453"/>
    <cellStyle name="Normal 90" xfId="702"/>
    <cellStyle name="Normal 91" xfId="703"/>
    <cellStyle name="Normal 92" xfId="704"/>
    <cellStyle name="Normal 93" xfId="705"/>
    <cellStyle name="Normal 94" xfId="706"/>
    <cellStyle name="Normal 95" xfId="707"/>
    <cellStyle name="Normal 96" xfId="708"/>
    <cellStyle name="Normal 97" xfId="709"/>
    <cellStyle name="Normal 98" xfId="710"/>
    <cellStyle name="Normal 99" xfId="711"/>
    <cellStyle name="Normal_Regulated Price Out 9-6-2011 Final HL" xfId="3"/>
    <cellStyle name="Note 2" xfId="104"/>
    <cellStyle name="Note 2 2" xfId="712"/>
    <cellStyle name="Note 2 3" xfId="713"/>
    <cellStyle name="Note 3" xfId="236"/>
    <cellStyle name="Note 3 2" xfId="714"/>
    <cellStyle name="Note 3 3" xfId="715"/>
    <cellStyle name="Note 4" xfId="716"/>
    <cellStyle name="Notes" xfId="105"/>
    <cellStyle name="Output 2" xfId="237"/>
    <cellStyle name="Output 3" xfId="717"/>
    <cellStyle name="Output 3 2" xfId="718"/>
    <cellStyle name="Percent" xfId="118" builtinId="5"/>
    <cellStyle name="Percent 10" xfId="471"/>
    <cellStyle name="Percent 2" xfId="106"/>
    <cellStyle name="Percent 2 2" xfId="107"/>
    <cellStyle name="Percent 2 2 2" xfId="719"/>
    <cellStyle name="Percent 2 2 3" xfId="720"/>
    <cellStyle name="Percent 2 3" xfId="238"/>
    <cellStyle name="Percent 2 4" xfId="721"/>
    <cellStyle name="Percent 2 6" xfId="722"/>
    <cellStyle name="Percent 3" xfId="108"/>
    <cellStyle name="Percent 3 2" xfId="454"/>
    <cellStyle name="Percent 3 2 2" xfId="455"/>
    <cellStyle name="Percent 3 2 2 2" xfId="456"/>
    <cellStyle name="Percent 3 2 3" xfId="457"/>
    <cellStyle name="Percent 3 3" xfId="458"/>
    <cellStyle name="Percent 3 3 2" xfId="459"/>
    <cellStyle name="Percent 3 4" xfId="460"/>
    <cellStyle name="Percent 3 5" xfId="294"/>
    <cellStyle name="Percent 4" xfId="109"/>
    <cellStyle name="Percent 4 2" xfId="239"/>
    <cellStyle name="Percent 4 3" xfId="723"/>
    <cellStyle name="Percent 4 4" xfId="724"/>
    <cellStyle name="Percent 4 4 2" xfId="725"/>
    <cellStyle name="Percent 5" xfId="240"/>
    <cellStyle name="Percent 5 2" xfId="462"/>
    <cellStyle name="Percent 5 2 2" xfId="463"/>
    <cellStyle name="Percent 5 3" xfId="464"/>
    <cellStyle name="Percent 5 4" xfId="461"/>
    <cellStyle name="Percent 6" xfId="241"/>
    <cellStyle name="Percent 6 2" xfId="466"/>
    <cellStyle name="Percent 6 3" xfId="465"/>
    <cellStyle name="Percent 7" xfId="242"/>
    <cellStyle name="Percent 7 2" xfId="467"/>
    <cellStyle name="Percent 7 3" xfId="726"/>
    <cellStyle name="Percent 8" xfId="243"/>
    <cellStyle name="Percent 9" xfId="287"/>
    <cellStyle name="Percent(1)" xfId="110"/>
    <cellStyle name="Percent(2)" xfId="111"/>
    <cellStyle name="Posting_Period" xfId="727"/>
    <cellStyle name="PRM" xfId="112"/>
    <cellStyle name="PRM 2" xfId="244"/>
    <cellStyle name="PRM 3" xfId="245"/>
    <cellStyle name="PRM_2011-11" xfId="246"/>
    <cellStyle name="PS_Comma" xfId="728"/>
    <cellStyle name="PSChar" xfId="113"/>
    <cellStyle name="PSDate" xfId="729"/>
    <cellStyle name="PSDec" xfId="730"/>
    <cellStyle name="PSHeading" xfId="114"/>
    <cellStyle name="PSInt" xfId="731"/>
    <cellStyle name="PSSpacer" xfId="732"/>
    <cellStyle name="STYL0 - Style1" xfId="247"/>
    <cellStyle name="STYL1 - Style2" xfId="248"/>
    <cellStyle name="STYL2 - Style3" xfId="249"/>
    <cellStyle name="STYL3 - Style4" xfId="250"/>
    <cellStyle name="STYL4 - Style5" xfId="251"/>
    <cellStyle name="STYL5 - Style6" xfId="252"/>
    <cellStyle name="STYL6 - Style7" xfId="253"/>
    <cellStyle name="STYL7 - Style8" xfId="254"/>
    <cellStyle name="Style 1" xfId="115"/>
    <cellStyle name="Style 1 2" xfId="255"/>
    <cellStyle name="STYLE1" xfId="116"/>
    <cellStyle name="sub heading" xfId="256"/>
    <cellStyle name="Tax_Rate" xfId="733"/>
    <cellStyle name="Title 2" xfId="257"/>
    <cellStyle name="Title 3" xfId="734"/>
    <cellStyle name="Title 3 2" xfId="735"/>
    <cellStyle name="Total 2" xfId="117"/>
    <cellStyle name="Total 2 2" xfId="736"/>
    <cellStyle name="Total 2 3" xfId="737"/>
    <cellStyle name="Total 3" xfId="258"/>
    <cellStyle name="Total 3 2" xfId="738"/>
    <cellStyle name="Total 3 3" xfId="739"/>
    <cellStyle name="Total 4" xfId="740"/>
    <cellStyle name="Transcript_Date" xfId="741"/>
    <cellStyle name="Warning Text 2" xfId="259"/>
    <cellStyle name="Warning Text 3" xfId="742"/>
    <cellStyle name="WM_STANDARD" xfId="7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Brent_Blair_Kortney/PO%20Report%20by%20Division/PO%20Report_v3b%202013-08-26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2010%20Clark%20County-%202009%20Vancouver/12.31.2010%20Test%20Year/Proforma%20Clark%20County%20101231%20Filing-Draft-FINAL%20VERSION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4\home$\Annual%20Reports\2180%20LeMay\2009\LeMay%20Annual%20Report%20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4\home$\LeMay\Master%20Truck%20Schedule\South_LeMay%20Master%20Truck%20Schedule-Share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2120%20Empire/General%20Rate%20Filings/Rate%20Filing%20Effective%203-1-2018/.Empire%20Disposal%20Proforma%204-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4\home$\SRC%20Reports\SRC%20Format\Bonus%20Schedule\PNWR%20SRC%20Bonus%20Schedule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2183-1%20Pacific%20Disp,%20Butlers%20Cove\Filing%20Possibly%202012\Filing\Audit\Final%20Outcome%208-14-2012\Pro%20Forma%20Pacific%20Disposal_Staf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son\Rate%20Increase%201-1-2013\1%20Filing%2011-14-2012\Revised%202-21-2013\staff%20Mason%20Proforma%209-30-2012-Linked%20Cust%20Count%20Fix%2012-2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District\Joe_Garza\mark%20gregg\WUTC%20Files\Eastside\Eastside%20Rate%20Case%202006\Eastside%20RC%202006%20Filing%20Docs\Proforma%20Eastside%202005%204.17.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Columbia%202025/General%20Filing%204-15-2016/Filed%204-15-16/CRD%20Pro%20forma%203-31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2120_IS210"/>
      <sheetName val="Empire Consolidated IS"/>
      <sheetName val="Ratios"/>
      <sheetName val="Spokane Reg - Price out"/>
      <sheetName val="Whitman Reg - Price Out"/>
      <sheetName val="Restating Adj's"/>
      <sheetName val="Pro-forma Adj's"/>
      <sheetName val="Depr Summary"/>
      <sheetName val="LG"/>
      <sheetName val="LG - Packer,RO"/>
      <sheetName val="LG - Recycle"/>
      <sheetName val="Rate Sheet"/>
      <sheetName val="Region OH Calc"/>
      <sheetName val="Corp OH"/>
      <sheetName val="DivCon-DVP Alloc Out"/>
      <sheetName val="70095"/>
      <sheetName val="70195"/>
      <sheetName val="70201"/>
      <sheetName val="7025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3">
          <cell r="K33">
            <v>1205.2666702232293</v>
          </cell>
        </row>
        <row r="112">
          <cell r="G112">
            <v>614017.1</v>
          </cell>
        </row>
      </sheetData>
      <sheetData sheetId="5">
        <row r="3">
          <cell r="A3">
            <v>2017</v>
          </cell>
        </row>
        <row r="172">
          <cell r="D172">
            <v>2298269.0449999999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 refreshError="1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3">
          <cell r="L23">
            <v>2329.3388396454475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BS"/>
      <sheetName val="2025 IS"/>
      <sheetName val="Consolidated IS"/>
      <sheetName val="Pro-forma"/>
      <sheetName val="Restating Adj"/>
      <sheetName val="Restating Expl"/>
      <sheetName val="Pro Forma Adj"/>
      <sheetName val="Ratios"/>
      <sheetName val="LG"/>
      <sheetName val="LG G-48"/>
      <sheetName val="LG G-51"/>
      <sheetName val="G-48 Price Out"/>
      <sheetName val="G-51 Price Out"/>
      <sheetName val="Rate Schedule G-48"/>
      <sheetName val="References"/>
      <sheetName val="G-48 DF Calc"/>
      <sheetName val="DF Schedule"/>
      <sheetName val="Depr Summary"/>
      <sheetName val="Depreciation"/>
      <sheetName val="Payroll Detail"/>
      <sheetName val="DivCon-DVP Alloc In"/>
      <sheetName val="Corp-OH"/>
      <sheetName val="Region OH Calc"/>
      <sheetName val="Corp-BS"/>
      <sheetName val="Corp-IS"/>
      <sheetName val="38000 Other Rev"/>
      <sheetName val="2025 BS 3-31-2015"/>
    </sheetNames>
    <sheetDataSet>
      <sheetData sheetId="0"/>
      <sheetData sheetId="1"/>
      <sheetData sheetId="2"/>
      <sheetData sheetId="3" refreshError="1"/>
      <sheetData sheetId="4"/>
      <sheetData sheetId="5">
        <row r="78">
          <cell r="D78">
            <v>13340.018881532844</v>
          </cell>
        </row>
      </sheetData>
      <sheetData sheetId="6">
        <row r="27">
          <cell r="B27">
            <v>353.32367365298381</v>
          </cell>
        </row>
      </sheetData>
      <sheetData sheetId="7">
        <row r="13">
          <cell r="B13">
            <v>0.89361089902323576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60">
          <cell r="C60">
            <v>178633.12500000003</v>
          </cell>
        </row>
      </sheetData>
      <sheetData sheetId="17">
        <row r="1">
          <cell r="A1" t="str">
            <v>Columbia River Disposal, Inc. G-48/G-51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6">
          <cell r="D6">
            <v>10000</v>
          </cell>
        </row>
        <row r="8">
          <cell r="H8" t="str">
            <v>2016-06</v>
          </cell>
        </row>
        <row r="12">
          <cell r="G12" t="str">
            <v>2015-04</v>
          </cell>
        </row>
        <row r="13">
          <cell r="G13" t="str">
            <v>2016-03</v>
          </cell>
        </row>
      </sheetData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theme="7" tint="0.39997558519241921"/>
    <pageSetUpPr fitToPage="1"/>
  </sheetPr>
  <dimension ref="A1:R27"/>
  <sheetViews>
    <sheetView view="pageBreakPreview" zoomScale="115" zoomScaleNormal="100" zoomScaleSheetLayoutView="115" workbookViewId="0">
      <selection activeCell="J59" sqref="J59"/>
    </sheetView>
  </sheetViews>
  <sheetFormatPr defaultRowHeight="15"/>
  <cols>
    <col min="1" max="1" width="21.28515625" customWidth="1"/>
    <col min="2" max="4" width="11" customWidth="1"/>
    <col min="5" max="5" width="1.5703125" customWidth="1"/>
    <col min="6" max="13" width="10.140625" customWidth="1"/>
    <col min="14" max="14" width="1.42578125" customWidth="1"/>
    <col min="15" max="17" width="10.7109375" customWidth="1"/>
    <col min="18" max="18" width="17.7109375" customWidth="1"/>
  </cols>
  <sheetData>
    <row r="1" spans="1:18">
      <c r="A1" s="37" t="s">
        <v>258</v>
      </c>
    </row>
    <row r="2" spans="1:18">
      <c r="A2" s="37" t="s">
        <v>318</v>
      </c>
    </row>
    <row r="3" spans="1:18">
      <c r="A3" s="37"/>
    </row>
    <row r="5" spans="1:18" s="93" customFormat="1" ht="28.5" customHeight="1">
      <c r="B5" s="96" t="s">
        <v>259</v>
      </c>
      <c r="C5" s="96" t="s">
        <v>260</v>
      </c>
      <c r="D5" s="96" t="s">
        <v>287</v>
      </c>
      <c r="E5" s="94"/>
      <c r="F5" s="97" t="s">
        <v>261</v>
      </c>
      <c r="G5" s="97" t="s">
        <v>262</v>
      </c>
      <c r="H5" s="97" t="s">
        <v>263</v>
      </c>
      <c r="I5" s="97" t="s">
        <v>264</v>
      </c>
      <c r="J5" s="97" t="s">
        <v>265</v>
      </c>
      <c r="K5" s="97" t="s">
        <v>266</v>
      </c>
      <c r="L5" s="97" t="s">
        <v>267</v>
      </c>
      <c r="M5" s="97" t="s">
        <v>288</v>
      </c>
      <c r="O5" s="98" t="s">
        <v>285</v>
      </c>
      <c r="P5" s="98" t="s">
        <v>247</v>
      </c>
      <c r="Q5" s="99" t="s">
        <v>248</v>
      </c>
      <c r="R5" s="100" t="s">
        <v>319</v>
      </c>
    </row>
    <row r="6" spans="1:18">
      <c r="A6" s="38" t="s">
        <v>249</v>
      </c>
      <c r="B6" s="39">
        <f>'Spokane Reg - Price out'!G33</f>
        <v>393110.44000000006</v>
      </c>
      <c r="C6" s="39">
        <f>'Whitman Reg - Price Out'!D38</f>
        <v>1066202.5249999999</v>
      </c>
      <c r="D6" s="39">
        <f t="shared" ref="D6:D17" si="0">SUM(B6:C6)</f>
        <v>1459312.9649999999</v>
      </c>
      <c r="E6" s="39"/>
      <c r="F6" s="39"/>
      <c r="G6" s="39">
        <f>'Harrington Non-Reg - Price Out'!E22</f>
        <v>20408.73</v>
      </c>
      <c r="H6" s="39">
        <f>'Latah Co Non-Reg - Price Out'!E16</f>
        <v>18470.77</v>
      </c>
      <c r="I6" s="39">
        <f>'Rockford Non-Reg - Price Out'!E24</f>
        <v>42064.69</v>
      </c>
      <c r="J6" s="39">
        <f>'Spangle Non-Reg - Price Out'!E19</f>
        <v>32945.329999999994</v>
      </c>
      <c r="K6" s="39">
        <f>'Starbuck Non-Reg - Price Out'!E21</f>
        <v>11331.410000000002</v>
      </c>
      <c r="L6" s="39">
        <f>'Tekoa Non-Reg - Price Out'!E25</f>
        <v>84755.780000000013</v>
      </c>
      <c r="M6" s="39">
        <f>SUM(F6:L6)</f>
        <v>209976.71000000002</v>
      </c>
      <c r="O6" s="39">
        <f>D6+M6</f>
        <v>1669289.6749999998</v>
      </c>
      <c r="P6" s="73">
        <v>1674300.1300000001</v>
      </c>
      <c r="Q6" s="39">
        <f>P6-(O6)</f>
        <v>5010.4550000003073</v>
      </c>
      <c r="R6" s="90"/>
    </row>
    <row r="7" spans="1:18">
      <c r="A7" s="38" t="s">
        <v>250</v>
      </c>
      <c r="B7" s="39"/>
      <c r="C7" s="39">
        <f>'Whitman Reg - Price Out'!D43</f>
        <v>4815.3600000000006</v>
      </c>
      <c r="D7" s="39">
        <f t="shared" si="0"/>
        <v>4815.3600000000006</v>
      </c>
      <c r="E7" s="39"/>
      <c r="F7" s="39"/>
      <c r="G7" s="39"/>
      <c r="H7" s="39"/>
      <c r="I7" s="39"/>
      <c r="J7" s="39"/>
      <c r="K7" s="39"/>
      <c r="L7" s="39"/>
      <c r="M7" s="39">
        <f>SUM(F7:L7)</f>
        <v>0</v>
      </c>
      <c r="O7" s="39">
        <f>D7+M7</f>
        <v>4815.3600000000006</v>
      </c>
      <c r="P7" s="73"/>
      <c r="Q7" s="39">
        <f t="shared" ref="Q7:Q17" si="1">P7-O7</f>
        <v>-4815.3600000000006</v>
      </c>
      <c r="R7" s="83" t="s">
        <v>284</v>
      </c>
    </row>
    <row r="8" spans="1:18">
      <c r="A8" s="38" t="s">
        <v>251</v>
      </c>
      <c r="B8" s="39"/>
      <c r="C8" s="39"/>
      <c r="D8" s="39">
        <f t="shared" si="0"/>
        <v>0</v>
      </c>
      <c r="E8" s="39"/>
      <c r="F8" s="39"/>
      <c r="G8" s="39"/>
      <c r="H8" s="39"/>
      <c r="I8" s="39"/>
      <c r="J8" s="39"/>
      <c r="K8" s="39"/>
      <c r="L8" s="39"/>
      <c r="M8" s="39">
        <f t="shared" ref="M8:M17" si="2">SUM(F8:L8)</f>
        <v>0</v>
      </c>
      <c r="O8" s="39">
        <f t="shared" ref="O8:O16" si="3">D8+M8</f>
        <v>0</v>
      </c>
      <c r="P8" s="73"/>
      <c r="Q8" s="39">
        <f t="shared" si="1"/>
        <v>0</v>
      </c>
      <c r="R8" s="83"/>
    </row>
    <row r="9" spans="1:18">
      <c r="A9" s="38" t="s">
        <v>252</v>
      </c>
      <c r="B9" s="39">
        <f>'Spokane Reg - Price out'!G80</f>
        <v>143435.76</v>
      </c>
      <c r="C9" s="39">
        <f>'Whitman Reg - Price Out'!D131</f>
        <v>1039943.5900000001</v>
      </c>
      <c r="D9" s="39">
        <f t="shared" si="0"/>
        <v>1183379.3500000001</v>
      </c>
      <c r="E9" s="39"/>
      <c r="F9" s="39">
        <f>'Army Non-Reg - Price Out'!E21</f>
        <v>34634.249999999993</v>
      </c>
      <c r="G9" s="40">
        <f>'Harrington Non-Reg - Price Out'!E39-'Harrington Non-Reg - Price Out'!E37</f>
        <v>16489.490000000002</v>
      </c>
      <c r="H9" s="39"/>
      <c r="I9" s="40">
        <f>'Rockford Non-Reg - Price Out'!E47-'Rockford Non-Reg - Price Out'!E45</f>
        <v>17073.259999999998</v>
      </c>
      <c r="J9" s="39">
        <f>'Spangle Non-Reg - Price Out'!E36-'Spangle Non-Reg - Price Out'!E34</f>
        <v>16828.079999999994</v>
      </c>
      <c r="K9" s="39">
        <f>'Starbuck Non-Reg - Price Out'!E33-'Starbuck Non-Reg - Price Out'!E31</f>
        <v>2440.0100000000002</v>
      </c>
      <c r="L9" s="39">
        <f>'Tekoa Non-Reg - Price Out'!E69-'Tekoa Non-Reg - Price Out'!E67</f>
        <v>55564.640000000014</v>
      </c>
      <c r="M9" s="39">
        <f>SUM(F9:L9)</f>
        <v>143029.72999999998</v>
      </c>
      <c r="O9" s="39">
        <f>D9+M9</f>
        <v>1326409.08</v>
      </c>
      <c r="P9" s="73">
        <v>1347799.44</v>
      </c>
      <c r="Q9" s="40">
        <f>P9-(O9)</f>
        <v>21390.35999999987</v>
      </c>
      <c r="R9" s="89"/>
    </row>
    <row r="10" spans="1:18">
      <c r="A10" s="38" t="s">
        <v>253</v>
      </c>
      <c r="B10" s="39"/>
      <c r="C10" s="39"/>
      <c r="D10" s="39">
        <f t="shared" si="0"/>
        <v>0</v>
      </c>
      <c r="E10" s="39"/>
      <c r="F10" s="39"/>
      <c r="G10" s="39"/>
      <c r="H10" s="39"/>
      <c r="I10" s="39"/>
      <c r="J10" s="39"/>
      <c r="K10" s="39"/>
      <c r="L10" s="39"/>
      <c r="M10" s="39">
        <f t="shared" si="2"/>
        <v>0</v>
      </c>
      <c r="O10" s="39">
        <f t="shared" si="3"/>
        <v>0</v>
      </c>
      <c r="P10" s="73"/>
      <c r="Q10" s="39">
        <f t="shared" si="1"/>
        <v>0</v>
      </c>
      <c r="R10" s="83"/>
    </row>
    <row r="11" spans="1:18">
      <c r="A11" s="38" t="s">
        <v>254</v>
      </c>
      <c r="B11" s="39"/>
      <c r="C11" s="39"/>
      <c r="D11" s="39">
        <f t="shared" si="0"/>
        <v>0</v>
      </c>
      <c r="E11" s="39"/>
      <c r="F11" s="39"/>
      <c r="G11" s="39"/>
      <c r="H11" s="39"/>
      <c r="I11" s="39"/>
      <c r="J11" s="39"/>
      <c r="K11" s="39"/>
      <c r="L11" s="39"/>
      <c r="M11" s="39">
        <f t="shared" si="2"/>
        <v>0</v>
      </c>
      <c r="O11" s="39">
        <f t="shared" si="3"/>
        <v>0</v>
      </c>
      <c r="P11" s="73"/>
      <c r="Q11" s="39">
        <f t="shared" si="1"/>
        <v>0</v>
      </c>
      <c r="R11" s="83"/>
    </row>
    <row r="12" spans="1:18">
      <c r="A12" s="38" t="s">
        <v>246</v>
      </c>
      <c r="B12" s="39"/>
      <c r="C12" s="39">
        <f>'Whitman Reg - Price Out'!D136</f>
        <v>7280</v>
      </c>
      <c r="D12" s="39">
        <f t="shared" si="0"/>
        <v>7280</v>
      </c>
      <c r="E12" s="39"/>
      <c r="F12" s="39"/>
      <c r="G12" s="39"/>
      <c r="H12" s="39"/>
      <c r="I12" s="39"/>
      <c r="J12" s="39"/>
      <c r="K12" s="39"/>
      <c r="L12" s="39"/>
      <c r="M12" s="39">
        <f t="shared" si="2"/>
        <v>0</v>
      </c>
      <c r="O12" s="39">
        <f t="shared" si="3"/>
        <v>7280</v>
      </c>
      <c r="P12" s="73"/>
      <c r="Q12" s="39">
        <f t="shared" si="1"/>
        <v>-7280</v>
      </c>
      <c r="R12" s="83" t="s">
        <v>283</v>
      </c>
    </row>
    <row r="13" spans="1:18">
      <c r="A13" s="38" t="s">
        <v>286</v>
      </c>
      <c r="B13" s="39"/>
      <c r="C13" s="39">
        <f>'Whitman Reg - Price Out'!D143</f>
        <v>14059.869999999999</v>
      </c>
      <c r="D13" s="39">
        <f t="shared" si="0"/>
        <v>14059.869999999999</v>
      </c>
      <c r="E13" s="39"/>
      <c r="F13" s="39"/>
      <c r="G13" s="39"/>
      <c r="H13" s="39"/>
      <c r="I13" s="39"/>
      <c r="J13" s="39"/>
      <c r="K13" s="39"/>
      <c r="L13" s="39"/>
      <c r="M13" s="39">
        <f t="shared" si="2"/>
        <v>0</v>
      </c>
      <c r="O13" s="39">
        <f t="shared" si="3"/>
        <v>14059.869999999999</v>
      </c>
      <c r="P13" s="73"/>
      <c r="Q13" s="39">
        <f t="shared" si="1"/>
        <v>-14059.869999999999</v>
      </c>
      <c r="R13" s="83" t="s">
        <v>283</v>
      </c>
    </row>
    <row r="14" spans="1:18">
      <c r="A14" s="38" t="s">
        <v>255</v>
      </c>
      <c r="B14" s="39">
        <f>'Spokane Reg - Price out'!G94</f>
        <v>36359.579999999994</v>
      </c>
      <c r="C14" s="39">
        <f>'Whitman Reg - Price Out'!D158</f>
        <v>92934</v>
      </c>
      <c r="D14" s="39">
        <f t="shared" si="0"/>
        <v>129293.57999999999</v>
      </c>
      <c r="E14" s="39"/>
      <c r="F14" s="39">
        <f>'Army Non-Reg - Price Out'!E32</f>
        <v>10862.6</v>
      </c>
      <c r="G14" s="39"/>
      <c r="H14" s="39"/>
      <c r="I14" s="39"/>
      <c r="J14" s="39">
        <f>'Spangle Non-Reg - Price Out'!E47</f>
        <v>0</v>
      </c>
      <c r="K14" s="39"/>
      <c r="L14" s="39"/>
      <c r="M14" s="39">
        <f>SUM(F14:L14)</f>
        <v>10862.6</v>
      </c>
      <c r="O14" s="39">
        <f t="shared" si="3"/>
        <v>140156.18</v>
      </c>
      <c r="P14" s="73">
        <v>144915.54</v>
      </c>
      <c r="Q14" s="39">
        <f>P14-(O14)</f>
        <v>4759.3600000000151</v>
      </c>
      <c r="R14" s="83"/>
    </row>
    <row r="15" spans="1:18">
      <c r="A15" s="38" t="s">
        <v>256</v>
      </c>
      <c r="B15" s="39">
        <f>'Spokane Reg - Price out'!G99</f>
        <v>4175</v>
      </c>
      <c r="C15" s="39"/>
      <c r="D15" s="39">
        <f t="shared" si="0"/>
        <v>4175</v>
      </c>
      <c r="E15" s="39"/>
      <c r="F15" s="39"/>
      <c r="G15" s="39"/>
      <c r="H15" s="39"/>
      <c r="I15" s="39"/>
      <c r="J15" s="39"/>
      <c r="K15" s="39"/>
      <c r="L15" s="39"/>
      <c r="M15" s="39">
        <f t="shared" si="2"/>
        <v>0</v>
      </c>
      <c r="O15" s="39">
        <f t="shared" si="3"/>
        <v>4175</v>
      </c>
      <c r="P15" s="73"/>
      <c r="Q15" s="39">
        <f t="shared" si="1"/>
        <v>-4175</v>
      </c>
      <c r="R15" s="83" t="s">
        <v>282</v>
      </c>
    </row>
    <row r="16" spans="1:18">
      <c r="A16" s="38" t="s">
        <v>257</v>
      </c>
      <c r="B16" s="41">
        <f>'Spokane Reg - Price out'!G104</f>
        <v>36120.33</v>
      </c>
      <c r="C16" s="41">
        <f>'Whitman Reg - Price Out'!D163</f>
        <v>69478.92</v>
      </c>
      <c r="D16" s="39">
        <f t="shared" si="0"/>
        <v>105599.25</v>
      </c>
      <c r="E16" s="41"/>
      <c r="F16" s="41">
        <f>'Army Non-Reg - Price Out'!E37</f>
        <v>5791.4799999999987</v>
      </c>
      <c r="G16" s="41"/>
      <c r="H16" s="41"/>
      <c r="I16" s="41"/>
      <c r="J16" s="41">
        <f>'Spangle Non-Reg - Price Out'!E52</f>
        <v>0</v>
      </c>
      <c r="K16" s="41"/>
      <c r="L16" s="41"/>
      <c r="M16" s="39">
        <f>SUM(F16:L16)</f>
        <v>5791.4799999999987</v>
      </c>
      <c r="O16" s="39">
        <f t="shared" si="3"/>
        <v>111390.73</v>
      </c>
      <c r="P16" s="74">
        <v>110977.63</v>
      </c>
      <c r="Q16" s="39">
        <f t="shared" si="1"/>
        <v>-413.09999999999127</v>
      </c>
      <c r="R16" s="83"/>
    </row>
    <row r="17" spans="1:18">
      <c r="A17" s="38" t="s">
        <v>17</v>
      </c>
      <c r="B17" s="42">
        <f>'Spokane Reg - Price out'!G110</f>
        <v>815.9899999999999</v>
      </c>
      <c r="C17" s="42">
        <f>'Whitman Reg - Price Out'!D170</f>
        <v>3554.7800000000007</v>
      </c>
      <c r="D17" s="42">
        <f t="shared" si="0"/>
        <v>4370.7700000000004</v>
      </c>
      <c r="E17" s="42"/>
      <c r="F17" s="42">
        <f>'Army Non-Reg - Price Out'!E43</f>
        <v>0</v>
      </c>
      <c r="G17" s="42"/>
      <c r="H17" s="42"/>
      <c r="I17" s="42"/>
      <c r="J17" s="42">
        <f>'Spangle Non-Reg - Price Out'!E58</f>
        <v>0</v>
      </c>
      <c r="K17" s="42"/>
      <c r="L17" s="42"/>
      <c r="M17" s="42">
        <f t="shared" si="2"/>
        <v>0</v>
      </c>
      <c r="O17" s="42">
        <f>D17+M17</f>
        <v>4370.7700000000004</v>
      </c>
      <c r="P17" s="75">
        <v>4071.7</v>
      </c>
      <c r="Q17" s="39">
        <f t="shared" si="1"/>
        <v>-299.07000000000062</v>
      </c>
      <c r="R17" s="90"/>
    </row>
    <row r="18" spans="1:18">
      <c r="B18" s="39">
        <f>SUM(B6:B17)</f>
        <v>614017.1</v>
      </c>
      <c r="C18" s="39">
        <f>SUM(C6:C17)</f>
        <v>2298269.0449999999</v>
      </c>
      <c r="D18" s="39">
        <f>SUM(D6:D17)</f>
        <v>2912286.145</v>
      </c>
      <c r="E18" s="39"/>
      <c r="F18" s="39">
        <f>SUM(F6:F17)</f>
        <v>51288.329999999987</v>
      </c>
      <c r="G18" s="39">
        <f t="shared" ref="G18:L18" si="4">SUM(G6:G17)</f>
        <v>36898.22</v>
      </c>
      <c r="H18" s="39">
        <f t="shared" si="4"/>
        <v>18470.77</v>
      </c>
      <c r="I18" s="39">
        <f t="shared" si="4"/>
        <v>59137.95</v>
      </c>
      <c r="J18" s="39">
        <f t="shared" si="4"/>
        <v>49773.409999999989</v>
      </c>
      <c r="K18" s="39">
        <f t="shared" si="4"/>
        <v>13771.420000000002</v>
      </c>
      <c r="L18" s="39">
        <f t="shared" si="4"/>
        <v>140320.42000000004</v>
      </c>
      <c r="M18" s="39">
        <f>SUM(M6:M17)</f>
        <v>369660.51999999996</v>
      </c>
      <c r="O18" s="39">
        <f t="shared" ref="O18" si="5">SUM(O6:O17)</f>
        <v>3281946.6650000005</v>
      </c>
      <c r="P18" s="40">
        <v>3282064.4400000004</v>
      </c>
      <c r="Q18" s="53">
        <f>SUM(Q6:Q17)</f>
        <v>117.77500000020063</v>
      </c>
      <c r="R18" s="84">
        <f>Q18/P18</f>
        <v>3.5884426449652715E-5</v>
      </c>
    </row>
    <row r="19" spans="1:18">
      <c r="A19" s="38"/>
      <c r="B19" s="43">
        <f>B18-'[17]Spokane Reg - Price out'!G112</f>
        <v>0</v>
      </c>
      <c r="C19" s="43">
        <f>C18-'[17]Whitman Reg - Price Out'!D172</f>
        <v>0</v>
      </c>
      <c r="D19" s="46"/>
      <c r="E19" s="43"/>
      <c r="F19" s="43">
        <f>F18-'Army Non-Reg - Price Out'!E45</f>
        <v>0</v>
      </c>
      <c r="G19" s="40">
        <f>G18-'Harrington Non-Reg - Price Out'!E47</f>
        <v>0</v>
      </c>
      <c r="H19" s="40">
        <f>H18-'Latah Co Non-Reg - Price Out'!E19</f>
        <v>0</v>
      </c>
      <c r="I19" s="40">
        <f>I18-'Rockford Non-Reg - Price Out'!E55</f>
        <v>0</v>
      </c>
      <c r="J19" s="40">
        <f>J18-'Spangle Non-Reg - Price Out'!E65</f>
        <v>0</v>
      </c>
      <c r="K19" s="40">
        <f>K18-'Starbuck Non-Reg - Price Out'!E41</f>
        <v>0</v>
      </c>
      <c r="L19" s="40">
        <f>L18-'Tekoa Non-Reg - Price Out'!E76</f>
        <v>0</v>
      </c>
      <c r="M19" s="40"/>
      <c r="N19" s="40"/>
      <c r="O19" s="40"/>
    </row>
    <row r="20" spans="1:18">
      <c r="A20" s="38"/>
      <c r="B20" s="43"/>
      <c r="C20" s="43"/>
      <c r="D20" s="101">
        <f>D18/O18</f>
        <v>0.88736547002965982</v>
      </c>
      <c r="E20" s="43"/>
      <c r="F20" s="43"/>
      <c r="G20" s="40"/>
      <c r="H20" s="40"/>
      <c r="I20" s="40"/>
      <c r="J20" s="40"/>
      <c r="K20" s="40"/>
      <c r="L20" s="40"/>
      <c r="M20" s="40"/>
      <c r="N20" s="40"/>
      <c r="O20" s="40"/>
    </row>
    <row r="22" spans="1:18">
      <c r="D22" s="46"/>
      <c r="M22" s="43"/>
    </row>
    <row r="23" spans="1:18">
      <c r="F23" s="43"/>
    </row>
    <row r="26" spans="1:18">
      <c r="F26" s="46"/>
    </row>
    <row r="27" spans="1:18">
      <c r="F27" s="46"/>
    </row>
  </sheetData>
  <pageMargins left="0.25" right="0.25" top="0.75" bottom="0.75" header="0.3" footer="0.3"/>
  <pageSetup scale="71" fitToHeight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6" tint="0.39997558519241921"/>
    <pageSetUpPr fitToPage="1"/>
  </sheetPr>
  <dimension ref="A1:N76"/>
  <sheetViews>
    <sheetView showGridLines="0" view="pageBreakPreview" topLeftCell="B1" zoomScale="115" zoomScaleNormal="100" zoomScaleSheetLayoutView="115" workbookViewId="0">
      <pane ySplit="6" topLeftCell="A43" activePane="bottomLeft" state="frozen"/>
      <selection activeCell="D23" sqref="D23"/>
      <selection pane="bottomLeft" activeCell="J59" sqref="J59"/>
    </sheetView>
  </sheetViews>
  <sheetFormatPr defaultRowHeight="12.75"/>
  <cols>
    <col min="1" max="1" width="21.28515625" style="5" customWidth="1"/>
    <col min="2" max="2" width="20.5703125" style="14" customWidth="1"/>
    <col min="3" max="3" width="26.5703125" style="14" customWidth="1"/>
    <col min="4" max="5" width="13.85546875" style="5" customWidth="1"/>
    <col min="6" max="6" width="0.85546875" style="5" customWidth="1"/>
    <col min="7" max="8" width="13.85546875" style="5" customWidth="1"/>
    <col min="9" max="9" width="0.85546875" style="5" customWidth="1"/>
    <col min="10" max="10" width="13.85546875" style="5" customWidth="1"/>
    <col min="11" max="11" width="0.85546875" style="5" customWidth="1"/>
    <col min="12" max="12" width="0.7109375" style="5" hidden="1" customWidth="1"/>
    <col min="13" max="13" width="20.42578125" style="5" customWidth="1"/>
    <col min="14" max="14" width="6.85546875" style="5" customWidth="1"/>
    <col min="15" max="17" width="10.7109375" style="5" customWidth="1"/>
    <col min="18" max="18" width="17.7109375" style="5" customWidth="1"/>
    <col min="19" max="16384" width="9.140625" style="5"/>
  </cols>
  <sheetData>
    <row r="1" spans="1:14" ht="12" customHeight="1" thickBot="1">
      <c r="B1" s="1" t="s">
        <v>22</v>
      </c>
      <c r="C1" s="2"/>
      <c r="D1" s="3"/>
      <c r="E1" s="4"/>
      <c r="F1" s="4"/>
      <c r="G1" s="4"/>
    </row>
    <row r="2" spans="1:14" ht="12" customHeight="1">
      <c r="B2" s="1" t="s">
        <v>245</v>
      </c>
      <c r="C2" s="2"/>
      <c r="D2" s="51" t="s">
        <v>294</v>
      </c>
      <c r="E2" s="4"/>
      <c r="F2" s="4"/>
      <c r="G2" s="4"/>
      <c r="M2" s="66" t="s">
        <v>292</v>
      </c>
      <c r="N2" s="69">
        <f>SUM(J11:J15,J40:J41)</f>
        <v>135.97821792472445</v>
      </c>
    </row>
    <row r="3" spans="1:14" ht="12" customHeight="1">
      <c r="B3" s="105">
        <v>2017</v>
      </c>
      <c r="C3" s="2"/>
      <c r="D3" s="3"/>
      <c r="E3" s="4"/>
      <c r="F3" s="2"/>
      <c r="G3" s="4"/>
      <c r="M3" s="67" t="s">
        <v>293</v>
      </c>
      <c r="N3" s="70">
        <v>0</v>
      </c>
    </row>
    <row r="4" spans="1:14" ht="12" customHeight="1">
      <c r="B4" s="2"/>
      <c r="C4" s="8"/>
      <c r="D4" s="9" t="s">
        <v>317</v>
      </c>
      <c r="E4" s="10">
        <v>2017</v>
      </c>
      <c r="F4" s="8"/>
      <c r="G4" s="54">
        <v>2017</v>
      </c>
      <c r="H4" s="54" t="s">
        <v>331</v>
      </c>
      <c r="J4" s="82">
        <v>2017</v>
      </c>
      <c r="M4" s="67" t="s">
        <v>291</v>
      </c>
      <c r="N4" s="70">
        <f>SUM(J30:J37)</f>
        <v>17.291666666666668</v>
      </c>
    </row>
    <row r="5" spans="1:14" ht="15" customHeight="1" thickBot="1">
      <c r="B5" s="11" t="s">
        <v>1</v>
      </c>
      <c r="C5" s="8" t="s">
        <v>2</v>
      </c>
      <c r="D5" s="12" t="s">
        <v>3</v>
      </c>
      <c r="E5" s="10" t="s">
        <v>4</v>
      </c>
      <c r="F5" s="8"/>
      <c r="G5" s="13" t="s">
        <v>5</v>
      </c>
      <c r="H5" s="13" t="s">
        <v>330</v>
      </c>
      <c r="J5" s="82" t="s">
        <v>333</v>
      </c>
      <c r="M5" s="68" t="s">
        <v>246</v>
      </c>
      <c r="N5" s="71">
        <v>0</v>
      </c>
    </row>
    <row r="6" spans="1:14" s="61" customFormat="1" ht="5.25" customHeight="1">
      <c r="B6" s="11"/>
      <c r="C6" s="8"/>
      <c r="D6" s="77"/>
      <c r="E6" s="8"/>
      <c r="F6" s="8"/>
      <c r="G6" s="8"/>
      <c r="M6" s="45"/>
      <c r="N6" s="72"/>
    </row>
    <row r="7" spans="1:14" s="4" customFormat="1" ht="5.25" customHeight="1">
      <c r="D7" s="3"/>
    </row>
    <row r="8" spans="1:14" s="4" customFormat="1" ht="12" customHeight="1">
      <c r="B8" s="16" t="s">
        <v>6</v>
      </c>
      <c r="C8" s="16" t="s">
        <v>6</v>
      </c>
      <c r="D8" s="3"/>
    </row>
    <row r="9" spans="1:14" s="4" customFormat="1" ht="5.25" customHeight="1">
      <c r="B9" s="16"/>
      <c r="C9" s="16"/>
      <c r="D9" s="3"/>
      <c r="J9" s="49"/>
    </row>
    <row r="10" spans="1:14" s="4" customFormat="1" ht="12" customHeight="1">
      <c r="B10" s="17" t="s">
        <v>7</v>
      </c>
      <c r="C10" s="17" t="s">
        <v>7</v>
      </c>
      <c r="D10" s="18"/>
      <c r="E10" s="21"/>
      <c r="F10" s="21"/>
      <c r="G10" s="20"/>
      <c r="J10" s="49"/>
    </row>
    <row r="11" spans="1:14" s="4" customFormat="1" ht="12" customHeight="1">
      <c r="A11" s="4" t="str">
        <f t="shared" ref="A11:A22" si="0">"TEKOA"&amp;"RESIDENTIAL"&amp;B11</f>
        <v>TEKOARESIDENTIALRL032.0G1M001</v>
      </c>
      <c r="B11" s="5" t="s">
        <v>25</v>
      </c>
      <c r="C11" s="5" t="s">
        <v>26</v>
      </c>
      <c r="D11" s="18">
        <v>11.46</v>
      </c>
      <c r="E11" s="21">
        <v>2864.9999999999995</v>
      </c>
      <c r="F11" s="21"/>
      <c r="G11" s="20">
        <f>IFERROR(E11/D11,0)</f>
        <v>249.99999999999994</v>
      </c>
      <c r="H11" s="20">
        <f>G11/12</f>
        <v>20.833333333333329</v>
      </c>
      <c r="I11" s="20"/>
      <c r="J11" s="20">
        <v>0</v>
      </c>
    </row>
    <row r="12" spans="1:14" s="4" customFormat="1" ht="12" customHeight="1">
      <c r="A12" s="4" t="str">
        <f t="shared" si="0"/>
        <v>TEKOARESIDENTIALRL032.0G1W001</v>
      </c>
      <c r="B12" s="5" t="s">
        <v>27</v>
      </c>
      <c r="C12" s="5" t="s">
        <v>28</v>
      </c>
      <c r="D12" s="59">
        <v>18.2</v>
      </c>
      <c r="E12" s="21">
        <v>24902.170000000002</v>
      </c>
      <c r="F12" s="21"/>
      <c r="G12" s="20">
        <f t="shared" ref="G12:G15" si="1">IFERROR(E12/D12,0)</f>
        <v>1368.2510989010991</v>
      </c>
      <c r="H12" s="20">
        <f t="shared" ref="H12:H15" si="2">G12/12</f>
        <v>114.02092490842493</v>
      </c>
      <c r="I12" s="20"/>
      <c r="J12" s="20">
        <v>0</v>
      </c>
    </row>
    <row r="13" spans="1:14" s="4" customFormat="1" ht="12" customHeight="1">
      <c r="A13" s="4" t="str">
        <f t="shared" si="0"/>
        <v>TEKOARESIDENTIALRL032.0G1W002</v>
      </c>
      <c r="B13" s="5" t="s">
        <v>29</v>
      </c>
      <c r="C13" s="5" t="s">
        <v>30</v>
      </c>
      <c r="D13" s="59">
        <v>24.19</v>
      </c>
      <c r="E13" s="21">
        <v>4819.8599999999997</v>
      </c>
      <c r="F13" s="21"/>
      <c r="G13" s="20">
        <f t="shared" si="1"/>
        <v>199.25010334849108</v>
      </c>
      <c r="H13" s="20">
        <f t="shared" si="2"/>
        <v>16.604175279040923</v>
      </c>
      <c r="I13" s="20"/>
      <c r="J13" s="20">
        <v>0</v>
      </c>
    </row>
    <row r="14" spans="1:14" s="4" customFormat="1" ht="12" customHeight="1">
      <c r="A14" s="4" t="str">
        <f t="shared" si="0"/>
        <v>TEKOARESIDENTIALRL090.0G1W001</v>
      </c>
      <c r="B14" s="5" t="s">
        <v>37</v>
      </c>
      <c r="C14" s="5" t="s">
        <v>38</v>
      </c>
      <c r="D14" s="59">
        <v>32.06</v>
      </c>
      <c r="E14" s="21">
        <v>47071.73</v>
      </c>
      <c r="F14" s="21"/>
      <c r="G14" s="20">
        <f t="shared" si="1"/>
        <v>1468.2386150966936</v>
      </c>
      <c r="H14" s="20">
        <f t="shared" si="2"/>
        <v>122.35321792472446</v>
      </c>
      <c r="I14" s="20"/>
      <c r="J14" s="20">
        <f t="shared" ref="J14" si="3">H14*1</f>
        <v>122.35321792472446</v>
      </c>
    </row>
    <row r="15" spans="1:14" s="4" customFormat="1" ht="12" customHeight="1">
      <c r="A15" s="4" t="str">
        <f t="shared" si="0"/>
        <v>TEKOARESIDENTIALRL090.0G1W002</v>
      </c>
      <c r="B15" s="5" t="s">
        <v>39</v>
      </c>
      <c r="C15" s="5" t="s">
        <v>40</v>
      </c>
      <c r="D15" s="59">
        <v>64.12</v>
      </c>
      <c r="E15" s="21">
        <v>1394.6100000000004</v>
      </c>
      <c r="F15" s="21"/>
      <c r="G15" s="20">
        <f t="shared" si="1"/>
        <v>21.750000000000004</v>
      </c>
      <c r="H15" s="20">
        <f t="shared" si="2"/>
        <v>1.8125000000000002</v>
      </c>
      <c r="I15" s="20"/>
      <c r="J15" s="20">
        <f>H15*2</f>
        <v>3.6250000000000004</v>
      </c>
    </row>
    <row r="16" spans="1:14" s="4" customFormat="1" ht="12" customHeight="1">
      <c r="A16" s="4" t="str">
        <f t="shared" si="0"/>
        <v>TEKOARESIDENTIALEXTRA-RES</v>
      </c>
      <c r="B16" s="5" t="s">
        <v>45</v>
      </c>
      <c r="C16" s="5" t="s">
        <v>46</v>
      </c>
      <c r="D16" s="59">
        <v>4.16</v>
      </c>
      <c r="E16" s="21">
        <v>3269.14</v>
      </c>
      <c r="F16" s="21"/>
      <c r="G16" s="20"/>
      <c r="H16" s="27"/>
    </row>
    <row r="17" spans="1:10" s="4" customFormat="1" ht="12" customHeight="1">
      <c r="A17" s="4" t="str">
        <f t="shared" si="0"/>
        <v>TEKOARESIDENTIALEXTRYDG-RES</v>
      </c>
      <c r="B17" s="5" t="s">
        <v>47</v>
      </c>
      <c r="C17" s="5" t="s">
        <v>48</v>
      </c>
      <c r="D17" s="59">
        <v>20.78</v>
      </c>
      <c r="E17" s="21">
        <v>31.17</v>
      </c>
      <c r="F17" s="21"/>
      <c r="G17" s="20"/>
      <c r="H17" s="27"/>
    </row>
    <row r="18" spans="1:10" s="4" customFormat="1" ht="12" customHeight="1">
      <c r="A18" s="4" t="str">
        <f t="shared" si="0"/>
        <v>TEKOARESIDENTIALOS-RES</v>
      </c>
      <c r="B18" s="5" t="s">
        <v>51</v>
      </c>
      <c r="C18" s="5" t="s">
        <v>52</v>
      </c>
      <c r="D18" s="59">
        <v>4.16</v>
      </c>
      <c r="E18" s="21">
        <v>41.58</v>
      </c>
      <c r="F18" s="21"/>
      <c r="G18" s="20"/>
      <c r="H18" s="27"/>
    </row>
    <row r="19" spans="1:10" s="4" customFormat="1" ht="12" customHeight="1">
      <c r="A19" s="4" t="str">
        <f t="shared" si="0"/>
        <v>TEKOARESIDENTIALOW-RES</v>
      </c>
      <c r="B19" s="5" t="s">
        <v>53</v>
      </c>
      <c r="C19" s="5" t="s">
        <v>54</v>
      </c>
      <c r="D19" s="59">
        <v>4.16</v>
      </c>
      <c r="E19" s="21">
        <v>91.46</v>
      </c>
      <c r="F19" s="21"/>
      <c r="G19" s="20"/>
      <c r="H19" s="27"/>
    </row>
    <row r="20" spans="1:10" s="2" customFormat="1" ht="12" customHeight="1">
      <c r="A20" s="4" t="str">
        <f t="shared" si="0"/>
        <v>TEKOARESIDENTIALBULKY-RES</v>
      </c>
      <c r="B20" s="5" t="s">
        <v>49</v>
      </c>
      <c r="C20" s="5" t="s">
        <v>50</v>
      </c>
      <c r="D20" s="59">
        <v>20.78</v>
      </c>
      <c r="E20" s="21">
        <v>218.19</v>
      </c>
      <c r="F20" s="21"/>
      <c r="G20" s="20"/>
      <c r="H20" s="27"/>
    </row>
    <row r="21" spans="1:10" s="2" customFormat="1" ht="12" customHeight="1">
      <c r="A21" s="4" t="str">
        <f t="shared" si="0"/>
        <v>TEKOARESIDENTIALDIST-RES</v>
      </c>
      <c r="B21" s="5" t="s">
        <v>55</v>
      </c>
      <c r="C21" s="5" t="s">
        <v>56</v>
      </c>
      <c r="D21" s="59">
        <v>3.64</v>
      </c>
      <c r="E21" s="21">
        <v>45.5</v>
      </c>
      <c r="F21" s="21"/>
      <c r="G21" s="20"/>
      <c r="H21" s="27"/>
    </row>
    <row r="22" spans="1:10" s="4" customFormat="1" ht="12" customHeight="1">
      <c r="A22" s="4" t="str">
        <f t="shared" si="0"/>
        <v>TEKOARESIDENTIALWI1-RES</v>
      </c>
      <c r="B22" s="5" t="s">
        <v>302</v>
      </c>
      <c r="C22" s="5" t="s">
        <v>303</v>
      </c>
      <c r="D22" s="59">
        <v>3.64</v>
      </c>
      <c r="E22" s="21">
        <v>43.68</v>
      </c>
      <c r="F22" s="21"/>
      <c r="G22" s="20"/>
      <c r="H22" s="27"/>
    </row>
    <row r="23" spans="1:10" s="4" customFormat="1" ht="12" customHeight="1">
      <c r="B23" s="4" t="s">
        <v>289</v>
      </c>
      <c r="C23" s="61" t="s">
        <v>290</v>
      </c>
      <c r="D23" s="60">
        <v>0</v>
      </c>
      <c r="E23" s="21">
        <v>-38.31</v>
      </c>
      <c r="F23" s="21"/>
      <c r="G23" s="20"/>
      <c r="H23" s="27"/>
    </row>
    <row r="24" spans="1:10" s="4" customFormat="1" ht="5.25" customHeight="1" thickBot="1">
      <c r="B24" s="22"/>
      <c r="C24" s="22"/>
      <c r="D24" s="18"/>
      <c r="E24" s="21"/>
      <c r="F24" s="21"/>
      <c r="G24" s="20"/>
    </row>
    <row r="25" spans="1:10" s="2" customFormat="1" ht="12" customHeight="1" thickBot="1">
      <c r="B25" s="23"/>
      <c r="C25" s="24" t="s">
        <v>8</v>
      </c>
      <c r="D25" s="18"/>
      <c r="E25" s="25">
        <f>SUM(E11:E24)</f>
        <v>84755.780000000013</v>
      </c>
      <c r="F25" s="36"/>
      <c r="G25" s="64">
        <f>SUM(G11:G15)</f>
        <v>3307.4898173462839</v>
      </c>
      <c r="H25" s="64">
        <f>SUM(H11:H15)</f>
        <v>275.62415144552364</v>
      </c>
      <c r="J25" s="64">
        <f>SUM(J11:J15)</f>
        <v>125.97821792472446</v>
      </c>
    </row>
    <row r="26" spans="1:10" s="4" customFormat="1" ht="5.25" customHeight="1">
      <c r="D26" s="18"/>
      <c r="E26" s="21"/>
      <c r="F26" s="21"/>
      <c r="G26" s="20"/>
    </row>
    <row r="27" spans="1:10" ht="12" customHeight="1">
      <c r="B27" s="29" t="s">
        <v>9</v>
      </c>
      <c r="C27" s="29" t="s">
        <v>9</v>
      </c>
    </row>
    <row r="28" spans="1:10" ht="5.25" customHeight="1">
      <c r="B28" s="29"/>
      <c r="C28" s="29"/>
    </row>
    <row r="29" spans="1:10" s="4" customFormat="1" ht="12" customHeight="1">
      <c r="B29" s="17" t="s">
        <v>10</v>
      </c>
      <c r="C29" s="17" t="s">
        <v>10</v>
      </c>
      <c r="D29" s="18"/>
      <c r="E29" s="21"/>
      <c r="F29" s="21"/>
      <c r="G29" s="20"/>
    </row>
    <row r="30" spans="1:10" s="4" customFormat="1" ht="12" customHeight="1">
      <c r="A30" s="4" t="str">
        <f>"TEKOA"&amp;"COMMERCIAL"&amp;B30</f>
        <v>TEKOACOMMERCIALRL001.0Y1W001</v>
      </c>
      <c r="B30" s="5" t="s">
        <v>61</v>
      </c>
      <c r="C30" s="5" t="s">
        <v>62</v>
      </c>
      <c r="D30" s="59">
        <v>68.25</v>
      </c>
      <c r="E30" s="21">
        <v>1638</v>
      </c>
      <c r="F30" s="21"/>
      <c r="G30" s="20">
        <f t="shared" ref="G30" si="4">IFERROR(E30/D30,0)</f>
        <v>24</v>
      </c>
      <c r="H30" s="20">
        <f t="shared" ref="H30:H41" si="5">G30/12</f>
        <v>2</v>
      </c>
      <c r="I30" s="20"/>
      <c r="J30" s="20">
        <f t="shared" ref="J30:J40" si="6">H30*1</f>
        <v>2</v>
      </c>
    </row>
    <row r="31" spans="1:10" s="4" customFormat="1" ht="12" customHeight="1">
      <c r="A31" s="4" t="str">
        <f t="shared" ref="A31:A67" si="7">"TEKOA"&amp;"COMMERCIAL"&amp;B31</f>
        <v>TEKOACOMMERCIALRL001.5Y1W001</v>
      </c>
      <c r="B31" s="5" t="s">
        <v>63</v>
      </c>
      <c r="C31" s="5" t="s">
        <v>64</v>
      </c>
      <c r="D31" s="60">
        <v>102.86</v>
      </c>
      <c r="E31" s="21">
        <v>4062.9699999999993</v>
      </c>
      <c r="F31" s="21"/>
      <c r="G31" s="20">
        <f t="shared" ref="G31:G41" si="8">IFERROR(E31/D31,0)</f>
        <v>39.499999999999993</v>
      </c>
      <c r="H31" s="20">
        <f t="shared" si="5"/>
        <v>3.2916666666666661</v>
      </c>
      <c r="I31" s="20"/>
      <c r="J31" s="20">
        <f t="shared" si="6"/>
        <v>3.2916666666666661</v>
      </c>
    </row>
    <row r="32" spans="1:10" s="4" customFormat="1" ht="12" customHeight="1">
      <c r="A32" s="4" t="str">
        <f t="shared" si="7"/>
        <v>TEKOACOMMERCIALRL001.5Y1W002</v>
      </c>
      <c r="B32" s="5" t="s">
        <v>65</v>
      </c>
      <c r="C32" s="5" t="s">
        <v>66</v>
      </c>
      <c r="D32" s="60">
        <v>205.73</v>
      </c>
      <c r="E32" s="21">
        <v>2468.7599999999998</v>
      </c>
      <c r="F32" s="21"/>
      <c r="G32" s="20">
        <f t="shared" si="8"/>
        <v>12</v>
      </c>
      <c r="H32" s="20">
        <f t="shared" si="5"/>
        <v>1</v>
      </c>
      <c r="I32" s="20"/>
      <c r="J32" s="20">
        <f>H32*2</f>
        <v>2</v>
      </c>
    </row>
    <row r="33" spans="1:10" s="4" customFormat="1" ht="12" customHeight="1">
      <c r="A33" s="4" t="str">
        <f t="shared" si="7"/>
        <v>TEKOACOMMERCIALRL002.0Y1W001</v>
      </c>
      <c r="B33" s="5" t="s">
        <v>67</v>
      </c>
      <c r="C33" s="5" t="s">
        <v>68</v>
      </c>
      <c r="D33" s="60">
        <v>137.13</v>
      </c>
      <c r="E33" s="21">
        <v>6582.2400000000016</v>
      </c>
      <c r="F33" s="21"/>
      <c r="G33" s="20">
        <f t="shared" si="8"/>
        <v>48.000000000000014</v>
      </c>
      <c r="H33" s="20">
        <f t="shared" si="5"/>
        <v>4.0000000000000009</v>
      </c>
      <c r="I33" s="20"/>
      <c r="J33" s="20">
        <f t="shared" si="6"/>
        <v>4.0000000000000009</v>
      </c>
    </row>
    <row r="34" spans="1:10" s="4" customFormat="1" ht="12" customHeight="1">
      <c r="A34" s="4" t="str">
        <f t="shared" si="7"/>
        <v>TEKOACOMMERCIALRL003.0Y1W001</v>
      </c>
      <c r="B34" s="5" t="s">
        <v>69</v>
      </c>
      <c r="C34" s="5" t="s">
        <v>70</v>
      </c>
      <c r="D34" s="60">
        <v>193.92</v>
      </c>
      <c r="E34" s="21">
        <v>2327.0400000000004</v>
      </c>
      <c r="F34" s="21"/>
      <c r="G34" s="20">
        <f t="shared" si="8"/>
        <v>12.000000000000004</v>
      </c>
      <c r="H34" s="20">
        <f t="shared" si="5"/>
        <v>1.0000000000000002</v>
      </c>
      <c r="I34" s="20"/>
      <c r="J34" s="20">
        <f t="shared" si="6"/>
        <v>1.0000000000000002</v>
      </c>
    </row>
    <row r="35" spans="1:10" s="4" customFormat="1" ht="12" customHeight="1">
      <c r="A35" s="4" t="str">
        <f t="shared" si="7"/>
        <v>TEKOACOMMERCIALRL004.0Y1W001</v>
      </c>
      <c r="B35" s="5" t="s">
        <v>73</v>
      </c>
      <c r="C35" s="5" t="s">
        <v>74</v>
      </c>
      <c r="D35" s="60">
        <v>257.54000000000002</v>
      </c>
      <c r="E35" s="21">
        <v>6180.96</v>
      </c>
      <c r="F35" s="21"/>
      <c r="G35" s="20">
        <f t="shared" si="8"/>
        <v>24</v>
      </c>
      <c r="H35" s="20">
        <f t="shared" si="5"/>
        <v>2</v>
      </c>
      <c r="I35" s="20"/>
      <c r="J35" s="20">
        <f t="shared" si="6"/>
        <v>2</v>
      </c>
    </row>
    <row r="36" spans="1:10" s="4" customFormat="1" ht="12" customHeight="1">
      <c r="A36" s="4" t="str">
        <f t="shared" si="7"/>
        <v>TEKOACOMMERCIALRL006.0Y1W001</v>
      </c>
      <c r="B36" s="5" t="s">
        <v>77</v>
      </c>
      <c r="C36" s="5" t="s">
        <v>78</v>
      </c>
      <c r="D36" s="60">
        <v>375.05</v>
      </c>
      <c r="E36" s="21">
        <v>9001.2000000000025</v>
      </c>
      <c r="F36" s="21"/>
      <c r="G36" s="20">
        <f t="shared" si="8"/>
        <v>24.000000000000007</v>
      </c>
      <c r="H36" s="20">
        <f t="shared" si="5"/>
        <v>2.0000000000000004</v>
      </c>
      <c r="I36" s="20"/>
      <c r="J36" s="20">
        <f t="shared" si="6"/>
        <v>2.0000000000000004</v>
      </c>
    </row>
    <row r="37" spans="1:10" s="4" customFormat="1" ht="12" customHeight="1">
      <c r="A37" s="4" t="str">
        <f t="shared" si="7"/>
        <v>TEKOACOMMERCIALRL008.0Y2W001</v>
      </c>
      <c r="B37" s="5" t="s">
        <v>195</v>
      </c>
      <c r="C37" s="5" t="s">
        <v>196</v>
      </c>
      <c r="D37" s="60">
        <v>976.33</v>
      </c>
      <c r="E37" s="21">
        <v>11715.960000000001</v>
      </c>
      <c r="F37" s="21"/>
      <c r="G37" s="20">
        <f t="shared" si="8"/>
        <v>12</v>
      </c>
      <c r="H37" s="20">
        <f t="shared" si="5"/>
        <v>1</v>
      </c>
      <c r="I37" s="20"/>
      <c r="J37" s="20">
        <f t="shared" si="6"/>
        <v>1</v>
      </c>
    </row>
    <row r="38" spans="1:10" s="4" customFormat="1" ht="12" customHeight="1">
      <c r="A38" s="4" t="str">
        <f t="shared" si="7"/>
        <v>TEKOACOMMERCIALRL032.0G1W001COMM</v>
      </c>
      <c r="B38" s="5" t="s">
        <v>81</v>
      </c>
      <c r="C38" s="5" t="s">
        <v>82</v>
      </c>
      <c r="D38" s="60">
        <v>18.5</v>
      </c>
      <c r="E38" s="21">
        <v>277.5</v>
      </c>
      <c r="F38" s="21"/>
      <c r="G38" s="20">
        <f t="shared" si="8"/>
        <v>15</v>
      </c>
      <c r="H38" s="20">
        <f t="shared" si="5"/>
        <v>1.25</v>
      </c>
      <c r="I38" s="20"/>
      <c r="J38" s="20">
        <f t="shared" si="6"/>
        <v>1.25</v>
      </c>
    </row>
    <row r="39" spans="1:10" s="4" customFormat="1" ht="12" customHeight="1">
      <c r="A39" s="4" t="str">
        <f t="shared" si="7"/>
        <v>TEKOACOMMERCIALRL032.0G1W002COMM</v>
      </c>
      <c r="B39" s="5" t="s">
        <v>83</v>
      </c>
      <c r="C39" s="5" t="s">
        <v>84</v>
      </c>
      <c r="D39" s="60">
        <v>36.9</v>
      </c>
      <c r="E39" s="21">
        <v>442.7999999999999</v>
      </c>
      <c r="F39" s="21"/>
      <c r="G39" s="20">
        <f t="shared" si="8"/>
        <v>11.999999999999998</v>
      </c>
      <c r="H39" s="20">
        <f t="shared" si="5"/>
        <v>0.99999999999999989</v>
      </c>
      <c r="I39" s="20"/>
      <c r="J39" s="20">
        <f>H39*2</f>
        <v>1.9999999999999998</v>
      </c>
    </row>
    <row r="40" spans="1:10" s="4" customFormat="1" ht="12" customHeight="1">
      <c r="A40" s="4" t="str">
        <f t="shared" si="7"/>
        <v>TEKOACOMMERCIALRL090.0G1W001COMM</v>
      </c>
      <c r="B40" s="5" t="s">
        <v>87</v>
      </c>
      <c r="C40" s="5" t="s">
        <v>88</v>
      </c>
      <c r="D40" s="60">
        <v>41.17</v>
      </c>
      <c r="E40" s="21">
        <v>4446.3599999999988</v>
      </c>
      <c r="F40" s="21"/>
      <c r="G40" s="20">
        <f t="shared" si="8"/>
        <v>107.99999999999997</v>
      </c>
      <c r="H40" s="20">
        <f t="shared" si="5"/>
        <v>8.9999999999999982</v>
      </c>
      <c r="I40" s="20"/>
      <c r="J40" s="20">
        <f t="shared" si="6"/>
        <v>8.9999999999999982</v>
      </c>
    </row>
    <row r="41" spans="1:10" s="4" customFormat="1" ht="12" customHeight="1">
      <c r="A41" s="4" t="str">
        <f t="shared" si="7"/>
        <v>TEKOACOMMERCIALRL090.0G1W002COMM</v>
      </c>
      <c r="B41" s="5" t="s">
        <v>89</v>
      </c>
      <c r="C41" s="5" t="s">
        <v>90</v>
      </c>
      <c r="D41" s="60">
        <v>82.33</v>
      </c>
      <c r="E41" s="21">
        <v>493.97999999999996</v>
      </c>
      <c r="F41" s="21"/>
      <c r="G41" s="20">
        <f t="shared" si="8"/>
        <v>6</v>
      </c>
      <c r="H41" s="20">
        <f t="shared" si="5"/>
        <v>0.5</v>
      </c>
      <c r="I41" s="20"/>
      <c r="J41" s="20">
        <f>H41*2</f>
        <v>1</v>
      </c>
    </row>
    <row r="42" spans="1:10" s="4" customFormat="1" ht="12" customHeight="1">
      <c r="B42" s="4" t="s">
        <v>93</v>
      </c>
      <c r="C42" s="61" t="s">
        <v>94</v>
      </c>
      <c r="D42" s="60">
        <v>27.66</v>
      </c>
      <c r="E42" s="21">
        <v>55.32</v>
      </c>
      <c r="F42" s="21"/>
      <c r="G42" s="20">
        <f>IFERROR(E42/D42,0)</f>
        <v>2</v>
      </c>
      <c r="H42" s="20">
        <f>G42/12</f>
        <v>0.16666666666666666</v>
      </c>
      <c r="I42" s="20"/>
      <c r="J42" s="20">
        <f>H42*1</f>
        <v>0.16666666666666666</v>
      </c>
    </row>
    <row r="43" spans="1:10" s="2" customFormat="1" ht="12" customHeight="1">
      <c r="A43" s="2" t="str">
        <f>"TEKOA"&amp;"COMMERCIAL"&amp;B43</f>
        <v>TEKOACOMMERCIALRL2TC-COMM</v>
      </c>
      <c r="B43" s="86" t="s">
        <v>95</v>
      </c>
      <c r="C43" s="86" t="s">
        <v>96</v>
      </c>
      <c r="D43" s="87">
        <v>38.18</v>
      </c>
      <c r="E43" s="92">
        <v>0</v>
      </c>
      <c r="F43" s="92"/>
      <c r="G43" s="19">
        <f>IFERROR(E43/D43,0)</f>
        <v>0</v>
      </c>
      <c r="H43" s="19">
        <f>G43/12</f>
        <v>0</v>
      </c>
      <c r="I43" s="19"/>
      <c r="J43" s="19">
        <f>H43*1</f>
        <v>0</v>
      </c>
    </row>
    <row r="44" spans="1:10" s="2" customFormat="1" ht="12" customHeight="1">
      <c r="B44" s="2" t="s">
        <v>99</v>
      </c>
      <c r="C44" s="86" t="s">
        <v>100</v>
      </c>
      <c r="D44" s="87">
        <v>51.27</v>
      </c>
      <c r="E44" s="92">
        <v>205.08</v>
      </c>
      <c r="F44" s="92"/>
      <c r="G44" s="19">
        <f>IFERROR(E44/D44,0)</f>
        <v>4</v>
      </c>
      <c r="H44" s="19">
        <f>G44/12</f>
        <v>0.33333333333333331</v>
      </c>
      <c r="I44" s="19"/>
      <c r="J44" s="19">
        <f>H44*1</f>
        <v>0.33333333333333331</v>
      </c>
    </row>
    <row r="45" spans="1:10" s="2" customFormat="1" ht="12" customHeight="1">
      <c r="A45" s="2" t="str">
        <f>"TEKOA"&amp;"COMMERCIAL"&amp;B45</f>
        <v>TEKOACOMMERCIALRL4TC-COMM</v>
      </c>
      <c r="B45" s="86" t="s">
        <v>103</v>
      </c>
      <c r="C45" s="86" t="s">
        <v>104</v>
      </c>
      <c r="D45" s="87">
        <v>67.27</v>
      </c>
      <c r="E45" s="92">
        <v>336.34999999999997</v>
      </c>
      <c r="F45" s="92"/>
      <c r="G45" s="19">
        <f>IFERROR(E45/D45,0)</f>
        <v>5</v>
      </c>
      <c r="H45" s="19">
        <f>G45/12</f>
        <v>0.41666666666666669</v>
      </c>
      <c r="I45" s="19"/>
      <c r="J45" s="19">
        <f>H45*1</f>
        <v>0.41666666666666669</v>
      </c>
    </row>
    <row r="46" spans="1:10" s="4" customFormat="1" ht="12" customHeight="1">
      <c r="A46" s="4" t="str">
        <f>"TEKOA"&amp;"COMMERCIAL"&amp;B46</f>
        <v>TEKOACOMMERCIALRL32C-OC</v>
      </c>
      <c r="B46" s="5" t="s">
        <v>97</v>
      </c>
      <c r="C46" s="5" t="s">
        <v>98</v>
      </c>
      <c r="D46" s="60">
        <v>11.64</v>
      </c>
      <c r="E46" s="21">
        <v>0</v>
      </c>
      <c r="F46" s="21"/>
      <c r="G46" s="19"/>
      <c r="H46" s="20"/>
      <c r="I46" s="20"/>
      <c r="J46" s="20"/>
    </row>
    <row r="47" spans="1:10" s="4" customFormat="1" ht="12" customHeight="1">
      <c r="A47" s="4" t="str">
        <f t="shared" si="7"/>
        <v>TEKOACOMMERCIALEXTRA-COMM</v>
      </c>
      <c r="B47" s="5" t="s">
        <v>105</v>
      </c>
      <c r="C47" s="5" t="s">
        <v>106</v>
      </c>
      <c r="D47" s="60">
        <v>4.16</v>
      </c>
      <c r="E47" s="21">
        <v>562.45999999999992</v>
      </c>
      <c r="F47" s="21"/>
      <c r="G47" s="19"/>
      <c r="H47" s="20"/>
      <c r="I47" s="20"/>
      <c r="J47" s="20"/>
    </row>
    <row r="48" spans="1:10" s="4" customFormat="1" ht="12" customHeight="1">
      <c r="B48" s="4" t="s">
        <v>221</v>
      </c>
      <c r="C48" s="61" t="s">
        <v>222</v>
      </c>
      <c r="D48" s="60">
        <v>4.26</v>
      </c>
      <c r="E48" s="21">
        <v>8.52</v>
      </c>
      <c r="F48" s="21"/>
      <c r="G48" s="19"/>
      <c r="H48" s="20"/>
      <c r="I48" s="20"/>
      <c r="J48" s="20"/>
    </row>
    <row r="49" spans="1:13" s="4" customFormat="1" ht="12" customHeight="1">
      <c r="B49" s="4" t="s">
        <v>223</v>
      </c>
      <c r="C49" s="61" t="s">
        <v>224</v>
      </c>
      <c r="D49" s="60">
        <v>4.26</v>
      </c>
      <c r="E49" s="21">
        <v>17</v>
      </c>
      <c r="F49" s="21"/>
      <c r="G49" s="19"/>
      <c r="H49" s="20"/>
      <c r="I49" s="20"/>
      <c r="J49" s="20"/>
    </row>
    <row r="50" spans="1:13" s="4" customFormat="1" ht="12" customHeight="1">
      <c r="B50" s="4" t="s">
        <v>91</v>
      </c>
      <c r="C50" s="61" t="s">
        <v>92</v>
      </c>
      <c r="D50" s="60">
        <v>54.86</v>
      </c>
      <c r="E50" s="21">
        <v>54.86</v>
      </c>
      <c r="F50" s="21"/>
      <c r="G50" s="19"/>
      <c r="H50" s="20"/>
      <c r="I50" s="20"/>
      <c r="J50" s="20"/>
    </row>
    <row r="51" spans="1:13" s="4" customFormat="1" ht="12" customHeight="1">
      <c r="B51" s="4" t="s">
        <v>159</v>
      </c>
      <c r="C51" s="61" t="s">
        <v>160</v>
      </c>
      <c r="D51" s="60">
        <v>12.61</v>
      </c>
      <c r="E51" s="21">
        <v>12.61</v>
      </c>
      <c r="F51" s="21"/>
      <c r="G51" s="20"/>
      <c r="H51" s="20"/>
      <c r="I51" s="20"/>
      <c r="J51" s="20"/>
    </row>
    <row r="52" spans="1:13" s="4" customFormat="1" ht="12" customHeight="1">
      <c r="A52" s="4" t="str">
        <f t="shared" si="7"/>
        <v>TEKOACOMMERCIALEXTRAYDG-COMM</v>
      </c>
      <c r="B52" s="5" t="s">
        <v>107</v>
      </c>
      <c r="C52" s="5" t="s">
        <v>108</v>
      </c>
      <c r="D52" s="60">
        <v>20.78</v>
      </c>
      <c r="E52" s="21">
        <v>425.82000000000005</v>
      </c>
      <c r="F52" s="21"/>
      <c r="G52" s="20"/>
      <c r="H52" s="27"/>
    </row>
    <row r="53" spans="1:13" s="4" customFormat="1" ht="12" customHeight="1">
      <c r="A53" s="4" t="str">
        <f t="shared" si="7"/>
        <v>TEKOACOMMERCIALRENT1.5-COMM</v>
      </c>
      <c r="B53" s="5" t="s">
        <v>109</v>
      </c>
      <c r="C53" s="5" t="s">
        <v>110</v>
      </c>
      <c r="D53" s="60">
        <v>12.81</v>
      </c>
      <c r="E53" s="21">
        <v>813.43999999999994</v>
      </c>
      <c r="F53" s="21"/>
      <c r="G53" s="20"/>
      <c r="H53" s="27"/>
      <c r="M53" s="62"/>
    </row>
    <row r="54" spans="1:13" s="4" customFormat="1" ht="12" customHeight="1">
      <c r="A54" s="4" t="str">
        <f t="shared" si="7"/>
        <v>TEKOACOMMERCIALRENT1-COMM</v>
      </c>
      <c r="B54" s="5" t="s">
        <v>113</v>
      </c>
      <c r="C54" s="5" t="s">
        <v>114</v>
      </c>
      <c r="D54" s="60">
        <v>10.66</v>
      </c>
      <c r="E54" s="21">
        <v>127.91999999999997</v>
      </c>
      <c r="F54" s="21"/>
      <c r="G54" s="20"/>
      <c r="H54" s="27"/>
    </row>
    <row r="55" spans="1:13" s="4" customFormat="1" ht="12" customHeight="1">
      <c r="A55" s="4" t="str">
        <f t="shared" si="7"/>
        <v>TEKOACOMMERCIALRENT2-COMM</v>
      </c>
      <c r="B55" s="5" t="s">
        <v>115</v>
      </c>
      <c r="C55" s="5" t="s">
        <v>116</v>
      </c>
      <c r="D55" s="60">
        <v>17.59</v>
      </c>
      <c r="E55" s="21">
        <v>844.32</v>
      </c>
      <c r="F55" s="21"/>
      <c r="G55" s="20"/>
      <c r="H55" s="27"/>
    </row>
    <row r="56" spans="1:13" s="4" customFormat="1" ht="12" customHeight="1">
      <c r="A56" s="4" t="str">
        <f t="shared" si="7"/>
        <v>TEKOACOMMERCIALRENT2TEMP-COMM</v>
      </c>
      <c r="B56" s="5" t="s">
        <v>117</v>
      </c>
      <c r="C56" s="5" t="s">
        <v>118</v>
      </c>
      <c r="D56" s="60">
        <v>35.26</v>
      </c>
      <c r="E56" s="21">
        <v>0</v>
      </c>
      <c r="F56" s="21"/>
      <c r="G56" s="20"/>
      <c r="H56" s="27"/>
    </row>
    <row r="57" spans="1:13" s="4" customFormat="1" ht="12" customHeight="1">
      <c r="A57" s="4" t="str">
        <f t="shared" si="7"/>
        <v>TEKOACOMMERCIALRENT3-COMM</v>
      </c>
      <c r="B57" s="5" t="s">
        <v>119</v>
      </c>
      <c r="C57" s="5" t="s">
        <v>120</v>
      </c>
      <c r="D57" s="60">
        <v>21.71</v>
      </c>
      <c r="E57" s="21">
        <v>260.52000000000004</v>
      </c>
      <c r="F57" s="21"/>
      <c r="G57" s="20"/>
      <c r="H57" s="27"/>
    </row>
    <row r="58" spans="1:13" s="4" customFormat="1" ht="12" customHeight="1">
      <c r="A58" s="4" t="str">
        <f t="shared" si="7"/>
        <v>TEKOACOMMERCIALRENT4-COMM</v>
      </c>
      <c r="B58" s="5" t="s">
        <v>121</v>
      </c>
      <c r="C58" s="5" t="s">
        <v>122</v>
      </c>
      <c r="D58" s="60">
        <v>24.58</v>
      </c>
      <c r="E58" s="21">
        <v>589.91999999999985</v>
      </c>
      <c r="F58" s="21"/>
      <c r="G58" s="20"/>
      <c r="H58" s="27"/>
    </row>
    <row r="59" spans="1:13" s="4" customFormat="1" ht="12" customHeight="1">
      <c r="B59" s="4" t="s">
        <v>111</v>
      </c>
      <c r="C59" s="61" t="s">
        <v>112</v>
      </c>
      <c r="D59" s="60">
        <v>25.86</v>
      </c>
      <c r="E59" s="21">
        <v>61.12</v>
      </c>
      <c r="F59" s="21"/>
      <c r="G59" s="20"/>
      <c r="H59" s="27"/>
    </row>
    <row r="60" spans="1:13" s="4" customFormat="1" ht="12" customHeight="1">
      <c r="B60" s="4" t="s">
        <v>215</v>
      </c>
      <c r="C60" s="61" t="s">
        <v>216</v>
      </c>
      <c r="D60" s="60">
        <v>42.3</v>
      </c>
      <c r="E60" s="21">
        <v>66.98</v>
      </c>
      <c r="F60" s="21"/>
      <c r="G60" s="20"/>
      <c r="H60" s="27"/>
    </row>
    <row r="61" spans="1:13" s="4" customFormat="1" ht="12" customHeight="1">
      <c r="A61" s="4" t="str">
        <f t="shared" si="7"/>
        <v>TEKOACOMMERCIALRENT4TEMP-COMM</v>
      </c>
      <c r="B61" s="5" t="s">
        <v>123</v>
      </c>
      <c r="C61" s="5" t="s">
        <v>124</v>
      </c>
      <c r="D61" s="60">
        <v>47.01</v>
      </c>
      <c r="E61" s="21">
        <v>77.559999999999988</v>
      </c>
      <c r="F61" s="21"/>
      <c r="G61" s="20"/>
      <c r="H61" s="27"/>
    </row>
    <row r="62" spans="1:13" s="4" customFormat="1" ht="12" customHeight="1">
      <c r="A62" s="4" t="str">
        <f t="shared" si="7"/>
        <v>TEKOACOMMERCIALRENT6-COMM</v>
      </c>
      <c r="B62" s="5" t="s">
        <v>125</v>
      </c>
      <c r="C62" s="5" t="s">
        <v>126</v>
      </c>
      <c r="D62" s="60">
        <v>32.56</v>
      </c>
      <c r="E62" s="21">
        <v>390.72</v>
      </c>
      <c r="F62" s="21"/>
      <c r="G62" s="20"/>
      <c r="H62" s="27"/>
    </row>
    <row r="63" spans="1:13" s="4" customFormat="1" ht="12" customHeight="1">
      <c r="A63" s="4" t="str">
        <f t="shared" si="7"/>
        <v>TEKOACOMMERCIALRENT8-COMM</v>
      </c>
      <c r="B63" s="5" t="s">
        <v>217</v>
      </c>
      <c r="C63" s="5" t="s">
        <v>218</v>
      </c>
      <c r="D63" s="60">
        <v>39.36</v>
      </c>
      <c r="E63" s="21">
        <v>472.32000000000011</v>
      </c>
      <c r="F63" s="21"/>
      <c r="G63" s="20"/>
      <c r="H63" s="27"/>
    </row>
    <row r="64" spans="1:13" s="4" customFormat="1" ht="12" customHeight="1">
      <c r="B64" s="4" t="s">
        <v>272</v>
      </c>
      <c r="C64" s="61" t="s">
        <v>273</v>
      </c>
      <c r="D64" s="60">
        <v>40.33</v>
      </c>
      <c r="E64" s="21">
        <v>0</v>
      </c>
      <c r="F64" s="21"/>
      <c r="G64" s="20"/>
      <c r="H64" s="27"/>
    </row>
    <row r="65" spans="1:10" s="4" customFormat="1" ht="12" customHeight="1">
      <c r="A65" s="4" t="str">
        <f t="shared" si="7"/>
        <v>TEKOACOMMERCIALDELTEMP-COMM</v>
      </c>
      <c r="B65" s="5" t="s">
        <v>127</v>
      </c>
      <c r="C65" s="5" t="s">
        <v>128</v>
      </c>
      <c r="D65" s="60">
        <v>54.65</v>
      </c>
      <c r="E65" s="21">
        <v>382.54999999999995</v>
      </c>
      <c r="F65" s="21"/>
      <c r="G65" s="20"/>
      <c r="H65" s="27"/>
    </row>
    <row r="66" spans="1:10" s="2" customFormat="1" ht="12.75" customHeight="1">
      <c r="A66" s="4" t="str">
        <f t="shared" si="7"/>
        <v>TEKOACOMMERCIALHAULMED-COMM</v>
      </c>
      <c r="B66" s="5" t="s">
        <v>219</v>
      </c>
      <c r="C66" s="5" t="s">
        <v>220</v>
      </c>
      <c r="D66" s="60">
        <v>0</v>
      </c>
      <c r="E66" s="21">
        <v>161.47999999999999</v>
      </c>
      <c r="F66" s="21"/>
      <c r="G66" s="20"/>
      <c r="H66" s="27"/>
    </row>
    <row r="67" spans="1:10" s="2" customFormat="1" ht="12" customHeight="1">
      <c r="A67" s="4" t="str">
        <f t="shared" si="7"/>
        <v>TEKOACOMMERCIALADMINFEE-COMM</v>
      </c>
      <c r="B67" s="85" t="s">
        <v>270</v>
      </c>
      <c r="C67" s="85" t="s">
        <v>271</v>
      </c>
      <c r="D67" s="79">
        <v>0</v>
      </c>
      <c r="E67" s="80">
        <v>-16366.76</v>
      </c>
      <c r="F67" s="21"/>
      <c r="G67" s="20"/>
      <c r="H67" s="27"/>
    </row>
    <row r="68" spans="1:10" s="4" customFormat="1" ht="5.25" customHeight="1" thickBot="1">
      <c r="B68" s="30"/>
      <c r="C68" s="30"/>
      <c r="D68" s="18"/>
      <c r="E68" s="21"/>
      <c r="F68" s="21"/>
    </row>
    <row r="69" spans="1:10" s="4" customFormat="1" ht="12" customHeight="1" thickBot="1">
      <c r="B69" s="30"/>
      <c r="C69" s="31" t="s">
        <v>11</v>
      </c>
      <c r="D69" s="18"/>
      <c r="E69" s="25">
        <f t="shared" ref="E69" si="9">SUM(E30:E68)</f>
        <v>39197.880000000012</v>
      </c>
      <c r="F69" s="36"/>
      <c r="G69" s="65">
        <f>SUM(G30:G45)</f>
        <v>347.5</v>
      </c>
      <c r="H69" s="65">
        <f>SUM(H30:H45)</f>
        <v>28.958333333333332</v>
      </c>
      <c r="J69" s="65">
        <f>SUM(J30:J45)</f>
        <v>31.458333333333332</v>
      </c>
    </row>
    <row r="70" spans="1:10" ht="5.25" customHeight="1">
      <c r="B70" s="23"/>
      <c r="C70" s="33"/>
    </row>
    <row r="71" spans="1:10" ht="12" customHeight="1">
      <c r="B71" s="6"/>
      <c r="C71" s="31" t="s">
        <v>21</v>
      </c>
      <c r="E71" s="25">
        <f>SUM(E25,E69)</f>
        <v>123953.66000000003</v>
      </c>
      <c r="F71" s="36"/>
    </row>
    <row r="72" spans="1:10" ht="5.25" customHeight="1">
      <c r="B72" s="6"/>
      <c r="C72" s="6"/>
    </row>
    <row r="73" spans="1:10">
      <c r="D73" s="58" t="s">
        <v>295</v>
      </c>
      <c r="E73" s="52">
        <v>123953.66</v>
      </c>
    </row>
    <row r="74" spans="1:10">
      <c r="D74" s="58" t="s">
        <v>312</v>
      </c>
      <c r="E74" s="47">
        <f>E73-E71</f>
        <v>0</v>
      </c>
    </row>
    <row r="76" spans="1:10">
      <c r="E76" s="47">
        <f>E71-E67</f>
        <v>140320.42000000004</v>
      </c>
      <c r="F76" s="81" t="s">
        <v>332</v>
      </c>
      <c r="G76" s="61"/>
    </row>
  </sheetData>
  <pageMargins left="0.25" right="0.25" top="0.75" bottom="0.75" header="0.3" footer="0.3"/>
  <pageSetup scale="91" fitToHeight="0" orientation="landscape" r:id="rId1"/>
  <rowBreaks count="1" manualBreakCount="1">
    <brk id="49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Q115"/>
  <sheetViews>
    <sheetView showGridLines="0" view="pageBreakPreview" zoomScale="115" zoomScaleNormal="100" zoomScaleSheetLayoutView="115" workbookViewId="0">
      <pane xSplit="2" ySplit="6" topLeftCell="C91" activePane="bottomRight" state="frozen"/>
      <selection activeCell="J59" sqref="J59"/>
      <selection pane="topRight" activeCell="J59" sqref="J59"/>
      <selection pane="bottomLeft" activeCell="J59" sqref="J59"/>
      <selection pane="bottomRight" activeCell="J59" sqref="J59"/>
    </sheetView>
  </sheetViews>
  <sheetFormatPr defaultRowHeight="12.75"/>
  <cols>
    <col min="1" max="1" width="21.7109375" style="86" customWidth="1"/>
    <col min="2" max="2" width="25.7109375" style="86" customWidth="1"/>
    <col min="3" max="4" width="14" style="61" customWidth="1"/>
    <col min="5" max="6" width="14" style="86" customWidth="1"/>
    <col min="7" max="7" width="11" style="61" customWidth="1"/>
    <col min="8" max="8" width="0.7109375" style="61" customWidth="1"/>
    <col min="9" max="10" width="13" style="61" customWidth="1"/>
    <col min="11" max="11" width="12.140625" style="129" customWidth="1"/>
    <col min="12" max="12" width="0.85546875" style="129" customWidth="1"/>
    <col min="13" max="13" width="10.140625" style="129" customWidth="1"/>
    <col min="14" max="14" width="0.7109375" style="61" customWidth="1"/>
    <col min="15" max="17" width="10.7109375" style="61" customWidth="1"/>
    <col min="18" max="18" width="17.7109375" style="61" customWidth="1"/>
    <col min="19" max="16384" width="9.140625" style="61"/>
  </cols>
  <sheetData>
    <row r="1" spans="1:17" ht="12" customHeight="1" thickBot="1">
      <c r="A1" s="1" t="s">
        <v>22</v>
      </c>
      <c r="B1" s="2"/>
      <c r="C1" s="63" t="s">
        <v>334</v>
      </c>
      <c r="D1" s="3"/>
      <c r="E1" s="2"/>
      <c r="F1" s="2"/>
      <c r="G1" s="4"/>
      <c r="H1" s="4"/>
      <c r="I1" s="4"/>
      <c r="J1" s="4"/>
      <c r="K1" s="61"/>
      <c r="L1" s="61"/>
      <c r="M1" s="61"/>
    </row>
    <row r="2" spans="1:17" ht="12" customHeight="1">
      <c r="A2" s="1" t="s">
        <v>335</v>
      </c>
      <c r="B2" s="2"/>
      <c r="C2" s="3"/>
      <c r="D2" s="3"/>
      <c r="E2" s="102"/>
      <c r="F2" s="92"/>
      <c r="G2" s="4"/>
      <c r="H2" s="4"/>
      <c r="I2" s="4"/>
      <c r="J2" s="4"/>
      <c r="K2" s="61"/>
      <c r="L2" s="61"/>
      <c r="M2" s="61"/>
      <c r="N2" s="4"/>
      <c r="O2" s="103" t="s">
        <v>292</v>
      </c>
      <c r="P2" s="104">
        <f>SUM(M12:M22,M56:M58)</f>
        <v>630.36944682347587</v>
      </c>
      <c r="Q2" s="4"/>
    </row>
    <row r="3" spans="1:17" ht="12" customHeight="1">
      <c r="A3" s="105">
        <v>2017</v>
      </c>
      <c r="B3" s="2"/>
      <c r="C3" s="3"/>
      <c r="D3" s="3"/>
      <c r="E3" s="106"/>
      <c r="F3" s="2"/>
      <c r="G3" s="4"/>
      <c r="H3" s="4"/>
      <c r="I3" s="4"/>
      <c r="J3" s="4"/>
      <c r="K3" s="61"/>
      <c r="L3" s="86"/>
      <c r="M3" s="86"/>
      <c r="N3" s="4"/>
      <c r="O3" s="107" t="s">
        <v>293</v>
      </c>
      <c r="P3" s="108">
        <v>0</v>
      </c>
      <c r="Q3" s="4"/>
    </row>
    <row r="4" spans="1:17" ht="12" customHeight="1">
      <c r="A4" s="2"/>
      <c r="B4" s="8"/>
      <c r="C4" s="109" t="s">
        <v>336</v>
      </c>
      <c r="D4" s="109" t="s">
        <v>337</v>
      </c>
      <c r="E4" s="110" t="s">
        <v>336</v>
      </c>
      <c r="F4" s="110" t="s">
        <v>337</v>
      </c>
      <c r="G4" s="10" t="s">
        <v>0</v>
      </c>
      <c r="H4" s="4"/>
      <c r="I4" s="111" t="s">
        <v>336</v>
      </c>
      <c r="J4" s="111" t="s">
        <v>337</v>
      </c>
      <c r="K4" s="111" t="s">
        <v>338</v>
      </c>
      <c r="L4" s="112"/>
      <c r="M4" s="82">
        <v>2017</v>
      </c>
      <c r="N4" s="4"/>
      <c r="O4" s="107" t="s">
        <v>291</v>
      </c>
      <c r="P4" s="108">
        <f>SUM(M38:M58)</f>
        <v>91.010070801215448</v>
      </c>
      <c r="Q4" s="4"/>
    </row>
    <row r="5" spans="1:17" ht="12" customHeight="1" thickBot="1">
      <c r="A5" s="11" t="s">
        <v>1</v>
      </c>
      <c r="B5" s="8" t="s">
        <v>2</v>
      </c>
      <c r="C5" s="12" t="s">
        <v>3</v>
      </c>
      <c r="D5" s="12" t="s">
        <v>3</v>
      </c>
      <c r="E5" s="10" t="s">
        <v>4</v>
      </c>
      <c r="F5" s="10" t="s">
        <v>4</v>
      </c>
      <c r="G5" s="10" t="s">
        <v>4</v>
      </c>
      <c r="H5" s="4"/>
      <c r="I5" s="13" t="s">
        <v>5</v>
      </c>
      <c r="J5" s="13" t="s">
        <v>5</v>
      </c>
      <c r="K5" s="13" t="s">
        <v>330</v>
      </c>
      <c r="L5" s="8"/>
      <c r="M5" s="82" t="s">
        <v>333</v>
      </c>
      <c r="N5" s="4"/>
      <c r="O5" s="113" t="s">
        <v>246</v>
      </c>
      <c r="P5" s="114">
        <v>0</v>
      </c>
      <c r="Q5" s="4"/>
    </row>
    <row r="6" spans="1:17" ht="12" customHeight="1">
      <c r="K6" s="61"/>
      <c r="L6" s="61"/>
      <c r="M6" s="61"/>
    </row>
    <row r="7" spans="1:17" s="4" customFormat="1" ht="8.25" customHeight="1">
      <c r="B7" s="2"/>
      <c r="C7" s="3"/>
      <c r="D7" s="3"/>
      <c r="E7" s="2"/>
      <c r="F7" s="2"/>
      <c r="K7" s="61"/>
      <c r="L7" s="61"/>
      <c r="M7" s="61"/>
    </row>
    <row r="8" spans="1:17" s="4" customFormat="1" ht="8.25" customHeight="1">
      <c r="C8" s="3"/>
      <c r="D8" s="3"/>
      <c r="E8" s="2"/>
      <c r="F8" s="2"/>
      <c r="K8" s="61"/>
      <c r="L8" s="61"/>
      <c r="M8" s="61"/>
    </row>
    <row r="9" spans="1:17" s="4" customFormat="1" ht="12" customHeight="1">
      <c r="A9" s="16" t="s">
        <v>6</v>
      </c>
      <c r="B9" s="16" t="s">
        <v>6</v>
      </c>
      <c r="C9" s="3"/>
      <c r="D9" s="3"/>
      <c r="E9" s="2"/>
      <c r="F9" s="2"/>
      <c r="K9" s="61"/>
      <c r="L9" s="61"/>
      <c r="M9" s="61"/>
    </row>
    <row r="10" spans="1:17" s="4" customFormat="1" ht="8.25" customHeight="1">
      <c r="A10" s="16"/>
      <c r="B10" s="16"/>
      <c r="C10" s="3"/>
      <c r="D10" s="3"/>
      <c r="E10" s="2"/>
      <c r="F10" s="2"/>
      <c r="K10" s="61"/>
      <c r="L10" s="61"/>
      <c r="M10" s="61"/>
    </row>
    <row r="11" spans="1:17" s="4" customFormat="1" ht="12" customHeight="1">
      <c r="A11" s="17" t="s">
        <v>7</v>
      </c>
      <c r="B11" s="17" t="s">
        <v>7</v>
      </c>
      <c r="C11" s="115"/>
      <c r="D11" s="115"/>
      <c r="E11" s="116"/>
      <c r="F11" s="116"/>
      <c r="G11" s="21"/>
      <c r="I11" s="117"/>
      <c r="J11" s="117"/>
      <c r="K11" s="61"/>
      <c r="L11" s="61"/>
      <c r="M11" s="61"/>
    </row>
    <row r="12" spans="1:17" s="4" customFormat="1" ht="12" customHeight="1">
      <c r="A12" s="61" t="s">
        <v>23</v>
      </c>
      <c r="B12" s="61" t="s">
        <v>24</v>
      </c>
      <c r="C12" s="115">
        <v>15.21</v>
      </c>
      <c r="D12" s="115">
        <v>15.34</v>
      </c>
      <c r="E12" s="116">
        <v>281.39</v>
      </c>
      <c r="F12" s="116">
        <v>655.41000000000008</v>
      </c>
      <c r="G12" s="21">
        <f>SUM(E12:F12)</f>
        <v>936.80000000000007</v>
      </c>
      <c r="I12" s="117">
        <f>E12/C12</f>
        <v>18.500328731097959</v>
      </c>
      <c r="J12" s="117">
        <f>F12/D12</f>
        <v>42.725554106910046</v>
      </c>
      <c r="K12" s="118">
        <f>(J12+I12)/12</f>
        <v>5.1021569031673337</v>
      </c>
      <c r="L12" s="118"/>
      <c r="M12" s="118">
        <v>0</v>
      </c>
      <c r="O12" s="21"/>
    </row>
    <row r="13" spans="1:17" s="4" customFormat="1" ht="12" customHeight="1">
      <c r="A13" s="61" t="s">
        <v>25</v>
      </c>
      <c r="B13" s="61" t="s">
        <v>26</v>
      </c>
      <c r="C13" s="115">
        <v>11.86</v>
      </c>
      <c r="D13" s="115">
        <v>11.91</v>
      </c>
      <c r="E13" s="116">
        <v>296.5</v>
      </c>
      <c r="F13" s="116">
        <v>1035.8699999999999</v>
      </c>
      <c r="G13" s="21">
        <f t="shared" ref="G13:G31" si="0">SUM(E13:F13)</f>
        <v>1332.37</v>
      </c>
      <c r="I13" s="117">
        <f t="shared" ref="I13:I21" si="1">E13/C13</f>
        <v>25</v>
      </c>
      <c r="J13" s="117">
        <f t="shared" ref="J13:J21" si="2">F13/D13</f>
        <v>86.974811083123413</v>
      </c>
      <c r="K13" s="118">
        <f t="shared" ref="K13:K21" si="3">(J13+I13)/12</f>
        <v>9.3312342569269511</v>
      </c>
      <c r="L13" s="118"/>
      <c r="M13" s="118">
        <v>0</v>
      </c>
    </row>
    <row r="14" spans="1:17" s="4" customFormat="1" ht="12" customHeight="1">
      <c r="A14" s="61" t="s">
        <v>27</v>
      </c>
      <c r="B14" s="61" t="s">
        <v>28</v>
      </c>
      <c r="C14" s="115">
        <v>18.670000000000002</v>
      </c>
      <c r="D14" s="115">
        <v>18.89</v>
      </c>
      <c r="E14" s="116">
        <v>24791.43</v>
      </c>
      <c r="F14" s="116">
        <v>76170.959999999992</v>
      </c>
      <c r="G14" s="21">
        <f t="shared" si="0"/>
        <v>100962.38999999998</v>
      </c>
      <c r="I14" s="117">
        <f t="shared" si="1"/>
        <v>1327.8752008569897</v>
      </c>
      <c r="J14" s="117">
        <f t="shared" si="2"/>
        <v>4032.3430386447849</v>
      </c>
      <c r="K14" s="118">
        <f t="shared" si="3"/>
        <v>446.68485329181453</v>
      </c>
      <c r="L14" s="118"/>
      <c r="M14" s="118">
        <v>0</v>
      </c>
    </row>
    <row r="15" spans="1:17" s="4" customFormat="1" ht="12" customHeight="1">
      <c r="A15" s="61" t="s">
        <v>29</v>
      </c>
      <c r="B15" s="61" t="s">
        <v>30</v>
      </c>
      <c r="C15" s="115">
        <v>26.36</v>
      </c>
      <c r="D15" s="115">
        <v>26.69</v>
      </c>
      <c r="E15" s="116">
        <v>10165.075000000001</v>
      </c>
      <c r="F15" s="116">
        <v>31622.990000000005</v>
      </c>
      <c r="G15" s="21">
        <f t="shared" si="0"/>
        <v>41788.065000000002</v>
      </c>
      <c r="I15" s="117">
        <f t="shared" si="1"/>
        <v>385.62500000000006</v>
      </c>
      <c r="J15" s="117">
        <f t="shared" si="2"/>
        <v>1184.8254027725741</v>
      </c>
      <c r="K15" s="118">
        <f t="shared" si="3"/>
        <v>130.87086689771451</v>
      </c>
      <c r="L15" s="118"/>
      <c r="M15" s="118">
        <v>0</v>
      </c>
    </row>
    <row r="16" spans="1:17" s="4" customFormat="1" ht="12" customHeight="1">
      <c r="A16" s="61" t="s">
        <v>31</v>
      </c>
      <c r="B16" s="61" t="s">
        <v>32</v>
      </c>
      <c r="C16" s="115">
        <v>37.61</v>
      </c>
      <c r="D16" s="115">
        <v>38.1</v>
      </c>
      <c r="E16" s="116">
        <v>112.83</v>
      </c>
      <c r="F16" s="116">
        <v>418.61</v>
      </c>
      <c r="G16" s="21">
        <f t="shared" si="0"/>
        <v>531.44000000000005</v>
      </c>
      <c r="I16" s="117">
        <f t="shared" si="1"/>
        <v>3</v>
      </c>
      <c r="J16" s="117">
        <f t="shared" si="2"/>
        <v>10.987139107611549</v>
      </c>
      <c r="K16" s="118">
        <f t="shared" si="3"/>
        <v>1.1655949256342957</v>
      </c>
      <c r="L16" s="118"/>
      <c r="M16" s="118">
        <v>0</v>
      </c>
    </row>
    <row r="17" spans="1:13" s="4" customFormat="1" ht="12" customHeight="1">
      <c r="A17" s="61" t="s">
        <v>33</v>
      </c>
      <c r="B17" s="61" t="s">
        <v>34</v>
      </c>
      <c r="C17" s="115">
        <v>28.13</v>
      </c>
      <c r="D17" s="115">
        <v>28.43</v>
      </c>
      <c r="E17" s="116">
        <v>24227.340000000004</v>
      </c>
      <c r="F17" s="116">
        <v>73789.289999999994</v>
      </c>
      <c r="G17" s="21">
        <f t="shared" si="0"/>
        <v>98016.63</v>
      </c>
      <c r="I17" s="117">
        <f t="shared" si="1"/>
        <v>861.26341983647364</v>
      </c>
      <c r="J17" s="117">
        <f t="shared" si="2"/>
        <v>2595.4727400633133</v>
      </c>
      <c r="K17" s="118">
        <f t="shared" si="3"/>
        <v>288.06134665831559</v>
      </c>
      <c r="L17" s="118"/>
      <c r="M17" s="118">
        <f>K17</f>
        <v>288.06134665831559</v>
      </c>
    </row>
    <row r="18" spans="1:13" s="4" customFormat="1" ht="12" customHeight="1">
      <c r="A18" s="61" t="s">
        <v>35</v>
      </c>
      <c r="B18" s="61" t="s">
        <v>36</v>
      </c>
      <c r="C18" s="115">
        <v>53.36</v>
      </c>
      <c r="D18" s="115">
        <v>56.86</v>
      </c>
      <c r="E18" s="116">
        <v>160.07999999999998</v>
      </c>
      <c r="F18" s="116">
        <v>511.74000000000007</v>
      </c>
      <c r="G18" s="21">
        <f t="shared" si="0"/>
        <v>671.82</v>
      </c>
      <c r="I18" s="117">
        <f t="shared" si="1"/>
        <v>2.9999999999999996</v>
      </c>
      <c r="J18" s="117">
        <f t="shared" si="2"/>
        <v>9.0000000000000018</v>
      </c>
      <c r="K18" s="118">
        <f t="shared" si="3"/>
        <v>1.0000000000000002</v>
      </c>
      <c r="L18" s="118"/>
      <c r="M18" s="118">
        <f>K18*2</f>
        <v>2.0000000000000004</v>
      </c>
    </row>
    <row r="19" spans="1:13" s="4" customFormat="1" ht="12" customHeight="1">
      <c r="A19" s="61" t="s">
        <v>37</v>
      </c>
      <c r="B19" s="61" t="s">
        <v>38</v>
      </c>
      <c r="C19" s="115">
        <v>35.130000000000003</v>
      </c>
      <c r="D19" s="115">
        <v>35.57</v>
      </c>
      <c r="E19" s="116">
        <v>30928.81</v>
      </c>
      <c r="F19" s="116">
        <v>104773.01500000001</v>
      </c>
      <c r="G19" s="21">
        <f t="shared" si="0"/>
        <v>135701.82500000001</v>
      </c>
      <c r="I19" s="117">
        <f t="shared" si="1"/>
        <v>880.41019072018219</v>
      </c>
      <c r="J19" s="117">
        <f t="shared" si="2"/>
        <v>2945.5444194545971</v>
      </c>
      <c r="K19" s="118">
        <f t="shared" si="3"/>
        <v>318.82955084789825</v>
      </c>
      <c r="L19" s="118"/>
      <c r="M19" s="118">
        <f>K19</f>
        <v>318.82955084789825</v>
      </c>
    </row>
    <row r="20" spans="1:13" s="4" customFormat="1" ht="12" customHeight="1">
      <c r="A20" s="61" t="s">
        <v>39</v>
      </c>
      <c r="B20" s="61" t="s">
        <v>40</v>
      </c>
      <c r="C20" s="115">
        <v>70.260000000000005</v>
      </c>
      <c r="D20" s="115">
        <v>71.14</v>
      </c>
      <c r="E20" s="116">
        <v>474.255</v>
      </c>
      <c r="F20" s="116">
        <v>2274.0650000000001</v>
      </c>
      <c r="G20" s="21">
        <f t="shared" si="0"/>
        <v>2748.32</v>
      </c>
      <c r="I20" s="117">
        <f t="shared" si="1"/>
        <v>6.7499999999999991</v>
      </c>
      <c r="J20" s="117">
        <f t="shared" si="2"/>
        <v>31.966052853528254</v>
      </c>
      <c r="K20" s="118">
        <f t="shared" si="3"/>
        <v>3.226337737794021</v>
      </c>
      <c r="L20" s="118"/>
      <c r="M20" s="118">
        <f>K20*2</f>
        <v>6.452675475588042</v>
      </c>
    </row>
    <row r="21" spans="1:13" s="4" customFormat="1" ht="12" customHeight="1">
      <c r="A21" s="61" t="s">
        <v>41</v>
      </c>
      <c r="B21" s="61" t="s">
        <v>42</v>
      </c>
      <c r="C21" s="115">
        <v>99.96</v>
      </c>
      <c r="D21" s="115">
        <v>106.71</v>
      </c>
      <c r="E21" s="116">
        <v>299.88</v>
      </c>
      <c r="F21" s="116">
        <v>953.6400000000001</v>
      </c>
      <c r="G21" s="21">
        <f t="shared" si="0"/>
        <v>1253.52</v>
      </c>
      <c r="I21" s="117">
        <f t="shared" si="1"/>
        <v>3</v>
      </c>
      <c r="J21" s="117">
        <f t="shared" si="2"/>
        <v>8.9367444475681772</v>
      </c>
      <c r="K21" s="118">
        <f t="shared" si="3"/>
        <v>0.9947287039640148</v>
      </c>
      <c r="L21" s="118"/>
      <c r="M21" s="118">
        <f>K21*3</f>
        <v>2.9841861118920443</v>
      </c>
    </row>
    <row r="22" spans="1:13" s="4" customFormat="1" ht="12" customHeight="1">
      <c r="A22" s="61" t="s">
        <v>43</v>
      </c>
      <c r="B22" s="61" t="s">
        <v>44</v>
      </c>
      <c r="C22" s="115">
        <v>13.01</v>
      </c>
      <c r="D22" s="115">
        <v>13.06</v>
      </c>
      <c r="E22" s="116">
        <v>0</v>
      </c>
      <c r="F22" s="116">
        <v>0</v>
      </c>
      <c r="G22" s="21">
        <f t="shared" si="0"/>
        <v>0</v>
      </c>
      <c r="I22" s="117"/>
      <c r="J22" s="117"/>
      <c r="K22" s="118"/>
      <c r="L22" s="118"/>
      <c r="M22" s="118"/>
    </row>
    <row r="23" spans="1:13" s="4" customFormat="1" ht="12" customHeight="1">
      <c r="A23" s="61" t="s">
        <v>45</v>
      </c>
      <c r="B23" s="61" t="s">
        <v>46</v>
      </c>
      <c r="C23" s="115">
        <v>4.4400000000000004</v>
      </c>
      <c r="D23" s="115">
        <v>4.49</v>
      </c>
      <c r="E23" s="116">
        <v>848.96</v>
      </c>
      <c r="F23" s="116">
        <v>4598.93</v>
      </c>
      <c r="G23" s="21">
        <f t="shared" si="0"/>
        <v>5447.89</v>
      </c>
      <c r="I23" s="117"/>
      <c r="J23" s="117"/>
      <c r="K23" s="118"/>
      <c r="L23" s="118"/>
      <c r="M23" s="118"/>
    </row>
    <row r="24" spans="1:13" s="4" customFormat="1" ht="12" customHeight="1">
      <c r="A24" s="61" t="s">
        <v>47</v>
      </c>
      <c r="B24" s="61" t="s">
        <v>48</v>
      </c>
      <c r="C24" s="115">
        <v>22.61</v>
      </c>
      <c r="D24" s="115">
        <v>22.8</v>
      </c>
      <c r="E24" s="116">
        <v>22.61</v>
      </c>
      <c r="F24" s="116">
        <v>45.6</v>
      </c>
      <c r="G24" s="21">
        <f t="shared" si="0"/>
        <v>68.210000000000008</v>
      </c>
      <c r="I24" s="117"/>
      <c r="J24" s="117"/>
      <c r="K24" s="118"/>
      <c r="L24" s="118"/>
      <c r="M24" s="118"/>
    </row>
    <row r="25" spans="1:13" s="2" customFormat="1" ht="12" customHeight="1">
      <c r="A25" s="61" t="s">
        <v>49</v>
      </c>
      <c r="B25" s="61" t="s">
        <v>50</v>
      </c>
      <c r="C25" s="115">
        <v>22.61</v>
      </c>
      <c r="D25" s="115">
        <v>22.8</v>
      </c>
      <c r="E25" s="116">
        <v>0</v>
      </c>
      <c r="F25" s="116">
        <v>182.4</v>
      </c>
      <c r="G25" s="21">
        <f t="shared" si="0"/>
        <v>182.4</v>
      </c>
      <c r="I25" s="117"/>
      <c r="J25" s="117"/>
      <c r="K25" s="118"/>
      <c r="L25" s="118"/>
      <c r="M25" s="118"/>
    </row>
    <row r="26" spans="1:13" s="2" customFormat="1" ht="12" customHeight="1">
      <c r="A26" s="61" t="s">
        <v>51</v>
      </c>
      <c r="B26" s="61" t="s">
        <v>52</v>
      </c>
      <c r="C26" s="115">
        <v>4.4400000000000004</v>
      </c>
      <c r="D26" s="115">
        <v>4.49</v>
      </c>
      <c r="E26" s="116">
        <v>4.4400000000000004</v>
      </c>
      <c r="F26" s="116">
        <v>89.47</v>
      </c>
      <c r="G26" s="21">
        <f t="shared" si="0"/>
        <v>93.91</v>
      </c>
      <c r="I26" s="117"/>
      <c r="J26" s="117"/>
      <c r="K26" s="118"/>
      <c r="L26" s="118"/>
      <c r="M26" s="118"/>
    </row>
    <row r="27" spans="1:13" s="4" customFormat="1" ht="12" customHeight="1">
      <c r="A27" s="61" t="s">
        <v>53</v>
      </c>
      <c r="B27" s="61" t="s">
        <v>54</v>
      </c>
      <c r="C27" s="115">
        <v>4.4400000000000004</v>
      </c>
      <c r="D27" s="115">
        <v>4.49</v>
      </c>
      <c r="E27" s="116">
        <v>13.32</v>
      </c>
      <c r="F27" s="116">
        <v>35.920000000000009</v>
      </c>
      <c r="G27" s="21">
        <f t="shared" si="0"/>
        <v>49.240000000000009</v>
      </c>
      <c r="I27" s="117"/>
      <c r="J27" s="117"/>
      <c r="K27" s="118"/>
      <c r="L27" s="118"/>
      <c r="M27" s="118"/>
    </row>
    <row r="28" spans="1:13" s="4" customFormat="1" ht="12" customHeight="1">
      <c r="A28" s="61" t="s">
        <v>300</v>
      </c>
      <c r="B28" s="61" t="s">
        <v>301</v>
      </c>
      <c r="C28" s="115">
        <v>6.97</v>
      </c>
      <c r="D28" s="115">
        <v>6.97</v>
      </c>
      <c r="E28" s="116">
        <v>864.28</v>
      </c>
      <c r="F28" s="116">
        <v>2143.27</v>
      </c>
      <c r="G28" s="21">
        <f t="shared" si="0"/>
        <v>3007.55</v>
      </c>
      <c r="I28" s="117"/>
      <c r="J28" s="117"/>
      <c r="K28" s="118"/>
      <c r="L28" s="118"/>
      <c r="M28" s="118"/>
    </row>
    <row r="29" spans="1:13" s="4" customFormat="1" ht="12" customHeight="1">
      <c r="A29" s="61" t="s">
        <v>274</v>
      </c>
      <c r="B29" s="86" t="s">
        <v>275</v>
      </c>
      <c r="C29" s="115">
        <v>8.4700000000000006</v>
      </c>
      <c r="D29" s="115">
        <v>8.4700000000000006</v>
      </c>
      <c r="E29" s="116">
        <v>0</v>
      </c>
      <c r="F29" s="116">
        <v>0</v>
      </c>
      <c r="G29" s="21">
        <f t="shared" si="0"/>
        <v>0</v>
      </c>
      <c r="I29" s="117"/>
      <c r="J29" s="117"/>
      <c r="K29" s="118"/>
      <c r="L29" s="118"/>
      <c r="M29" s="118"/>
    </row>
    <row r="30" spans="1:13" s="2" customFormat="1" ht="12" customHeight="1">
      <c r="A30" s="61" t="s">
        <v>57</v>
      </c>
      <c r="B30" s="61" t="s">
        <v>58</v>
      </c>
      <c r="C30" s="115">
        <v>23.04</v>
      </c>
      <c r="D30" s="115">
        <v>23.04</v>
      </c>
      <c r="E30" s="116">
        <v>23.04</v>
      </c>
      <c r="F30" s="116">
        <v>46.08</v>
      </c>
      <c r="G30" s="21">
        <f t="shared" si="0"/>
        <v>69.12</v>
      </c>
      <c r="I30" s="117"/>
      <c r="J30" s="117"/>
      <c r="K30" s="118"/>
      <c r="L30" s="118"/>
      <c r="M30" s="118"/>
    </row>
    <row r="31" spans="1:13" s="2" customFormat="1" ht="12" customHeight="1">
      <c r="A31" s="61" t="s">
        <v>59</v>
      </c>
      <c r="B31" s="61" t="s">
        <v>60</v>
      </c>
      <c r="C31" s="115">
        <v>13.83</v>
      </c>
      <c r="D31" s="115">
        <v>13.83</v>
      </c>
      <c r="E31" s="116">
        <v>41.49</v>
      </c>
      <c r="F31" s="116">
        <v>207.45000000000002</v>
      </c>
      <c r="G31" s="21">
        <f t="shared" si="0"/>
        <v>248.94000000000003</v>
      </c>
      <c r="I31" s="117"/>
      <c r="J31" s="117"/>
      <c r="K31" s="118"/>
      <c r="L31" s="118"/>
      <c r="M31" s="118"/>
    </row>
    <row r="32" spans="1:13" s="4" customFormat="1" ht="8.25" customHeight="1" thickBot="1">
      <c r="A32" s="22"/>
      <c r="B32" s="22"/>
      <c r="C32" s="115"/>
      <c r="D32" s="115"/>
      <c r="E32" s="116"/>
      <c r="F32" s="116"/>
      <c r="G32" s="21"/>
      <c r="I32" s="117"/>
      <c r="J32" s="117"/>
      <c r="K32" s="118"/>
      <c r="L32" s="118"/>
      <c r="M32" s="118"/>
    </row>
    <row r="33" spans="1:13" s="2" customFormat="1" ht="12" customHeight="1" thickBot="1">
      <c r="A33" s="23"/>
      <c r="B33" s="24" t="s">
        <v>8</v>
      </c>
      <c r="C33" s="115"/>
      <c r="D33" s="115"/>
      <c r="E33" s="119">
        <f>SUM(E12:E32)</f>
        <v>93555.73000000004</v>
      </c>
      <c r="F33" s="119">
        <f>SUM(F12:F32)</f>
        <v>299554.71000000002</v>
      </c>
      <c r="G33" s="119">
        <f>SUM(E33:F33)</f>
        <v>393110.44000000006</v>
      </c>
      <c r="I33" s="117"/>
      <c r="J33" s="117"/>
      <c r="K33" s="120">
        <f>SUM(K12:K21)</f>
        <v>1205.2666702232293</v>
      </c>
      <c r="L33" s="121"/>
      <c r="M33" s="120">
        <f>SUM(M12:M21)</f>
        <v>618.327759093694</v>
      </c>
    </row>
    <row r="34" spans="1:13" s="4" customFormat="1" ht="8.25" customHeight="1">
      <c r="C34" s="115"/>
      <c r="D34" s="115"/>
      <c r="E34" s="2"/>
      <c r="F34" s="2"/>
      <c r="G34" s="21"/>
      <c r="I34" s="117"/>
      <c r="J34" s="117"/>
      <c r="K34" s="118"/>
      <c r="L34" s="118"/>
      <c r="M34" s="118"/>
    </row>
    <row r="35" spans="1:13" ht="12" customHeight="1">
      <c r="A35" s="29" t="s">
        <v>9</v>
      </c>
      <c r="B35" s="29" t="s">
        <v>9</v>
      </c>
      <c r="D35" s="86"/>
      <c r="I35" s="118"/>
      <c r="J35" s="118"/>
      <c r="K35" s="118"/>
      <c r="L35" s="118"/>
      <c r="M35" s="118"/>
    </row>
    <row r="36" spans="1:13" ht="8.25" customHeight="1">
      <c r="A36" s="29"/>
      <c r="B36" s="29"/>
      <c r="D36" s="86"/>
      <c r="I36" s="118"/>
      <c r="J36" s="118"/>
      <c r="K36" s="118"/>
      <c r="L36" s="118"/>
      <c r="M36" s="118"/>
    </row>
    <row r="37" spans="1:13" s="4" customFormat="1">
      <c r="A37" s="17" t="s">
        <v>10</v>
      </c>
      <c r="B37" s="17" t="s">
        <v>10</v>
      </c>
      <c r="C37" s="115"/>
      <c r="D37" s="115"/>
      <c r="E37" s="2"/>
      <c r="F37" s="2"/>
      <c r="G37" s="21"/>
      <c r="I37" s="117"/>
      <c r="J37" s="117"/>
      <c r="K37" s="118"/>
      <c r="L37" s="118"/>
      <c r="M37" s="118"/>
    </row>
    <row r="38" spans="1:13" s="4" customFormat="1" ht="12" customHeight="1">
      <c r="A38" s="61" t="s">
        <v>61</v>
      </c>
      <c r="B38" s="61" t="s">
        <v>62</v>
      </c>
      <c r="C38" s="115">
        <v>76.08</v>
      </c>
      <c r="D38" s="115">
        <v>77.2</v>
      </c>
      <c r="E38" s="116">
        <v>6048.36</v>
      </c>
      <c r="F38" s="116">
        <v>18354.300000000003</v>
      </c>
      <c r="G38" s="21">
        <f t="shared" ref="G38:G78" si="4">SUM(E38:F38)</f>
        <v>24402.660000000003</v>
      </c>
      <c r="I38" s="117">
        <f>(E38/C38)</f>
        <v>79.5</v>
      </c>
      <c r="J38" s="117">
        <f>(F38/D38)</f>
        <v>237.75000000000003</v>
      </c>
      <c r="K38" s="118">
        <f>(J38+I38)/12</f>
        <v>26.4375</v>
      </c>
      <c r="L38" s="118"/>
      <c r="M38" s="118">
        <f t="shared" ref="M38:M57" si="5">K38*1</f>
        <v>26.4375</v>
      </c>
    </row>
    <row r="39" spans="1:13" s="4" customFormat="1" ht="12" customHeight="1">
      <c r="A39" s="61" t="s">
        <v>304</v>
      </c>
      <c r="B39" s="86" t="s">
        <v>305</v>
      </c>
      <c r="C39" s="115">
        <v>17.57</v>
      </c>
      <c r="D39" s="115">
        <v>17.829999999999998</v>
      </c>
      <c r="E39" s="116">
        <v>52.71</v>
      </c>
      <c r="F39" s="116">
        <v>53.489999999999995</v>
      </c>
      <c r="G39" s="21">
        <f t="shared" si="4"/>
        <v>106.19999999999999</v>
      </c>
      <c r="I39" s="117">
        <f t="shared" ref="I39:I58" si="6">(E39/C39)</f>
        <v>3</v>
      </c>
      <c r="J39" s="117">
        <f t="shared" ref="J39:J58" si="7">(F39/D39)</f>
        <v>3</v>
      </c>
      <c r="K39" s="118">
        <f t="shared" ref="K39:K58" si="8">(J39+I39)/12</f>
        <v>0.5</v>
      </c>
      <c r="L39" s="118"/>
      <c r="M39" s="118">
        <f t="shared" si="5"/>
        <v>0.5</v>
      </c>
    </row>
    <row r="40" spans="1:13" s="4" customFormat="1" ht="12" customHeight="1">
      <c r="A40" s="61" t="s">
        <v>63</v>
      </c>
      <c r="B40" s="61" t="s">
        <v>64</v>
      </c>
      <c r="C40" s="115">
        <v>114.01</v>
      </c>
      <c r="D40" s="115">
        <v>115.61</v>
      </c>
      <c r="E40" s="116">
        <v>3534.3099999999995</v>
      </c>
      <c r="F40" s="116">
        <v>12919.41</v>
      </c>
      <c r="G40" s="21">
        <f t="shared" si="4"/>
        <v>16453.72</v>
      </c>
      <c r="I40" s="117">
        <f t="shared" si="6"/>
        <v>30.999999999999993</v>
      </c>
      <c r="J40" s="117">
        <f t="shared" si="7"/>
        <v>111.74993512671914</v>
      </c>
      <c r="K40" s="118">
        <f t="shared" si="8"/>
        <v>11.895827927226593</v>
      </c>
      <c r="L40" s="118"/>
      <c r="M40" s="118">
        <f t="shared" si="5"/>
        <v>11.895827927226593</v>
      </c>
    </row>
    <row r="41" spans="1:13" s="4" customFormat="1" ht="12" customHeight="1">
      <c r="A41" s="61" t="s">
        <v>65</v>
      </c>
      <c r="B41" s="61" t="s">
        <v>66</v>
      </c>
      <c r="C41" s="115">
        <v>228.02</v>
      </c>
      <c r="D41" s="115">
        <v>231.22</v>
      </c>
      <c r="E41" s="116">
        <v>0</v>
      </c>
      <c r="F41" s="116">
        <v>867.07999999999993</v>
      </c>
      <c r="G41" s="21">
        <f t="shared" si="4"/>
        <v>867.07999999999993</v>
      </c>
      <c r="I41" s="117">
        <f t="shared" si="6"/>
        <v>0</v>
      </c>
      <c r="J41" s="117">
        <f t="shared" si="7"/>
        <v>3.7500216244269522</v>
      </c>
      <c r="K41" s="118">
        <f t="shared" si="8"/>
        <v>0.31250180203557937</v>
      </c>
      <c r="L41" s="118"/>
      <c r="M41" s="118">
        <f>K41*2</f>
        <v>0.62500360407115874</v>
      </c>
    </row>
    <row r="42" spans="1:13" s="4" customFormat="1" ht="12" customHeight="1">
      <c r="A42" s="61" t="s">
        <v>167</v>
      </c>
      <c r="B42" s="61" t="s">
        <v>168</v>
      </c>
      <c r="C42" s="115">
        <v>342.03</v>
      </c>
      <c r="D42" s="115">
        <v>346.83</v>
      </c>
      <c r="E42" s="116">
        <v>85.51</v>
      </c>
      <c r="F42" s="116">
        <v>1127.2</v>
      </c>
      <c r="G42" s="21">
        <f t="shared" si="4"/>
        <v>1212.71</v>
      </c>
      <c r="I42" s="117">
        <f t="shared" si="6"/>
        <v>0.25000730930035381</v>
      </c>
      <c r="J42" s="117">
        <f t="shared" si="7"/>
        <v>3.2500072081423177</v>
      </c>
      <c r="K42" s="118">
        <f t="shared" si="8"/>
        <v>0.29166787645355596</v>
      </c>
      <c r="L42" s="118"/>
      <c r="M42" s="118">
        <f>K42*3</f>
        <v>0.87500362936066789</v>
      </c>
    </row>
    <row r="43" spans="1:13" s="4" customFormat="1" ht="12" customHeight="1">
      <c r="A43" s="61" t="s">
        <v>67</v>
      </c>
      <c r="B43" s="61" t="s">
        <v>68</v>
      </c>
      <c r="C43" s="115">
        <v>151.59</v>
      </c>
      <c r="D43" s="115">
        <v>153.66999999999999</v>
      </c>
      <c r="E43" s="116">
        <v>4547.7</v>
      </c>
      <c r="F43" s="116">
        <v>12370.44</v>
      </c>
      <c r="G43" s="21">
        <f t="shared" si="4"/>
        <v>16918.14</v>
      </c>
      <c r="I43" s="117">
        <f t="shared" si="6"/>
        <v>29.999999999999996</v>
      </c>
      <c r="J43" s="117">
        <f t="shared" si="7"/>
        <v>80.500032537255166</v>
      </c>
      <c r="K43" s="118">
        <f t="shared" si="8"/>
        <v>9.2083360447712632</v>
      </c>
      <c r="L43" s="118"/>
      <c r="M43" s="118">
        <f t="shared" si="5"/>
        <v>9.2083360447712632</v>
      </c>
    </row>
    <row r="44" spans="1:13" s="4" customFormat="1" ht="12" customHeight="1">
      <c r="A44" s="61" t="s">
        <v>69</v>
      </c>
      <c r="B44" s="61" t="s">
        <v>70</v>
      </c>
      <c r="C44" s="115">
        <v>212.86</v>
      </c>
      <c r="D44" s="115">
        <v>215.89</v>
      </c>
      <c r="E44" s="116">
        <v>1915.7400000000002</v>
      </c>
      <c r="F44" s="116">
        <v>6692.5899999999983</v>
      </c>
      <c r="G44" s="21">
        <f t="shared" si="4"/>
        <v>8608.3299999999981</v>
      </c>
      <c r="I44" s="117">
        <f t="shared" si="6"/>
        <v>9</v>
      </c>
      <c r="J44" s="117">
        <f t="shared" si="7"/>
        <v>30.999999999999993</v>
      </c>
      <c r="K44" s="118">
        <f t="shared" si="8"/>
        <v>3.3333333333333326</v>
      </c>
      <c r="L44" s="118"/>
      <c r="M44" s="118">
        <f t="shared" si="5"/>
        <v>3.3333333333333326</v>
      </c>
    </row>
    <row r="45" spans="1:13" s="4" customFormat="1" ht="12" customHeight="1">
      <c r="A45" s="61" t="s">
        <v>71</v>
      </c>
      <c r="B45" s="61" t="s">
        <v>72</v>
      </c>
      <c r="C45" s="115">
        <v>425.72</v>
      </c>
      <c r="D45" s="115">
        <v>431.78</v>
      </c>
      <c r="E45" s="116">
        <v>1809.3100000000002</v>
      </c>
      <c r="F45" s="116">
        <v>3886.0199999999986</v>
      </c>
      <c r="G45" s="21">
        <f t="shared" si="4"/>
        <v>5695.329999999999</v>
      </c>
      <c r="I45" s="117">
        <f t="shared" si="6"/>
        <v>4.25</v>
      </c>
      <c r="J45" s="117">
        <f t="shared" si="7"/>
        <v>8.9999999999999982</v>
      </c>
      <c r="K45" s="118">
        <f t="shared" si="8"/>
        <v>1.1041666666666665</v>
      </c>
      <c r="L45" s="118"/>
      <c r="M45" s="118">
        <f>K45*2</f>
        <v>2.208333333333333</v>
      </c>
    </row>
    <row r="46" spans="1:13" s="4" customFormat="1" ht="12" customHeight="1">
      <c r="A46" s="61" t="s">
        <v>73</v>
      </c>
      <c r="B46" s="61" t="s">
        <v>74</v>
      </c>
      <c r="C46" s="115">
        <v>281.93</v>
      </c>
      <c r="D46" s="115">
        <v>285.87</v>
      </c>
      <c r="E46" s="116">
        <v>4228.9500000000007</v>
      </c>
      <c r="F46" s="116">
        <v>14507.9</v>
      </c>
      <c r="G46" s="21">
        <f t="shared" si="4"/>
        <v>18736.849999999999</v>
      </c>
      <c r="I46" s="117">
        <f t="shared" si="6"/>
        <v>15.000000000000002</v>
      </c>
      <c r="J46" s="117">
        <f t="shared" si="7"/>
        <v>50.749991254766151</v>
      </c>
      <c r="K46" s="118">
        <f t="shared" si="8"/>
        <v>5.4791659378971795</v>
      </c>
      <c r="L46" s="118"/>
      <c r="M46" s="118">
        <f t="shared" si="5"/>
        <v>5.4791659378971795</v>
      </c>
    </row>
    <row r="47" spans="1:13" s="4" customFormat="1" ht="12" customHeight="1">
      <c r="A47" s="61" t="s">
        <v>75</v>
      </c>
      <c r="B47" s="61" t="s">
        <v>76</v>
      </c>
      <c r="C47" s="115">
        <v>563.86</v>
      </c>
      <c r="D47" s="115">
        <v>571.74</v>
      </c>
      <c r="E47" s="116">
        <v>2678.34</v>
      </c>
      <c r="F47" s="116">
        <v>10291.319999999998</v>
      </c>
      <c r="G47" s="21">
        <f t="shared" si="4"/>
        <v>12969.659999999998</v>
      </c>
      <c r="I47" s="117">
        <f t="shared" si="6"/>
        <v>4.7500088674493668</v>
      </c>
      <c r="J47" s="117">
        <f t="shared" si="7"/>
        <v>17.999999999999996</v>
      </c>
      <c r="K47" s="118">
        <f t="shared" si="8"/>
        <v>1.8958340722874469</v>
      </c>
      <c r="L47" s="118"/>
      <c r="M47" s="118">
        <f>K47*2</f>
        <v>3.7916681445748939</v>
      </c>
    </row>
    <row r="48" spans="1:13" s="4" customFormat="1" ht="12" customHeight="1">
      <c r="A48" s="61" t="s">
        <v>79</v>
      </c>
      <c r="B48" s="61" t="s">
        <v>80</v>
      </c>
      <c r="C48" s="115">
        <v>818.2</v>
      </c>
      <c r="D48" s="115">
        <v>829.02</v>
      </c>
      <c r="E48" s="116">
        <v>2454.6000000000004</v>
      </c>
      <c r="F48" s="116">
        <v>7461.1800000000021</v>
      </c>
      <c r="G48" s="21">
        <f t="shared" si="4"/>
        <v>9915.7800000000025</v>
      </c>
      <c r="I48" s="117">
        <f t="shared" si="6"/>
        <v>3.0000000000000004</v>
      </c>
      <c r="J48" s="117">
        <f t="shared" si="7"/>
        <v>9.0000000000000036</v>
      </c>
      <c r="K48" s="118">
        <f t="shared" si="8"/>
        <v>1.0000000000000002</v>
      </c>
      <c r="L48" s="118"/>
      <c r="M48" s="118">
        <f>K48*2</f>
        <v>2.0000000000000004</v>
      </c>
    </row>
    <row r="49" spans="1:13" s="4" customFormat="1" ht="12" customHeight="1">
      <c r="A49" s="86" t="s">
        <v>205</v>
      </c>
      <c r="B49" s="86" t="s">
        <v>206</v>
      </c>
      <c r="C49" s="115">
        <v>21.53</v>
      </c>
      <c r="D49" s="115">
        <v>21.79</v>
      </c>
      <c r="E49" s="116">
        <v>0</v>
      </c>
      <c r="F49" s="116">
        <v>0</v>
      </c>
      <c r="G49" s="92">
        <f t="shared" si="4"/>
        <v>0</v>
      </c>
      <c r="I49" s="117">
        <f t="shared" si="6"/>
        <v>0</v>
      </c>
      <c r="J49" s="117">
        <f t="shared" si="7"/>
        <v>0</v>
      </c>
      <c r="K49" s="118">
        <f t="shared" si="8"/>
        <v>0</v>
      </c>
      <c r="L49" s="118"/>
      <c r="M49" s="118">
        <f t="shared" si="5"/>
        <v>0</v>
      </c>
    </row>
    <row r="50" spans="1:13" s="4" customFormat="1" ht="12" customHeight="1">
      <c r="A50" s="86" t="s">
        <v>93</v>
      </c>
      <c r="B50" s="86" t="s">
        <v>94</v>
      </c>
      <c r="C50" s="115">
        <v>32.409999999999997</v>
      </c>
      <c r="D50" s="115">
        <v>32.78</v>
      </c>
      <c r="E50" s="116">
        <v>0</v>
      </c>
      <c r="F50" s="116">
        <v>32.78</v>
      </c>
      <c r="G50" s="92">
        <f t="shared" si="4"/>
        <v>32.78</v>
      </c>
      <c r="I50" s="117">
        <f t="shared" si="6"/>
        <v>0</v>
      </c>
      <c r="J50" s="117">
        <f t="shared" si="7"/>
        <v>1</v>
      </c>
      <c r="K50" s="118">
        <f t="shared" si="8"/>
        <v>8.3333333333333329E-2</v>
      </c>
      <c r="L50" s="118"/>
      <c r="M50" s="118">
        <f t="shared" si="5"/>
        <v>8.3333333333333329E-2</v>
      </c>
    </row>
    <row r="51" spans="1:13" s="4" customFormat="1" ht="12" customHeight="1">
      <c r="A51" s="86" t="s">
        <v>95</v>
      </c>
      <c r="B51" s="86" t="s">
        <v>96</v>
      </c>
      <c r="C51" s="115">
        <v>41.53</v>
      </c>
      <c r="D51" s="115">
        <v>42.01</v>
      </c>
      <c r="E51" s="116">
        <v>41.53</v>
      </c>
      <c r="F51" s="116">
        <v>42.01</v>
      </c>
      <c r="G51" s="92">
        <f t="shared" si="4"/>
        <v>83.539999999999992</v>
      </c>
      <c r="I51" s="117">
        <f t="shared" si="6"/>
        <v>1</v>
      </c>
      <c r="J51" s="117">
        <f t="shared" si="7"/>
        <v>1</v>
      </c>
      <c r="K51" s="118">
        <f t="shared" si="8"/>
        <v>0.16666666666666666</v>
      </c>
      <c r="L51" s="118"/>
      <c r="M51" s="118">
        <f t="shared" si="5"/>
        <v>0.16666666666666666</v>
      </c>
    </row>
    <row r="52" spans="1:13" s="4" customFormat="1" ht="12" customHeight="1">
      <c r="A52" s="86" t="s">
        <v>99</v>
      </c>
      <c r="B52" s="86" t="s">
        <v>100</v>
      </c>
      <c r="C52" s="115">
        <v>58.44</v>
      </c>
      <c r="D52" s="115">
        <v>59.14</v>
      </c>
      <c r="E52" s="116">
        <v>0</v>
      </c>
      <c r="F52" s="116">
        <v>118.28</v>
      </c>
      <c r="G52" s="92">
        <f t="shared" si="4"/>
        <v>118.28</v>
      </c>
      <c r="I52" s="117">
        <f t="shared" si="6"/>
        <v>0</v>
      </c>
      <c r="J52" s="117">
        <f t="shared" si="7"/>
        <v>2</v>
      </c>
      <c r="K52" s="118">
        <f t="shared" si="8"/>
        <v>0.16666666666666666</v>
      </c>
      <c r="L52" s="118"/>
      <c r="M52" s="118">
        <f t="shared" si="5"/>
        <v>0.16666666666666666</v>
      </c>
    </row>
    <row r="53" spans="1:13" s="4" customFormat="1" ht="12" customHeight="1">
      <c r="A53" s="86" t="s">
        <v>103</v>
      </c>
      <c r="B53" s="86" t="s">
        <v>104</v>
      </c>
      <c r="C53" s="115">
        <v>78</v>
      </c>
      <c r="D53" s="115">
        <v>78.91</v>
      </c>
      <c r="E53" s="116">
        <v>156</v>
      </c>
      <c r="F53" s="116">
        <v>1183.6499999999999</v>
      </c>
      <c r="G53" s="92">
        <f t="shared" si="4"/>
        <v>1339.6499999999999</v>
      </c>
      <c r="I53" s="117">
        <f t="shared" si="6"/>
        <v>2</v>
      </c>
      <c r="J53" s="117">
        <f t="shared" si="7"/>
        <v>14.999999999999998</v>
      </c>
      <c r="K53" s="118">
        <f t="shared" si="8"/>
        <v>1.4166666666666667</v>
      </c>
      <c r="L53" s="118"/>
      <c r="M53" s="118">
        <f t="shared" si="5"/>
        <v>1.4166666666666667</v>
      </c>
    </row>
    <row r="54" spans="1:13" s="4" customFormat="1" ht="12" customHeight="1">
      <c r="A54" s="61" t="s">
        <v>81</v>
      </c>
      <c r="B54" s="61" t="s">
        <v>82</v>
      </c>
      <c r="C54" s="115">
        <v>19.12</v>
      </c>
      <c r="D54" s="115">
        <v>19.309999999999999</v>
      </c>
      <c r="E54" s="116">
        <v>573.6</v>
      </c>
      <c r="F54" s="116">
        <v>1716.0899999999997</v>
      </c>
      <c r="G54" s="21">
        <f t="shared" si="4"/>
        <v>2289.6899999999996</v>
      </c>
      <c r="I54" s="117">
        <f t="shared" si="6"/>
        <v>30</v>
      </c>
      <c r="J54" s="117">
        <f t="shared" si="7"/>
        <v>88.870533402382179</v>
      </c>
      <c r="K54" s="118">
        <f t="shared" si="8"/>
        <v>9.9058777835318477</v>
      </c>
      <c r="L54" s="118"/>
      <c r="M54" s="118">
        <f t="shared" si="5"/>
        <v>9.9058777835318477</v>
      </c>
    </row>
    <row r="55" spans="1:13" s="4" customFormat="1" ht="12" customHeight="1">
      <c r="A55" s="61" t="s">
        <v>83</v>
      </c>
      <c r="B55" s="61" t="s">
        <v>84</v>
      </c>
      <c r="C55" s="115">
        <v>36.72</v>
      </c>
      <c r="D55" s="115">
        <v>37.06</v>
      </c>
      <c r="E55" s="116">
        <v>55.08</v>
      </c>
      <c r="F55" s="116">
        <v>333.54</v>
      </c>
      <c r="G55" s="21">
        <f t="shared" si="4"/>
        <v>388.62</v>
      </c>
      <c r="I55" s="117">
        <f t="shared" si="6"/>
        <v>1.5</v>
      </c>
      <c r="J55" s="117">
        <f t="shared" si="7"/>
        <v>9</v>
      </c>
      <c r="K55" s="118">
        <f t="shared" si="8"/>
        <v>0.875</v>
      </c>
      <c r="L55" s="118"/>
      <c r="M55" s="118">
        <f t="shared" si="5"/>
        <v>0.875</v>
      </c>
    </row>
    <row r="56" spans="1:13" s="4" customFormat="1" ht="12" customHeight="1">
      <c r="A56" s="61" t="s">
        <v>85</v>
      </c>
      <c r="B56" s="61" t="s">
        <v>86</v>
      </c>
      <c r="C56" s="115">
        <v>35.9</v>
      </c>
      <c r="D56" s="115">
        <v>36.200000000000003</v>
      </c>
      <c r="E56" s="116">
        <v>457.73</v>
      </c>
      <c r="F56" s="116">
        <v>1303.1999999999998</v>
      </c>
      <c r="G56" s="21">
        <f t="shared" si="4"/>
        <v>1760.9299999999998</v>
      </c>
      <c r="I56" s="117">
        <f t="shared" si="6"/>
        <v>12.750139275766017</v>
      </c>
      <c r="J56" s="117">
        <f t="shared" si="7"/>
        <v>35.999999999999993</v>
      </c>
      <c r="K56" s="118">
        <f t="shared" si="8"/>
        <v>4.0625116063138345</v>
      </c>
      <c r="L56" s="118"/>
      <c r="M56" s="118">
        <f t="shared" si="5"/>
        <v>4.0625116063138345</v>
      </c>
    </row>
    <row r="57" spans="1:13" s="4" customFormat="1" ht="12" customHeight="1">
      <c r="A57" s="61" t="s">
        <v>87</v>
      </c>
      <c r="B57" s="61" t="s">
        <v>88</v>
      </c>
      <c r="C57" s="115">
        <v>44.06</v>
      </c>
      <c r="D57" s="115">
        <v>44.5</v>
      </c>
      <c r="E57" s="116">
        <v>782.07</v>
      </c>
      <c r="F57" s="116">
        <v>2403</v>
      </c>
      <c r="G57" s="21">
        <f t="shared" si="4"/>
        <v>3185.07</v>
      </c>
      <c r="I57" s="117">
        <f t="shared" si="6"/>
        <v>17.75011348161598</v>
      </c>
      <c r="J57" s="117">
        <f t="shared" si="7"/>
        <v>54</v>
      </c>
      <c r="K57" s="118">
        <f t="shared" si="8"/>
        <v>5.9791761234679983</v>
      </c>
      <c r="L57" s="118"/>
      <c r="M57" s="118">
        <f t="shared" si="5"/>
        <v>5.9791761234679983</v>
      </c>
    </row>
    <row r="58" spans="1:13" s="4" customFormat="1" ht="12" customHeight="1">
      <c r="A58" s="61" t="s">
        <v>89</v>
      </c>
      <c r="B58" s="61" t="s">
        <v>90</v>
      </c>
      <c r="C58" s="115">
        <v>88.08</v>
      </c>
      <c r="D58" s="115">
        <v>88.94</v>
      </c>
      <c r="E58" s="116">
        <v>264.24</v>
      </c>
      <c r="F58" s="116">
        <v>800.46</v>
      </c>
      <c r="G58" s="21">
        <f t="shared" si="4"/>
        <v>1064.7</v>
      </c>
      <c r="I58" s="117">
        <f t="shared" si="6"/>
        <v>3</v>
      </c>
      <c r="J58" s="117">
        <f t="shared" si="7"/>
        <v>9</v>
      </c>
      <c r="K58" s="118">
        <f t="shared" si="8"/>
        <v>1</v>
      </c>
      <c r="L58" s="118"/>
      <c r="M58" s="118">
        <f>K58*2</f>
        <v>2</v>
      </c>
    </row>
    <row r="59" spans="1:13" s="4" customFormat="1" ht="12" customHeight="1">
      <c r="A59" s="61" t="s">
        <v>97</v>
      </c>
      <c r="B59" s="61" t="s">
        <v>98</v>
      </c>
      <c r="C59" s="115">
        <v>13.01</v>
      </c>
      <c r="D59" s="115">
        <v>13.06</v>
      </c>
      <c r="E59" s="116">
        <v>0</v>
      </c>
      <c r="F59" s="116">
        <v>26.12</v>
      </c>
      <c r="G59" s="21">
        <f t="shared" si="4"/>
        <v>26.12</v>
      </c>
      <c r="I59" s="117"/>
      <c r="J59" s="117"/>
      <c r="K59" s="118"/>
      <c r="L59" s="118"/>
      <c r="M59" s="118"/>
    </row>
    <row r="60" spans="1:13" s="4" customFormat="1" ht="12" customHeight="1">
      <c r="A60" s="61" t="s">
        <v>203</v>
      </c>
      <c r="B60" s="61" t="s">
        <v>204</v>
      </c>
      <c r="C60" s="115">
        <v>47.24</v>
      </c>
      <c r="D60" s="115">
        <v>47.5</v>
      </c>
      <c r="E60" s="116">
        <v>0</v>
      </c>
      <c r="F60" s="116">
        <v>0</v>
      </c>
      <c r="G60" s="21">
        <f t="shared" si="4"/>
        <v>0</v>
      </c>
      <c r="I60" s="117"/>
      <c r="J60" s="117"/>
      <c r="K60" s="118"/>
      <c r="L60" s="118"/>
      <c r="M60" s="118"/>
    </row>
    <row r="61" spans="1:13" s="4" customFormat="1" ht="12" customHeight="1">
      <c r="A61" s="61" t="s">
        <v>91</v>
      </c>
      <c r="B61" s="61" t="s">
        <v>92</v>
      </c>
      <c r="C61" s="115">
        <v>67.13</v>
      </c>
      <c r="D61" s="115">
        <v>67.5</v>
      </c>
      <c r="E61" s="116">
        <v>268.52</v>
      </c>
      <c r="F61" s="116">
        <v>472.5</v>
      </c>
      <c r="G61" s="21">
        <f t="shared" si="4"/>
        <v>741.02</v>
      </c>
      <c r="I61" s="117"/>
      <c r="J61" s="117"/>
      <c r="K61" s="118"/>
      <c r="L61" s="118"/>
      <c r="M61" s="118"/>
    </row>
    <row r="62" spans="1:13" s="4" customFormat="1" ht="12" customHeight="1">
      <c r="A62" s="61" t="s">
        <v>105</v>
      </c>
      <c r="B62" s="61" t="s">
        <v>106</v>
      </c>
      <c r="C62" s="115">
        <v>4.24</v>
      </c>
      <c r="D62" s="115">
        <v>4.49</v>
      </c>
      <c r="E62" s="116">
        <v>686.88</v>
      </c>
      <c r="F62" s="116">
        <v>2044.9700000000005</v>
      </c>
      <c r="G62" s="21">
        <f t="shared" si="4"/>
        <v>2731.8500000000004</v>
      </c>
      <c r="I62" s="117"/>
      <c r="J62" s="117"/>
      <c r="K62" s="118"/>
      <c r="L62" s="118"/>
      <c r="M62" s="118"/>
    </row>
    <row r="63" spans="1:13" s="4" customFormat="1" ht="12" customHeight="1">
      <c r="A63" s="61" t="s">
        <v>107</v>
      </c>
      <c r="B63" s="61" t="s">
        <v>108</v>
      </c>
      <c r="C63" s="115">
        <v>22.61</v>
      </c>
      <c r="D63" s="115">
        <v>22.8</v>
      </c>
      <c r="E63" s="116">
        <v>0</v>
      </c>
      <c r="F63" s="116">
        <v>182.40000000000003</v>
      </c>
      <c r="G63" s="21">
        <f t="shared" si="4"/>
        <v>182.40000000000003</v>
      </c>
      <c r="I63" s="117"/>
      <c r="J63" s="117"/>
      <c r="K63" s="118"/>
      <c r="L63" s="118"/>
      <c r="M63" s="118"/>
    </row>
    <row r="64" spans="1:13" s="4" customFormat="1" ht="12" customHeight="1">
      <c r="A64" s="61" t="s">
        <v>109</v>
      </c>
      <c r="B64" s="61" t="s">
        <v>110</v>
      </c>
      <c r="C64" s="115">
        <v>12.81</v>
      </c>
      <c r="D64" s="115">
        <v>12.81</v>
      </c>
      <c r="E64" s="116">
        <v>406.71</v>
      </c>
      <c r="F64" s="116">
        <v>1652.2700000000002</v>
      </c>
      <c r="G64" s="21">
        <f t="shared" si="4"/>
        <v>2058.98</v>
      </c>
      <c r="I64" s="117"/>
      <c r="J64" s="117"/>
      <c r="K64" s="118"/>
      <c r="L64" s="118"/>
      <c r="M64" s="118"/>
    </row>
    <row r="65" spans="1:13" s="4" customFormat="1" ht="12" customHeight="1">
      <c r="A65" s="61" t="s">
        <v>111</v>
      </c>
      <c r="B65" s="61" t="s">
        <v>112</v>
      </c>
      <c r="C65" s="115">
        <v>25.86</v>
      </c>
      <c r="D65" s="115">
        <v>25.86</v>
      </c>
      <c r="E65" s="116">
        <v>0</v>
      </c>
      <c r="F65" s="116">
        <v>8.6199999999999992</v>
      </c>
      <c r="G65" s="21">
        <f t="shared" si="4"/>
        <v>8.6199999999999992</v>
      </c>
      <c r="I65" s="117"/>
      <c r="J65" s="117"/>
      <c r="K65" s="118"/>
      <c r="L65" s="118"/>
      <c r="M65" s="118"/>
    </row>
    <row r="66" spans="1:13" s="4" customFormat="1" ht="12" customHeight="1">
      <c r="A66" s="61" t="s">
        <v>113</v>
      </c>
      <c r="B66" s="61" t="s">
        <v>114</v>
      </c>
      <c r="C66" s="115">
        <v>10.66</v>
      </c>
      <c r="D66" s="115">
        <v>10.66</v>
      </c>
      <c r="E66" s="116">
        <v>850.1400000000001</v>
      </c>
      <c r="F66" s="116">
        <v>2534.4200000000005</v>
      </c>
      <c r="G66" s="21">
        <f t="shared" si="4"/>
        <v>3384.5600000000004</v>
      </c>
      <c r="I66" s="117"/>
      <c r="J66" s="117"/>
      <c r="K66" s="118"/>
      <c r="L66" s="118"/>
      <c r="M66" s="118"/>
    </row>
    <row r="67" spans="1:13" s="4" customFormat="1" ht="12" customHeight="1">
      <c r="A67" s="61" t="s">
        <v>213</v>
      </c>
      <c r="B67" s="61" t="s">
        <v>214</v>
      </c>
      <c r="C67" s="115">
        <v>23.51</v>
      </c>
      <c r="D67" s="115">
        <v>23.51</v>
      </c>
      <c r="E67" s="116">
        <v>0</v>
      </c>
      <c r="F67" s="116">
        <v>0</v>
      </c>
      <c r="G67" s="21">
        <f t="shared" si="4"/>
        <v>0</v>
      </c>
      <c r="I67" s="117"/>
      <c r="J67" s="117"/>
      <c r="K67" s="118"/>
      <c r="L67" s="118"/>
      <c r="M67" s="118"/>
    </row>
    <row r="68" spans="1:13" s="4" customFormat="1" ht="12" customHeight="1">
      <c r="A68" s="61" t="s">
        <v>115</v>
      </c>
      <c r="B68" s="61" t="s">
        <v>116</v>
      </c>
      <c r="C68" s="115">
        <v>17.59</v>
      </c>
      <c r="D68" s="115">
        <v>17.59</v>
      </c>
      <c r="E68" s="116">
        <v>527.70000000000005</v>
      </c>
      <c r="F68" s="116">
        <v>1416</v>
      </c>
      <c r="G68" s="21">
        <f t="shared" si="4"/>
        <v>1943.7</v>
      </c>
      <c r="I68" s="117"/>
      <c r="J68" s="117"/>
      <c r="K68" s="118"/>
      <c r="L68" s="118"/>
      <c r="M68" s="118"/>
    </row>
    <row r="69" spans="1:13" s="4" customFormat="1" ht="12" customHeight="1">
      <c r="A69" s="61" t="s">
        <v>117</v>
      </c>
      <c r="B69" s="61" t="s">
        <v>118</v>
      </c>
      <c r="C69" s="115">
        <v>35.26</v>
      </c>
      <c r="D69" s="115">
        <v>35.26</v>
      </c>
      <c r="E69" s="116">
        <v>11.75</v>
      </c>
      <c r="F69" s="116">
        <v>32.909999999999997</v>
      </c>
      <c r="G69" s="21">
        <f t="shared" si="4"/>
        <v>44.66</v>
      </c>
      <c r="I69" s="117"/>
      <c r="J69" s="117"/>
      <c r="K69" s="118"/>
      <c r="L69" s="118"/>
      <c r="M69" s="118"/>
    </row>
    <row r="70" spans="1:13" s="4" customFormat="1" ht="12" customHeight="1">
      <c r="A70" s="61" t="s">
        <v>119</v>
      </c>
      <c r="B70" s="61" t="s">
        <v>120</v>
      </c>
      <c r="C70" s="115">
        <v>21.71</v>
      </c>
      <c r="D70" s="115">
        <v>21.71</v>
      </c>
      <c r="E70" s="116">
        <v>379.93</v>
      </c>
      <c r="F70" s="116">
        <v>1063.79</v>
      </c>
      <c r="G70" s="21">
        <f t="shared" si="4"/>
        <v>1443.72</v>
      </c>
      <c r="I70" s="117"/>
      <c r="J70" s="117"/>
      <c r="K70" s="118"/>
      <c r="L70" s="118"/>
      <c r="M70" s="118"/>
    </row>
    <row r="71" spans="1:13" s="4" customFormat="1" ht="12" customHeight="1">
      <c r="A71" s="61" t="s">
        <v>215</v>
      </c>
      <c r="B71" s="61" t="s">
        <v>216</v>
      </c>
      <c r="C71" s="115">
        <v>42.3</v>
      </c>
      <c r="D71" s="115">
        <v>42.3</v>
      </c>
      <c r="E71" s="116">
        <v>0</v>
      </c>
      <c r="F71" s="116">
        <v>49.35</v>
      </c>
      <c r="G71" s="21">
        <f t="shared" si="4"/>
        <v>49.35</v>
      </c>
      <c r="I71" s="117"/>
      <c r="J71" s="117"/>
      <c r="K71" s="118"/>
      <c r="L71" s="118"/>
      <c r="M71" s="118"/>
    </row>
    <row r="72" spans="1:13" s="2" customFormat="1" ht="12" customHeight="1">
      <c r="A72" s="61" t="s">
        <v>121</v>
      </c>
      <c r="B72" s="61" t="s">
        <v>122</v>
      </c>
      <c r="C72" s="115">
        <v>24.58</v>
      </c>
      <c r="D72" s="115">
        <v>24.58</v>
      </c>
      <c r="E72" s="116">
        <v>602.22</v>
      </c>
      <c r="F72" s="116">
        <v>2132.3200000000002</v>
      </c>
      <c r="G72" s="21">
        <f t="shared" si="4"/>
        <v>2734.54</v>
      </c>
      <c r="I72" s="117"/>
      <c r="J72" s="117"/>
      <c r="K72" s="118"/>
      <c r="L72" s="118"/>
      <c r="M72" s="118"/>
    </row>
    <row r="73" spans="1:13" s="4" customFormat="1" ht="12" customHeight="1">
      <c r="A73" s="61" t="s">
        <v>123</v>
      </c>
      <c r="B73" s="61" t="s">
        <v>124</v>
      </c>
      <c r="C73" s="115">
        <v>47.01</v>
      </c>
      <c r="D73" s="115">
        <v>47.01</v>
      </c>
      <c r="E73" s="116">
        <v>47.01</v>
      </c>
      <c r="F73" s="116">
        <v>488.9</v>
      </c>
      <c r="G73" s="21">
        <f t="shared" si="4"/>
        <v>535.91</v>
      </c>
      <c r="I73" s="117"/>
      <c r="J73" s="117"/>
      <c r="K73" s="118"/>
      <c r="L73" s="118"/>
      <c r="M73" s="118"/>
    </row>
    <row r="74" spans="1:13" s="4" customFormat="1" ht="12" customHeight="1">
      <c r="A74" s="61" t="s">
        <v>125</v>
      </c>
      <c r="B74" s="61" t="s">
        <v>126</v>
      </c>
      <c r="C74" s="115">
        <v>32.56</v>
      </c>
      <c r="D74" s="115">
        <v>32.56</v>
      </c>
      <c r="E74" s="116">
        <v>195.36</v>
      </c>
      <c r="F74" s="116">
        <v>586.08000000000004</v>
      </c>
      <c r="G74" s="21">
        <f t="shared" si="4"/>
        <v>781.44</v>
      </c>
      <c r="I74" s="117"/>
      <c r="J74" s="117"/>
      <c r="K74" s="118"/>
      <c r="L74" s="118"/>
      <c r="M74" s="118"/>
    </row>
    <row r="75" spans="1:13" s="4" customFormat="1" ht="12" customHeight="1">
      <c r="A75" s="61" t="s">
        <v>127</v>
      </c>
      <c r="B75" s="61" t="s">
        <v>128</v>
      </c>
      <c r="C75" s="115">
        <v>54.65</v>
      </c>
      <c r="D75" s="115">
        <v>54.65</v>
      </c>
      <c r="E75" s="116">
        <v>54.65</v>
      </c>
      <c r="F75" s="116">
        <v>437.2</v>
      </c>
      <c r="G75" s="21">
        <f t="shared" si="4"/>
        <v>491.84999999999997</v>
      </c>
      <c r="I75" s="117"/>
      <c r="J75" s="117"/>
      <c r="K75" s="118"/>
      <c r="L75" s="118"/>
      <c r="M75" s="118"/>
    </row>
    <row r="76" spans="1:13" s="4" customFormat="1" ht="12" customHeight="1">
      <c r="A76" s="61" t="s">
        <v>129</v>
      </c>
      <c r="B76" s="61" t="s">
        <v>130</v>
      </c>
      <c r="C76" s="115">
        <v>3.64</v>
      </c>
      <c r="D76" s="115">
        <v>3.64</v>
      </c>
      <c r="E76" s="116">
        <v>10.92</v>
      </c>
      <c r="F76" s="116">
        <v>32.76</v>
      </c>
      <c r="G76" s="21">
        <f t="shared" si="4"/>
        <v>43.68</v>
      </c>
      <c r="I76" s="117"/>
      <c r="J76" s="117"/>
      <c r="K76" s="118"/>
      <c r="L76" s="118"/>
      <c r="M76" s="118"/>
    </row>
    <row r="77" spans="1:13" s="4" customFormat="1" ht="12" customHeight="1">
      <c r="A77" s="61" t="s">
        <v>296</v>
      </c>
      <c r="B77" s="61" t="s">
        <v>297</v>
      </c>
      <c r="C77" s="115">
        <v>6.97</v>
      </c>
      <c r="D77" s="115">
        <v>6.97</v>
      </c>
      <c r="E77" s="116">
        <v>20.91</v>
      </c>
      <c r="F77" s="116">
        <v>62.73</v>
      </c>
      <c r="G77" s="21">
        <f t="shared" si="4"/>
        <v>83.64</v>
      </c>
      <c r="I77" s="117"/>
      <c r="J77" s="117"/>
      <c r="K77" s="118"/>
      <c r="L77" s="118"/>
      <c r="M77" s="118"/>
    </row>
    <row r="78" spans="1:13" s="4" customFormat="1" ht="12" customHeight="1">
      <c r="A78" s="61" t="s">
        <v>131</v>
      </c>
      <c r="B78" s="61" t="s">
        <v>132</v>
      </c>
      <c r="C78" s="115">
        <v>13.83</v>
      </c>
      <c r="D78" s="115">
        <v>13.83</v>
      </c>
      <c r="E78" s="116">
        <v>0</v>
      </c>
      <c r="F78" s="116">
        <v>0</v>
      </c>
      <c r="G78" s="21">
        <f t="shared" si="4"/>
        <v>0</v>
      </c>
      <c r="I78" s="117"/>
      <c r="J78" s="117"/>
      <c r="K78" s="118"/>
      <c r="L78" s="118"/>
      <c r="M78" s="118"/>
    </row>
    <row r="79" spans="1:13" s="4" customFormat="1" ht="8.25" customHeight="1" thickBot="1">
      <c r="A79" s="30"/>
      <c r="B79" s="30"/>
      <c r="C79" s="115"/>
      <c r="D79" s="115"/>
      <c r="E79" s="116"/>
      <c r="F79" s="116"/>
      <c r="G79" s="21"/>
      <c r="I79" s="117"/>
      <c r="J79" s="117"/>
      <c r="K79" s="118"/>
      <c r="L79" s="118"/>
      <c r="M79" s="118"/>
    </row>
    <row r="80" spans="1:13" s="4" customFormat="1" ht="12" customHeight="1" thickBot="1">
      <c r="A80" s="30"/>
      <c r="B80" s="31" t="s">
        <v>11</v>
      </c>
      <c r="C80" s="115"/>
      <c r="D80" s="115"/>
      <c r="E80" s="119">
        <f>SUM(E38:E79)</f>
        <v>33748.480000000003</v>
      </c>
      <c r="F80" s="119">
        <f>SUM(F38:F79)</f>
        <v>109687.27999999996</v>
      </c>
      <c r="G80" s="119">
        <f>SUM(G38:G79)</f>
        <v>143435.76</v>
      </c>
      <c r="I80" s="117"/>
      <c r="J80" s="117"/>
      <c r="K80" s="122">
        <f>SUM(K38:K58)</f>
        <v>85.114232507318619</v>
      </c>
      <c r="L80" s="123"/>
      <c r="M80" s="122">
        <f>SUM(M38:M58,M49:M53)</f>
        <v>92.843404134548791</v>
      </c>
    </row>
    <row r="81" spans="1:13" ht="8.25" customHeight="1">
      <c r="A81" s="2"/>
      <c r="B81" s="2"/>
      <c r="D81" s="86"/>
      <c r="I81" s="118"/>
      <c r="J81" s="118"/>
      <c r="K81" s="118"/>
      <c r="L81" s="118"/>
      <c r="M81" s="118"/>
    </row>
    <row r="82" spans="1:13" ht="12" customHeight="1">
      <c r="A82" s="29" t="s">
        <v>12</v>
      </c>
      <c r="B82" s="29" t="s">
        <v>12</v>
      </c>
      <c r="D82" s="86"/>
      <c r="I82" s="118"/>
      <c r="J82" s="118"/>
      <c r="K82" s="118"/>
      <c r="L82" s="118"/>
      <c r="M82" s="118"/>
    </row>
    <row r="83" spans="1:13" ht="8.25" customHeight="1">
      <c r="A83" s="34"/>
      <c r="B83" s="34"/>
      <c r="D83" s="86"/>
      <c r="I83" s="118"/>
      <c r="J83" s="118"/>
      <c r="K83" s="118"/>
      <c r="L83" s="118"/>
      <c r="M83" s="118"/>
    </row>
    <row r="84" spans="1:13" ht="12" customHeight="1">
      <c r="A84" s="35" t="s">
        <v>13</v>
      </c>
      <c r="B84" s="35" t="s">
        <v>13</v>
      </c>
      <c r="D84" s="86"/>
      <c r="I84" s="118"/>
      <c r="J84" s="118"/>
      <c r="K84" s="118"/>
      <c r="L84" s="118"/>
      <c r="M84" s="118"/>
    </row>
    <row r="85" spans="1:13" ht="12" customHeight="1">
      <c r="A85" s="61" t="s">
        <v>133</v>
      </c>
      <c r="B85" s="61" t="s">
        <v>134</v>
      </c>
      <c r="C85" s="145">
        <v>258.64</v>
      </c>
      <c r="D85" s="145">
        <v>258.64</v>
      </c>
      <c r="E85" s="116">
        <v>1753.4499999999998</v>
      </c>
      <c r="F85" s="116">
        <v>4857.1299999999992</v>
      </c>
      <c r="G85" s="21">
        <f t="shared" ref="G85:G92" si="9">SUM(E85:F85)</f>
        <v>6610.579999999999</v>
      </c>
      <c r="H85" s="48"/>
      <c r="I85" s="117">
        <f>(E85/C85)</f>
        <v>6.7795004639653573</v>
      </c>
      <c r="J85" s="117">
        <f>(F85/D85)</f>
        <v>18.779500463965356</v>
      </c>
      <c r="K85" s="118">
        <f>(J85+I85)/12</f>
        <v>2.1299167439942259</v>
      </c>
      <c r="L85" s="118"/>
      <c r="M85" s="91">
        <f>K85*1</f>
        <v>2.1299167439942259</v>
      </c>
    </row>
    <row r="86" spans="1:13" ht="12" customHeight="1">
      <c r="A86" s="61" t="s">
        <v>135</v>
      </c>
      <c r="B86" s="61" t="s">
        <v>136</v>
      </c>
      <c r="C86" s="145">
        <v>258.64</v>
      </c>
      <c r="D86" s="145">
        <v>258.64</v>
      </c>
      <c r="E86" s="116">
        <v>1293.2</v>
      </c>
      <c r="F86" s="116">
        <v>6983.28</v>
      </c>
      <c r="G86" s="21">
        <f t="shared" si="9"/>
        <v>8276.48</v>
      </c>
      <c r="I86" s="117">
        <f t="shared" ref="I86:I88" si="10">(E86/C86)</f>
        <v>5</v>
      </c>
      <c r="J86" s="117">
        <f t="shared" ref="J86:J88" si="11">(F86/D86)</f>
        <v>27</v>
      </c>
      <c r="K86" s="118">
        <f t="shared" ref="K86:K88" si="12">(J86+I86)/12</f>
        <v>2.6666666666666665</v>
      </c>
      <c r="L86" s="118"/>
      <c r="M86" s="91">
        <f t="shared" ref="M86:M88" si="13">K86*1</f>
        <v>2.6666666666666665</v>
      </c>
    </row>
    <row r="87" spans="1:13" ht="12" customHeight="1">
      <c r="A87" s="61" t="s">
        <v>137</v>
      </c>
      <c r="B87" s="61" t="s">
        <v>138</v>
      </c>
      <c r="C87" s="115">
        <v>356.68</v>
      </c>
      <c r="D87" s="115">
        <v>356.68</v>
      </c>
      <c r="E87" s="116">
        <v>713.36</v>
      </c>
      <c r="F87" s="116">
        <v>5706.88</v>
      </c>
      <c r="G87" s="21">
        <f t="shared" si="9"/>
        <v>6420.24</v>
      </c>
      <c r="I87" s="117">
        <f t="shared" si="10"/>
        <v>2</v>
      </c>
      <c r="J87" s="117">
        <f t="shared" si="11"/>
        <v>16</v>
      </c>
      <c r="K87" s="118">
        <f t="shared" si="12"/>
        <v>1.5</v>
      </c>
      <c r="L87" s="118"/>
      <c r="M87" s="91">
        <f t="shared" si="13"/>
        <v>1.5</v>
      </c>
    </row>
    <row r="88" spans="1:13" ht="12" customHeight="1">
      <c r="A88" s="61" t="s">
        <v>139</v>
      </c>
      <c r="B88" s="61" t="s">
        <v>140</v>
      </c>
      <c r="C88" s="115">
        <v>223.51</v>
      </c>
      <c r="D88" s="115">
        <v>223.51</v>
      </c>
      <c r="E88" s="116">
        <v>223.51</v>
      </c>
      <c r="F88" s="116">
        <v>1341.06</v>
      </c>
      <c r="G88" s="21">
        <f t="shared" si="9"/>
        <v>1564.57</v>
      </c>
      <c r="I88" s="117">
        <f t="shared" si="10"/>
        <v>1</v>
      </c>
      <c r="J88" s="117">
        <f t="shared" si="11"/>
        <v>6</v>
      </c>
      <c r="K88" s="118">
        <f t="shared" si="12"/>
        <v>0.58333333333333337</v>
      </c>
      <c r="L88" s="118"/>
      <c r="M88" s="91">
        <f t="shared" si="13"/>
        <v>0.58333333333333337</v>
      </c>
    </row>
    <row r="89" spans="1:13" ht="12" customHeight="1">
      <c r="A89" s="61" t="s">
        <v>141</v>
      </c>
      <c r="B89" s="61" t="s">
        <v>142</v>
      </c>
      <c r="C89" s="115">
        <v>101.52</v>
      </c>
      <c r="D89" s="115">
        <v>101.52</v>
      </c>
      <c r="E89" s="116">
        <v>358.70000000000005</v>
      </c>
      <c r="F89" s="116">
        <v>1986.4</v>
      </c>
      <c r="G89" s="21">
        <f t="shared" si="9"/>
        <v>2345.1000000000004</v>
      </c>
      <c r="I89" s="117"/>
      <c r="J89" s="117"/>
      <c r="K89" s="118"/>
      <c r="L89" s="118"/>
      <c r="M89" s="118"/>
    </row>
    <row r="90" spans="1:13" ht="12" customHeight="1">
      <c r="A90" s="61" t="s">
        <v>143</v>
      </c>
      <c r="B90" s="61" t="s">
        <v>144</v>
      </c>
      <c r="C90" s="115">
        <v>126.82</v>
      </c>
      <c r="D90" s="115">
        <v>126.82</v>
      </c>
      <c r="E90" s="116">
        <v>71.87</v>
      </c>
      <c r="F90" s="116">
        <v>1077.99</v>
      </c>
      <c r="G90" s="21">
        <f t="shared" si="9"/>
        <v>1149.8600000000001</v>
      </c>
      <c r="I90" s="117"/>
      <c r="J90" s="117"/>
      <c r="K90" s="118"/>
      <c r="L90" s="118"/>
      <c r="M90" s="118"/>
    </row>
    <row r="91" spans="1:13" ht="12" customHeight="1">
      <c r="A91" s="61" t="s">
        <v>145</v>
      </c>
      <c r="B91" s="61" t="s">
        <v>146</v>
      </c>
      <c r="C91" s="115">
        <v>76.48</v>
      </c>
      <c r="D91" s="115">
        <v>76.48</v>
      </c>
      <c r="E91" s="116">
        <v>305.92</v>
      </c>
      <c r="F91" s="116">
        <v>1603.9700000000003</v>
      </c>
      <c r="G91" s="21">
        <f t="shared" si="9"/>
        <v>1909.8900000000003</v>
      </c>
      <c r="I91" s="117"/>
      <c r="J91" s="117"/>
      <c r="K91" s="118"/>
      <c r="L91" s="118"/>
      <c r="M91" s="118"/>
    </row>
    <row r="92" spans="1:13" ht="12" customHeight="1">
      <c r="A92" s="61" t="s">
        <v>147</v>
      </c>
      <c r="B92" s="61" t="s">
        <v>148</v>
      </c>
      <c r="C92" s="115">
        <v>5.54</v>
      </c>
      <c r="D92" s="115">
        <v>5.54</v>
      </c>
      <c r="E92" s="116">
        <v>1069.22</v>
      </c>
      <c r="F92" s="116">
        <v>7013.64</v>
      </c>
      <c r="G92" s="21">
        <f t="shared" si="9"/>
        <v>8082.8600000000006</v>
      </c>
      <c r="I92" s="117"/>
      <c r="J92" s="117"/>
      <c r="K92" s="118"/>
      <c r="L92" s="118"/>
      <c r="M92" s="118"/>
    </row>
    <row r="93" spans="1:13" ht="8.25" customHeight="1" thickBot="1">
      <c r="A93" s="23"/>
      <c r="B93" s="23"/>
      <c r="D93" s="86"/>
      <c r="I93" s="118"/>
      <c r="J93" s="118"/>
      <c r="K93" s="118"/>
      <c r="L93" s="118"/>
      <c r="M93" s="118"/>
    </row>
    <row r="94" spans="1:13" ht="12" customHeight="1" thickBot="1">
      <c r="A94" s="23"/>
      <c r="B94" s="33" t="s">
        <v>14</v>
      </c>
      <c r="D94" s="86"/>
      <c r="E94" s="119">
        <f>SUM(E85:E93)</f>
        <v>5789.23</v>
      </c>
      <c r="F94" s="119">
        <f>SUM(F85:F93)</f>
        <v>30570.350000000006</v>
      </c>
      <c r="G94" s="119">
        <f>SUM(G85:G93)</f>
        <v>36359.579999999994</v>
      </c>
      <c r="I94" s="118"/>
      <c r="J94" s="118"/>
      <c r="K94" s="122">
        <f>SUM(K85:K88)</f>
        <v>6.879916743994225</v>
      </c>
      <c r="L94" s="123"/>
      <c r="M94" s="122">
        <f>SUM(M85:M88)</f>
        <v>6.879916743994225</v>
      </c>
    </row>
    <row r="95" spans="1:13" ht="8.25" customHeight="1">
      <c r="A95" s="23"/>
      <c r="B95" s="33"/>
      <c r="D95" s="86"/>
      <c r="E95" s="124"/>
      <c r="F95" s="124"/>
      <c r="G95" s="124"/>
      <c r="I95" s="118"/>
      <c r="J95" s="118"/>
      <c r="K95" s="118"/>
      <c r="L95" s="118"/>
      <c r="M95" s="118"/>
    </row>
    <row r="96" spans="1:13" s="4" customFormat="1" ht="12" customHeight="1">
      <c r="A96" s="125" t="s">
        <v>339</v>
      </c>
      <c r="B96" s="125" t="s">
        <v>340</v>
      </c>
      <c r="C96" s="126"/>
      <c r="D96" s="3"/>
      <c r="E96" s="116"/>
      <c r="F96" s="116"/>
      <c r="I96" s="117"/>
      <c r="J96" s="117"/>
      <c r="K96" s="117"/>
      <c r="L96" s="117"/>
      <c r="M96" s="117"/>
    </row>
    <row r="97" spans="1:13" s="4" customFormat="1" ht="12" customHeight="1">
      <c r="A97" s="127" t="s">
        <v>149</v>
      </c>
      <c r="B97" s="127" t="s">
        <v>150</v>
      </c>
      <c r="C97" s="115">
        <v>0</v>
      </c>
      <c r="D97" s="115">
        <v>0</v>
      </c>
      <c r="E97" s="116">
        <v>1100</v>
      </c>
      <c r="F97" s="116">
        <v>3075</v>
      </c>
      <c r="G97" s="21">
        <f>SUM(E97:F97)</f>
        <v>4175</v>
      </c>
      <c r="I97" s="117">
        <f>IFERROR(E97/$C97,0)</f>
        <v>0</v>
      </c>
      <c r="J97" s="117">
        <f>IFERROR(F97/$C97,0)</f>
        <v>0</v>
      </c>
      <c r="K97" s="117"/>
      <c r="L97" s="117"/>
      <c r="M97" s="117"/>
    </row>
    <row r="98" spans="1:13" s="4" customFormat="1" ht="8.25" customHeight="1">
      <c r="A98" s="61"/>
      <c r="B98" s="61"/>
      <c r="C98" s="115"/>
      <c r="D98" s="115"/>
      <c r="E98" s="116"/>
      <c r="F98" s="116"/>
      <c r="I98" s="117"/>
      <c r="J98" s="117"/>
      <c r="K98" s="117"/>
      <c r="L98" s="117"/>
      <c r="M98" s="117"/>
    </row>
    <row r="99" spans="1:13" s="4" customFormat="1" ht="12" customHeight="1">
      <c r="A99" s="61"/>
      <c r="B99" s="24" t="s">
        <v>341</v>
      </c>
      <c r="C99" s="115"/>
      <c r="D99" s="115"/>
      <c r="E99" s="119">
        <f>SUM(E97:E98)</f>
        <v>1100</v>
      </c>
      <c r="F99" s="119">
        <f>SUM(F97:F98)</f>
        <v>3075</v>
      </c>
      <c r="G99" s="119">
        <f>SUM(G97:G98)</f>
        <v>4175</v>
      </c>
      <c r="I99" s="117"/>
      <c r="J99" s="117"/>
      <c r="K99" s="117"/>
      <c r="L99" s="117"/>
      <c r="M99" s="117"/>
    </row>
    <row r="100" spans="1:13" ht="8.25" customHeight="1">
      <c r="A100" s="23"/>
      <c r="B100" s="23"/>
      <c r="D100" s="86"/>
      <c r="I100" s="118"/>
      <c r="J100" s="118"/>
      <c r="K100" s="118"/>
      <c r="L100" s="118"/>
      <c r="M100" s="118"/>
    </row>
    <row r="101" spans="1:13" ht="12" customHeight="1">
      <c r="A101" s="35" t="s">
        <v>15</v>
      </c>
      <c r="B101" s="35" t="s">
        <v>15</v>
      </c>
      <c r="D101" s="86"/>
      <c r="I101" s="118"/>
      <c r="J101" s="118"/>
      <c r="K101" s="118"/>
      <c r="L101" s="118"/>
      <c r="M101" s="118"/>
    </row>
    <row r="102" spans="1:13" ht="12" customHeight="1">
      <c r="A102" s="86" t="s">
        <v>151</v>
      </c>
      <c r="B102" s="86" t="s">
        <v>152</v>
      </c>
      <c r="C102" s="115">
        <v>0</v>
      </c>
      <c r="D102" s="115">
        <v>104.5</v>
      </c>
      <c r="E102" s="116">
        <v>7502.9500000000007</v>
      </c>
      <c r="F102" s="116">
        <v>28617.379999999997</v>
      </c>
      <c r="G102" s="21">
        <f>SUM(E102:F102)</f>
        <v>36120.33</v>
      </c>
      <c r="I102" s="118"/>
      <c r="J102" s="118"/>
      <c r="K102" s="118"/>
      <c r="L102" s="118"/>
      <c r="M102" s="118"/>
    </row>
    <row r="103" spans="1:13" ht="8.25" customHeight="1">
      <c r="D103" s="86"/>
      <c r="G103" s="128"/>
      <c r="I103" s="118"/>
      <c r="J103" s="118"/>
      <c r="K103" s="118"/>
      <c r="L103" s="118"/>
      <c r="M103" s="118"/>
    </row>
    <row r="104" spans="1:13" ht="12" customHeight="1">
      <c r="A104" s="23"/>
      <c r="B104" s="33" t="s">
        <v>16</v>
      </c>
      <c r="D104" s="86"/>
      <c r="E104" s="119">
        <f>SUM(E102:E103)</f>
        <v>7502.9500000000007</v>
      </c>
      <c r="F104" s="119">
        <f>SUM(F102:F103)</f>
        <v>28617.379999999997</v>
      </c>
      <c r="G104" s="119">
        <f>SUM(G102:G103)</f>
        <v>36120.33</v>
      </c>
      <c r="I104" s="118"/>
      <c r="J104" s="118"/>
      <c r="K104" s="118"/>
      <c r="L104" s="118"/>
      <c r="M104" s="118"/>
    </row>
    <row r="105" spans="1:13" ht="8.25" customHeight="1">
      <c r="A105" s="23"/>
      <c r="B105" s="33"/>
      <c r="D105" s="86"/>
      <c r="E105" s="124"/>
      <c r="F105" s="124"/>
      <c r="G105" s="124"/>
      <c r="I105" s="118"/>
      <c r="J105" s="118"/>
      <c r="K105" s="118"/>
      <c r="L105" s="118"/>
      <c r="M105" s="118"/>
    </row>
    <row r="106" spans="1:13" s="4" customFormat="1" ht="12" customHeight="1">
      <c r="A106" s="26" t="s">
        <v>17</v>
      </c>
      <c r="B106" s="26" t="s">
        <v>17</v>
      </c>
      <c r="C106" s="115"/>
      <c r="D106" s="115"/>
      <c r="E106" s="2"/>
      <c r="F106" s="2"/>
      <c r="G106" s="21"/>
      <c r="I106" s="117"/>
      <c r="J106" s="117"/>
      <c r="K106" s="118"/>
      <c r="L106" s="118"/>
      <c r="M106" s="118"/>
    </row>
    <row r="107" spans="1:13" s="4" customFormat="1" ht="12" customHeight="1">
      <c r="A107" s="61" t="s">
        <v>18</v>
      </c>
      <c r="B107" s="61" t="s">
        <v>19</v>
      </c>
      <c r="C107" s="115">
        <v>0</v>
      </c>
      <c r="D107" s="115">
        <v>0</v>
      </c>
      <c r="E107" s="116">
        <v>179.14</v>
      </c>
      <c r="F107" s="116">
        <v>617.83999999999992</v>
      </c>
      <c r="G107" s="21">
        <f>SUM(E107:F107)</f>
        <v>796.9799999999999</v>
      </c>
      <c r="I107" s="117"/>
      <c r="J107" s="117"/>
      <c r="K107" s="118"/>
      <c r="L107" s="118"/>
      <c r="M107" s="118"/>
    </row>
    <row r="108" spans="1:13" s="4" customFormat="1" ht="12" customHeight="1">
      <c r="A108" s="61" t="s">
        <v>153</v>
      </c>
      <c r="B108" s="61" t="s">
        <v>154</v>
      </c>
      <c r="C108" s="115">
        <v>0</v>
      </c>
      <c r="D108" s="115">
        <v>19.010000000000002</v>
      </c>
      <c r="E108" s="116">
        <v>0</v>
      </c>
      <c r="F108" s="116">
        <v>19.010000000000002</v>
      </c>
      <c r="G108" s="21">
        <f>SUM(E108:F108)</f>
        <v>19.010000000000002</v>
      </c>
      <c r="I108" s="117"/>
      <c r="J108" s="117"/>
      <c r="K108" s="118"/>
      <c r="L108" s="118"/>
      <c r="M108" s="118"/>
    </row>
    <row r="109" spans="1:13" s="4" customFormat="1" ht="12" customHeight="1">
      <c r="A109" s="22"/>
      <c r="B109" s="22"/>
      <c r="C109" s="115"/>
      <c r="D109" s="115"/>
      <c r="E109" s="2"/>
      <c r="F109" s="2"/>
      <c r="G109" s="21"/>
      <c r="I109" s="117"/>
      <c r="J109" s="117"/>
      <c r="K109" s="118"/>
      <c r="L109" s="118"/>
      <c r="M109" s="118"/>
    </row>
    <row r="110" spans="1:13" s="4" customFormat="1" ht="12" customHeight="1">
      <c r="A110" s="28"/>
      <c r="B110" s="24" t="s">
        <v>20</v>
      </c>
      <c r="C110" s="115"/>
      <c r="D110" s="115"/>
      <c r="E110" s="119">
        <f>SUM(E107:E108)</f>
        <v>179.14</v>
      </c>
      <c r="F110" s="119">
        <f>SUM(F107:F108)</f>
        <v>636.84999999999991</v>
      </c>
      <c r="G110" s="119">
        <f>SUM(G107:G108)</f>
        <v>815.9899999999999</v>
      </c>
      <c r="I110" s="117"/>
      <c r="J110" s="117"/>
      <c r="K110" s="118"/>
      <c r="L110" s="118"/>
      <c r="M110" s="118"/>
    </row>
    <row r="111" spans="1:13" ht="12" customHeight="1">
      <c r="A111" s="23"/>
      <c r="B111" s="33"/>
      <c r="I111" s="118"/>
      <c r="J111" s="118"/>
      <c r="K111" s="118"/>
      <c r="L111" s="118"/>
      <c r="M111" s="118"/>
    </row>
    <row r="112" spans="1:13" ht="12" customHeight="1">
      <c r="A112" s="6"/>
      <c r="B112" s="31" t="s">
        <v>21</v>
      </c>
      <c r="E112" s="119">
        <f>SUM(E33,E80,E94,E99,E104,E110)</f>
        <v>141875.53000000009</v>
      </c>
      <c r="F112" s="119">
        <f>SUM(F33,F80,F94,F99,F104,F110)</f>
        <v>472141.56999999995</v>
      </c>
      <c r="G112" s="119">
        <f>SUM(G33,G80,G94,G99,G104,G110)</f>
        <v>614017.1</v>
      </c>
    </row>
    <row r="113" spans="1:9">
      <c r="A113" s="6"/>
      <c r="B113" s="6"/>
    </row>
    <row r="114" spans="1:9">
      <c r="D114" s="58" t="s">
        <v>295</v>
      </c>
      <c r="E114" s="52">
        <v>141875.53</v>
      </c>
      <c r="F114" s="52">
        <v>472141.57000000007</v>
      </c>
      <c r="G114" s="52">
        <v>614017.1</v>
      </c>
    </row>
    <row r="115" spans="1:9">
      <c r="D115" s="58" t="s">
        <v>312</v>
      </c>
      <c r="E115" s="47">
        <f>E114-E112</f>
        <v>0</v>
      </c>
      <c r="F115" s="47">
        <f>F114-F112</f>
        <v>0</v>
      </c>
      <c r="G115" s="47">
        <f>G114-G112</f>
        <v>0</v>
      </c>
      <c r="I115" s="81" t="s">
        <v>342</v>
      </c>
    </row>
  </sheetData>
  <pageMargins left="0.25" right="0.25" top="0.75" bottom="0.75" header="0.3" footer="0.3"/>
  <pageSetup scale="71" fitToHeight="0" orientation="landscape" r:id="rId1"/>
  <rowBreaks count="1" manualBreakCount="1">
    <brk id="59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N175"/>
  <sheetViews>
    <sheetView showGridLines="0" view="pageBreakPreview" zoomScale="115" zoomScaleNormal="100" zoomScaleSheetLayoutView="115" workbookViewId="0">
      <pane ySplit="6" topLeftCell="A124" activePane="bottomLeft" state="frozen"/>
      <selection activeCell="J59" sqref="J59"/>
      <selection pane="bottomLeft" activeCell="J59" sqref="J59"/>
    </sheetView>
  </sheetViews>
  <sheetFormatPr defaultRowHeight="12.75"/>
  <cols>
    <col min="1" max="1" width="25" style="86" customWidth="1"/>
    <col min="2" max="2" width="30.7109375" style="86" customWidth="1"/>
    <col min="3" max="4" width="12.28515625" style="61" customWidth="1"/>
    <col min="5" max="5" width="1" style="61" customWidth="1"/>
    <col min="6" max="7" width="12.28515625" style="61" customWidth="1"/>
    <col min="8" max="8" width="1" style="61" customWidth="1"/>
    <col min="9" max="9" width="12.28515625" style="61" customWidth="1"/>
    <col min="10" max="10" width="1" style="61" customWidth="1"/>
    <col min="11" max="12" width="6.7109375" style="61" customWidth="1"/>
    <col min="13" max="13" width="20" style="61" customWidth="1"/>
    <col min="14" max="14" width="10.5703125" style="61" customWidth="1"/>
    <col min="15" max="17" width="10.7109375" style="61" customWidth="1"/>
    <col min="18" max="18" width="17.7109375" style="61" customWidth="1"/>
    <col min="19" max="16384" width="9.140625" style="61"/>
  </cols>
  <sheetData>
    <row r="1" spans="1:14" ht="12" customHeight="1" thickBot="1">
      <c r="A1" s="1" t="s">
        <v>22</v>
      </c>
      <c r="B1" s="2"/>
      <c r="C1" s="63" t="s">
        <v>343</v>
      </c>
      <c r="D1" s="4"/>
      <c r="E1" s="4"/>
      <c r="F1" s="4"/>
    </row>
    <row r="2" spans="1:14" ht="12" customHeight="1">
      <c r="A2" s="1" t="s">
        <v>344</v>
      </c>
      <c r="B2" s="2"/>
      <c r="C2" s="3"/>
      <c r="D2" s="51"/>
      <c r="E2" s="4"/>
      <c r="F2" s="4"/>
      <c r="M2" s="66" t="s">
        <v>292</v>
      </c>
      <c r="N2" s="130">
        <f>SUM(I12:I22,I83:I89)</f>
        <v>2374.5076555236978</v>
      </c>
    </row>
    <row r="3" spans="1:14" ht="12" customHeight="1">
      <c r="A3" s="105">
        <v>2017</v>
      </c>
      <c r="B3" s="2"/>
      <c r="C3" s="3"/>
      <c r="D3" s="7"/>
      <c r="E3" s="4"/>
      <c r="F3" s="4"/>
      <c r="M3" s="67" t="s">
        <v>293</v>
      </c>
      <c r="N3" s="131">
        <f>I41</f>
        <v>40.208416833667336</v>
      </c>
    </row>
    <row r="4" spans="1:14" ht="12" customHeight="1">
      <c r="A4" s="2"/>
      <c r="B4" s="8"/>
      <c r="C4" s="9">
        <v>2017</v>
      </c>
      <c r="D4" s="132">
        <v>2017</v>
      </c>
      <c r="E4" s="4"/>
      <c r="F4" s="54">
        <v>2017</v>
      </c>
      <c r="G4" s="54" t="s">
        <v>331</v>
      </c>
      <c r="I4" s="82">
        <v>2017</v>
      </c>
      <c r="M4" s="67" t="s">
        <v>291</v>
      </c>
      <c r="N4" s="131">
        <f>SUM(I49:I79,I90:I94)</f>
        <v>580.7928669923707</v>
      </c>
    </row>
    <row r="5" spans="1:14" ht="12" customHeight="1" thickBot="1">
      <c r="A5" s="11" t="s">
        <v>1</v>
      </c>
      <c r="B5" s="8" t="s">
        <v>2</v>
      </c>
      <c r="C5" s="12" t="s">
        <v>3</v>
      </c>
      <c r="D5" s="10" t="s">
        <v>4</v>
      </c>
      <c r="E5" s="4"/>
      <c r="F5" s="13" t="s">
        <v>5</v>
      </c>
      <c r="G5" s="13" t="s">
        <v>330</v>
      </c>
      <c r="I5" s="82" t="s">
        <v>333</v>
      </c>
      <c r="M5" s="68" t="s">
        <v>246</v>
      </c>
      <c r="N5" s="133">
        <f>I136</f>
        <v>30.333333333333332</v>
      </c>
    </row>
    <row r="6" spans="1:14" ht="4.5" customHeight="1"/>
    <row r="7" spans="1:14" s="4" customFormat="1" ht="5.25" customHeight="1">
      <c r="B7" s="2"/>
      <c r="C7" s="3"/>
      <c r="H7" s="61"/>
      <c r="I7" s="61"/>
      <c r="J7" s="61"/>
      <c r="K7" s="61"/>
    </row>
    <row r="8" spans="1:14" s="4" customFormat="1" ht="5.25" hidden="1" customHeight="1">
      <c r="C8" s="3"/>
      <c r="H8" s="61"/>
      <c r="I8" s="61"/>
      <c r="J8" s="61"/>
      <c r="K8" s="61"/>
    </row>
    <row r="9" spans="1:14" s="4" customFormat="1" ht="12" customHeight="1">
      <c r="A9" s="16" t="s">
        <v>6</v>
      </c>
      <c r="B9" s="16" t="s">
        <v>6</v>
      </c>
      <c r="C9" s="3"/>
      <c r="H9" s="61"/>
      <c r="I9" s="61"/>
      <c r="J9" s="61"/>
      <c r="K9" s="61"/>
    </row>
    <row r="10" spans="1:14" s="4" customFormat="1" ht="5.25" customHeight="1">
      <c r="A10" s="16"/>
      <c r="B10" s="16"/>
      <c r="C10" s="3"/>
      <c r="I10" s="61"/>
    </row>
    <row r="11" spans="1:14" s="4" customFormat="1" ht="12" customHeight="1">
      <c r="A11" s="17" t="s">
        <v>7</v>
      </c>
      <c r="B11" s="17" t="s">
        <v>7</v>
      </c>
      <c r="C11" s="115"/>
      <c r="D11" s="117"/>
      <c r="F11" s="117"/>
      <c r="I11" s="61"/>
    </row>
    <row r="12" spans="1:14" s="4" customFormat="1" ht="12" customHeight="1">
      <c r="A12" s="61" t="s">
        <v>23</v>
      </c>
      <c r="B12" s="61" t="s">
        <v>24</v>
      </c>
      <c r="C12" s="115">
        <v>14.27</v>
      </c>
      <c r="D12" s="134">
        <v>3692.7450000000003</v>
      </c>
      <c r="F12" s="117">
        <f t="shared" ref="F12:F22" si="0">IFERROR(D12/C12,0)</f>
        <v>258.77680448493345</v>
      </c>
      <c r="G12" s="117">
        <f t="shared" ref="G12:G22" si="1">F12/12</f>
        <v>21.564733707077789</v>
      </c>
      <c r="H12" s="117"/>
      <c r="I12" s="118">
        <v>0</v>
      </c>
    </row>
    <row r="13" spans="1:14" s="4" customFormat="1" ht="12" customHeight="1">
      <c r="A13" s="61" t="s">
        <v>25</v>
      </c>
      <c r="B13" s="61" t="s">
        <v>26</v>
      </c>
      <c r="C13" s="115">
        <v>11.46</v>
      </c>
      <c r="D13" s="134">
        <v>5895.31</v>
      </c>
      <c r="F13" s="117">
        <f t="shared" si="0"/>
        <v>514.42495636998251</v>
      </c>
      <c r="G13" s="117">
        <f t="shared" si="1"/>
        <v>42.868746364165212</v>
      </c>
      <c r="H13" s="117"/>
      <c r="I13" s="117">
        <v>0</v>
      </c>
    </row>
    <row r="14" spans="1:14" s="4" customFormat="1" ht="12" customHeight="1">
      <c r="A14" s="61" t="s">
        <v>27</v>
      </c>
      <c r="B14" s="61" t="s">
        <v>28</v>
      </c>
      <c r="C14" s="115">
        <v>18.2</v>
      </c>
      <c r="D14" s="134">
        <v>211713.65</v>
      </c>
      <c r="F14" s="117">
        <f t="shared" si="0"/>
        <v>11632.618131868132</v>
      </c>
      <c r="G14" s="117">
        <f t="shared" si="1"/>
        <v>969.38484432234429</v>
      </c>
      <c r="H14" s="117"/>
      <c r="I14" s="117">
        <v>0</v>
      </c>
    </row>
    <row r="15" spans="1:14" s="4" customFormat="1" ht="12" customHeight="1">
      <c r="A15" s="61" t="s">
        <v>29</v>
      </c>
      <c r="B15" s="61" t="s">
        <v>30</v>
      </c>
      <c r="C15" s="115">
        <v>24.19</v>
      </c>
      <c r="D15" s="134">
        <v>48301.590000000004</v>
      </c>
      <c r="F15" s="117">
        <f t="shared" si="0"/>
        <v>1996.7585779247624</v>
      </c>
      <c r="G15" s="117">
        <f t="shared" si="1"/>
        <v>166.39654816039686</v>
      </c>
      <c r="H15" s="117"/>
      <c r="I15" s="117">
        <v>0</v>
      </c>
    </row>
    <row r="16" spans="1:14" s="4" customFormat="1" ht="12" customHeight="1">
      <c r="A16" s="61" t="s">
        <v>31</v>
      </c>
      <c r="B16" s="61" t="s">
        <v>32</v>
      </c>
      <c r="C16" s="115">
        <v>32.11</v>
      </c>
      <c r="D16" s="134">
        <v>4294.05</v>
      </c>
      <c r="F16" s="117">
        <f t="shared" si="0"/>
        <v>133.72936779819372</v>
      </c>
      <c r="G16" s="117">
        <f t="shared" si="1"/>
        <v>11.144113983182811</v>
      </c>
      <c r="H16" s="117"/>
      <c r="I16" s="117">
        <v>0</v>
      </c>
    </row>
    <row r="17" spans="1:9" s="4" customFormat="1" ht="12" customHeight="1">
      <c r="A17" s="61" t="s">
        <v>155</v>
      </c>
      <c r="B17" s="61" t="s">
        <v>156</v>
      </c>
      <c r="C17" s="115">
        <v>41.93</v>
      </c>
      <c r="D17" s="134">
        <v>502.88500000000005</v>
      </c>
      <c r="F17" s="117">
        <f t="shared" si="0"/>
        <v>11.993441450035775</v>
      </c>
      <c r="G17" s="117">
        <f t="shared" si="1"/>
        <v>0.99945345416964793</v>
      </c>
      <c r="H17" s="117"/>
      <c r="I17" s="117">
        <v>0</v>
      </c>
    </row>
    <row r="18" spans="1:9" s="4" customFormat="1" ht="12" customHeight="1">
      <c r="A18" s="61" t="s">
        <v>33</v>
      </c>
      <c r="B18" s="61" t="s">
        <v>34</v>
      </c>
      <c r="C18" s="115">
        <v>25.91</v>
      </c>
      <c r="D18" s="134">
        <v>270469.49500000005</v>
      </c>
      <c r="F18" s="117">
        <f t="shared" si="0"/>
        <v>10438.807217290623</v>
      </c>
      <c r="G18" s="117">
        <f t="shared" si="1"/>
        <v>869.90060144088523</v>
      </c>
      <c r="H18" s="117"/>
      <c r="I18" s="117">
        <f>G18*1</f>
        <v>869.90060144088523</v>
      </c>
    </row>
    <row r="19" spans="1:9" s="4" customFormat="1" ht="12" customHeight="1">
      <c r="A19" s="61" t="s">
        <v>35</v>
      </c>
      <c r="B19" s="61" t="s">
        <v>36</v>
      </c>
      <c r="C19" s="115">
        <v>51.82</v>
      </c>
      <c r="D19" s="134">
        <v>3080.11</v>
      </c>
      <c r="F19" s="117">
        <f t="shared" si="0"/>
        <v>59.438633732149754</v>
      </c>
      <c r="G19" s="117">
        <f t="shared" si="1"/>
        <v>4.9532194776791458</v>
      </c>
      <c r="H19" s="117"/>
      <c r="I19" s="117">
        <f>G19*2</f>
        <v>9.9064389553582917</v>
      </c>
    </row>
    <row r="20" spans="1:9" s="4" customFormat="1" ht="12" customHeight="1">
      <c r="A20" s="61" t="s">
        <v>157</v>
      </c>
      <c r="B20" s="61" t="s">
        <v>158</v>
      </c>
      <c r="C20" s="115">
        <v>77.73</v>
      </c>
      <c r="D20" s="134">
        <v>1860.7500000000002</v>
      </c>
      <c r="F20" s="117">
        <f t="shared" si="0"/>
        <v>23.93863373214975</v>
      </c>
      <c r="G20" s="117">
        <f t="shared" si="1"/>
        <v>1.9948861443458126</v>
      </c>
      <c r="H20" s="117"/>
      <c r="I20" s="117">
        <f>G20*3</f>
        <v>5.9846584330374375</v>
      </c>
    </row>
    <row r="21" spans="1:9" s="4" customFormat="1" ht="12" customHeight="1">
      <c r="A21" s="61" t="s">
        <v>37</v>
      </c>
      <c r="B21" s="61" t="s">
        <v>38</v>
      </c>
      <c r="C21" s="115">
        <v>32.06</v>
      </c>
      <c r="D21" s="134">
        <v>480282.98</v>
      </c>
      <c r="F21" s="117">
        <f t="shared" si="0"/>
        <v>14980.754210854646</v>
      </c>
      <c r="G21" s="117">
        <f t="shared" si="1"/>
        <v>1248.3961842378872</v>
      </c>
      <c r="H21" s="117"/>
      <c r="I21" s="117">
        <f>G21*1</f>
        <v>1248.3961842378872</v>
      </c>
    </row>
    <row r="22" spans="1:9" s="4" customFormat="1" ht="12" customHeight="1">
      <c r="A22" s="61" t="s">
        <v>39</v>
      </c>
      <c r="B22" s="61" t="s">
        <v>40</v>
      </c>
      <c r="C22" s="115">
        <v>64.12</v>
      </c>
      <c r="D22" s="134">
        <v>9665.31</v>
      </c>
      <c r="F22" s="117">
        <f t="shared" si="0"/>
        <v>150.73783530879598</v>
      </c>
      <c r="G22" s="117">
        <f t="shared" si="1"/>
        <v>12.561486275732998</v>
      </c>
      <c r="H22" s="117"/>
      <c r="I22" s="117">
        <f>G22*2</f>
        <v>25.122972551465995</v>
      </c>
    </row>
    <row r="23" spans="1:9" s="4" customFormat="1" ht="12" customHeight="1">
      <c r="A23" s="61" t="s">
        <v>43</v>
      </c>
      <c r="B23" s="61" t="s">
        <v>44</v>
      </c>
      <c r="C23" s="115">
        <v>12.61</v>
      </c>
      <c r="D23" s="134">
        <v>176.54</v>
      </c>
      <c r="F23" s="117"/>
      <c r="G23" s="117"/>
      <c r="H23" s="117"/>
      <c r="I23" s="117"/>
    </row>
    <row r="24" spans="1:9" s="4" customFormat="1" ht="12" customHeight="1">
      <c r="A24" s="61" t="s">
        <v>159</v>
      </c>
      <c r="B24" s="61" t="s">
        <v>160</v>
      </c>
      <c r="C24" s="115">
        <v>12.61</v>
      </c>
      <c r="D24" s="134">
        <v>214.37</v>
      </c>
      <c r="F24" s="117"/>
      <c r="G24" s="21"/>
    </row>
    <row r="25" spans="1:9" s="2" customFormat="1" ht="12" customHeight="1">
      <c r="A25" s="61" t="s">
        <v>45</v>
      </c>
      <c r="B25" s="61" t="s">
        <v>46</v>
      </c>
      <c r="C25" s="115">
        <v>4.16</v>
      </c>
      <c r="D25" s="134">
        <v>16949.2</v>
      </c>
      <c r="F25" s="117"/>
      <c r="G25" s="21"/>
    </row>
    <row r="26" spans="1:9" s="2" customFormat="1" ht="12" customHeight="1">
      <c r="A26" s="61" t="s">
        <v>47</v>
      </c>
      <c r="B26" s="61" t="s">
        <v>48</v>
      </c>
      <c r="C26" s="115">
        <v>20.78</v>
      </c>
      <c r="D26" s="134">
        <v>1308.7500000000002</v>
      </c>
      <c r="F26" s="117"/>
      <c r="G26" s="21"/>
    </row>
    <row r="27" spans="1:9" s="4" customFormat="1" ht="12" customHeight="1">
      <c r="A27" s="61" t="s">
        <v>51</v>
      </c>
      <c r="B27" s="61" t="s">
        <v>52</v>
      </c>
      <c r="C27" s="115">
        <v>4.16</v>
      </c>
      <c r="D27" s="134">
        <v>166.42</v>
      </c>
      <c r="F27" s="117"/>
      <c r="G27" s="21"/>
    </row>
    <row r="28" spans="1:9" s="4" customFormat="1" ht="12" customHeight="1">
      <c r="A28" s="61" t="s">
        <v>53</v>
      </c>
      <c r="B28" s="61" t="s">
        <v>54</v>
      </c>
      <c r="C28" s="115">
        <v>4.16</v>
      </c>
      <c r="D28" s="134">
        <v>95.64</v>
      </c>
      <c r="F28" s="117"/>
      <c r="G28" s="21"/>
    </row>
    <row r="29" spans="1:9" s="4" customFormat="1" ht="12" customHeight="1">
      <c r="A29" s="61" t="s">
        <v>49</v>
      </c>
      <c r="B29" s="61" t="s">
        <v>50</v>
      </c>
      <c r="C29" s="115">
        <v>20.78</v>
      </c>
      <c r="D29" s="134">
        <v>259.59000000000003</v>
      </c>
      <c r="F29" s="117"/>
      <c r="G29" s="21"/>
    </row>
    <row r="30" spans="1:9" s="4" customFormat="1" ht="12" customHeight="1">
      <c r="A30" s="62" t="s">
        <v>274</v>
      </c>
      <c r="B30" s="61" t="s">
        <v>275</v>
      </c>
      <c r="C30" s="115">
        <v>8.4700000000000006</v>
      </c>
      <c r="D30" s="134">
        <v>16.940000000000001</v>
      </c>
      <c r="F30" s="117"/>
      <c r="G30" s="21"/>
    </row>
    <row r="31" spans="1:9" s="2" customFormat="1" ht="12" customHeight="1">
      <c r="A31" s="61" t="s">
        <v>55</v>
      </c>
      <c r="B31" s="61" t="s">
        <v>56</v>
      </c>
      <c r="C31" s="115">
        <v>3.64</v>
      </c>
      <c r="D31" s="134">
        <v>86.800000000000011</v>
      </c>
      <c r="F31" s="135"/>
      <c r="G31" s="21"/>
    </row>
    <row r="32" spans="1:9" s="2" customFormat="1" ht="12" customHeight="1">
      <c r="A32" s="61" t="s">
        <v>300</v>
      </c>
      <c r="B32" s="61" t="s">
        <v>301</v>
      </c>
      <c r="C32" s="115">
        <v>6.97</v>
      </c>
      <c r="D32" s="134">
        <v>5602.1400000000021</v>
      </c>
      <c r="F32" s="135"/>
      <c r="G32" s="21"/>
    </row>
    <row r="33" spans="1:9" s="2" customFormat="1" ht="12" customHeight="1">
      <c r="A33" s="61" t="s">
        <v>302</v>
      </c>
      <c r="B33" s="61" t="s">
        <v>303</v>
      </c>
      <c r="C33" s="115">
        <v>3.64</v>
      </c>
      <c r="D33" s="134">
        <v>0</v>
      </c>
      <c r="F33" s="117"/>
      <c r="G33" s="21"/>
    </row>
    <row r="34" spans="1:9" s="2" customFormat="1" ht="12" customHeight="1">
      <c r="A34" s="61" t="s">
        <v>57</v>
      </c>
      <c r="B34" s="61" t="s">
        <v>58</v>
      </c>
      <c r="C34" s="115">
        <v>23.04</v>
      </c>
      <c r="D34" s="134">
        <v>322.56</v>
      </c>
      <c r="F34" s="117"/>
      <c r="G34" s="21"/>
    </row>
    <row r="35" spans="1:9" s="4" customFormat="1" ht="12" customHeight="1">
      <c r="A35" s="61" t="s">
        <v>59</v>
      </c>
      <c r="B35" s="61" t="s">
        <v>60</v>
      </c>
      <c r="C35" s="115">
        <v>13.83</v>
      </c>
      <c r="D35" s="134">
        <v>1244.7</v>
      </c>
      <c r="F35" s="117"/>
      <c r="G35" s="21"/>
    </row>
    <row r="36" spans="1:9" s="4" customFormat="1" ht="12" customHeight="1">
      <c r="A36" s="61" t="s">
        <v>277</v>
      </c>
      <c r="B36" s="61" t="s">
        <v>281</v>
      </c>
      <c r="C36" s="115">
        <v>107.53</v>
      </c>
      <c r="D36" s="134">
        <v>0</v>
      </c>
      <c r="F36" s="117"/>
      <c r="G36" s="21"/>
    </row>
    <row r="37" spans="1:9" s="4" customFormat="1" ht="5.25" customHeight="1" thickBot="1">
      <c r="A37" s="22"/>
      <c r="B37" s="22"/>
      <c r="C37" s="115"/>
      <c r="D37" s="117"/>
    </row>
    <row r="38" spans="1:9" s="2" customFormat="1" ht="12" customHeight="1" thickBot="1">
      <c r="A38" s="23"/>
      <c r="B38" s="24" t="s">
        <v>8</v>
      </c>
      <c r="C38" s="115"/>
      <c r="D38" s="119">
        <f>SUM(D12:D37)</f>
        <v>1066202.5249999999</v>
      </c>
      <c r="F38" s="136">
        <f>SUM(F12:F22)</f>
        <v>40201.977810814402</v>
      </c>
      <c r="G38" s="136">
        <f>SUM(G12:G22)</f>
        <v>3350.164817567867</v>
      </c>
      <c r="I38" s="136">
        <f>SUM(I12:I22)</f>
        <v>2159.3108556186339</v>
      </c>
    </row>
    <row r="39" spans="1:9" s="4" customFormat="1" ht="5.25" customHeight="1">
      <c r="A39" s="16"/>
      <c r="B39" s="26"/>
      <c r="C39" s="115"/>
      <c r="D39" s="137"/>
      <c r="F39" s="117"/>
    </row>
    <row r="40" spans="1:9" s="4" customFormat="1" ht="12" customHeight="1">
      <c r="A40" s="17" t="s">
        <v>345</v>
      </c>
      <c r="B40" s="17" t="s">
        <v>345</v>
      </c>
      <c r="C40" s="115"/>
      <c r="D40" s="137"/>
      <c r="F40" s="117"/>
    </row>
    <row r="41" spans="1:9" s="4" customFormat="1" ht="12" customHeight="1">
      <c r="A41" s="86" t="s">
        <v>161</v>
      </c>
      <c r="B41" s="86" t="s">
        <v>162</v>
      </c>
      <c r="C41" s="115">
        <v>9.98</v>
      </c>
      <c r="D41" s="134">
        <v>4815.3600000000006</v>
      </c>
      <c r="F41" s="117">
        <f>IFERROR(D41/C41,0)</f>
        <v>482.50100200400806</v>
      </c>
      <c r="G41" s="117">
        <f>F41/12</f>
        <v>40.208416833667336</v>
      </c>
      <c r="H41" s="117"/>
      <c r="I41" s="117">
        <f>G41*1</f>
        <v>40.208416833667336</v>
      </c>
    </row>
    <row r="42" spans="1:9" s="4" customFormat="1" ht="5.25" customHeight="1" thickBot="1">
      <c r="A42" s="138"/>
      <c r="B42" s="61"/>
      <c r="C42" s="115"/>
      <c r="D42" s="117"/>
      <c r="F42" s="117"/>
    </row>
    <row r="43" spans="1:9" s="2" customFormat="1" ht="12" customHeight="1" thickBot="1">
      <c r="A43" s="23"/>
      <c r="B43" s="24" t="s">
        <v>346</v>
      </c>
      <c r="C43" s="115"/>
      <c r="D43" s="119">
        <f>SUM(D41:D42)</f>
        <v>4815.3600000000006</v>
      </c>
      <c r="F43" s="136">
        <f>SUM(F41)</f>
        <v>482.50100200400806</v>
      </c>
      <c r="G43" s="136">
        <f>SUM(G41)</f>
        <v>40.208416833667336</v>
      </c>
      <c r="I43" s="136">
        <f>SUM(I41)</f>
        <v>40.208416833667336</v>
      </c>
    </row>
    <row r="44" spans="1:9" s="2" customFormat="1" ht="5.25" customHeight="1">
      <c r="A44" s="28"/>
      <c r="B44" s="28"/>
      <c r="C44" s="115"/>
      <c r="D44" s="134"/>
      <c r="F44" s="117"/>
    </row>
    <row r="45" spans="1:9" s="4" customFormat="1" ht="0.75" customHeight="1">
      <c r="C45" s="115"/>
      <c r="F45" s="117"/>
    </row>
    <row r="46" spans="1:9" ht="12" customHeight="1">
      <c r="A46" s="29" t="s">
        <v>9</v>
      </c>
      <c r="B46" s="29" t="s">
        <v>9</v>
      </c>
    </row>
    <row r="47" spans="1:9" ht="5.25" customHeight="1">
      <c r="A47" s="29"/>
      <c r="B47" s="29"/>
    </row>
    <row r="48" spans="1:9" s="4" customFormat="1" ht="12" customHeight="1">
      <c r="A48" s="17" t="s">
        <v>10</v>
      </c>
      <c r="B48" s="17" t="s">
        <v>10</v>
      </c>
      <c r="C48" s="115"/>
      <c r="F48" s="117"/>
    </row>
    <row r="49" spans="1:9" s="4" customFormat="1" ht="12" customHeight="1">
      <c r="A49" s="61" t="s">
        <v>61</v>
      </c>
      <c r="B49" s="61" t="s">
        <v>62</v>
      </c>
      <c r="C49" s="115">
        <v>68.25</v>
      </c>
      <c r="D49" s="134">
        <v>209582.46000000002</v>
      </c>
      <c r="F49" s="117">
        <f t="shared" ref="F49:F94" si="2">IFERROR(D49/C49,0)</f>
        <v>3070.805274725275</v>
      </c>
      <c r="G49" s="117">
        <f t="shared" ref="G49:G94" si="3">F49/12</f>
        <v>255.90043956043959</v>
      </c>
      <c r="H49" s="117"/>
      <c r="I49" s="117">
        <f>G49*1</f>
        <v>255.90043956043959</v>
      </c>
    </row>
    <row r="50" spans="1:9" s="4" customFormat="1" ht="12" customHeight="1">
      <c r="A50" s="61" t="s">
        <v>304</v>
      </c>
      <c r="B50" s="61" t="s">
        <v>305</v>
      </c>
      <c r="C50" s="115">
        <v>15.75</v>
      </c>
      <c r="D50" s="134">
        <v>189</v>
      </c>
      <c r="F50" s="117">
        <f t="shared" si="2"/>
        <v>12</v>
      </c>
      <c r="G50" s="117">
        <f t="shared" si="3"/>
        <v>1</v>
      </c>
      <c r="H50" s="117"/>
      <c r="I50" s="117">
        <f>G50*1</f>
        <v>1</v>
      </c>
    </row>
    <row r="51" spans="1:9" s="4" customFormat="1" ht="12" customHeight="1">
      <c r="A51" s="61" t="s">
        <v>233</v>
      </c>
      <c r="B51" s="61" t="s">
        <v>234</v>
      </c>
      <c r="C51" s="115">
        <v>136.5</v>
      </c>
      <c r="D51" s="134">
        <v>1365</v>
      </c>
      <c r="F51" s="117">
        <f t="shared" si="2"/>
        <v>10</v>
      </c>
      <c r="G51" s="117">
        <f t="shared" si="3"/>
        <v>0.83333333333333337</v>
      </c>
      <c r="H51" s="117"/>
      <c r="I51" s="117">
        <f>G51*2</f>
        <v>1.6666666666666667</v>
      </c>
    </row>
    <row r="52" spans="1:9" s="4" customFormat="1" ht="12" customHeight="1">
      <c r="A52" s="61" t="s">
        <v>163</v>
      </c>
      <c r="B52" s="61" t="s">
        <v>164</v>
      </c>
      <c r="C52" s="115">
        <v>204.74</v>
      </c>
      <c r="D52" s="134">
        <v>2456.88</v>
      </c>
      <c r="F52" s="117">
        <f t="shared" si="2"/>
        <v>12</v>
      </c>
      <c r="G52" s="117">
        <f>F52/12</f>
        <v>1</v>
      </c>
      <c r="H52" s="117"/>
      <c r="I52" s="117">
        <f>G52*1</f>
        <v>1</v>
      </c>
    </row>
    <row r="53" spans="1:9" s="4" customFormat="1" ht="12" customHeight="1">
      <c r="A53" s="61" t="s">
        <v>165</v>
      </c>
      <c r="B53" s="61" t="s">
        <v>166</v>
      </c>
      <c r="C53" s="115">
        <v>23.74</v>
      </c>
      <c r="D53" s="134">
        <v>1424.4000000000003</v>
      </c>
      <c r="F53" s="117">
        <f t="shared" si="2"/>
        <v>60.000000000000014</v>
      </c>
      <c r="G53" s="117">
        <f t="shared" si="3"/>
        <v>5.0000000000000009</v>
      </c>
      <c r="H53" s="117"/>
      <c r="I53" s="117">
        <f>G53*1</f>
        <v>5.0000000000000009</v>
      </c>
    </row>
    <row r="54" spans="1:9" s="4" customFormat="1" ht="12" customHeight="1">
      <c r="A54" s="61" t="s">
        <v>63</v>
      </c>
      <c r="B54" s="61" t="s">
        <v>64</v>
      </c>
      <c r="C54" s="115">
        <v>102.86</v>
      </c>
      <c r="D54" s="134">
        <v>110860.82999999999</v>
      </c>
      <c r="F54" s="117">
        <f t="shared" si="2"/>
        <v>1077.7836865642621</v>
      </c>
      <c r="G54" s="117">
        <f t="shared" si="3"/>
        <v>89.815307213688513</v>
      </c>
      <c r="H54" s="117"/>
      <c r="I54" s="117">
        <f>G54*1</f>
        <v>89.815307213688513</v>
      </c>
    </row>
    <row r="55" spans="1:9" s="4" customFormat="1" ht="12" customHeight="1">
      <c r="A55" s="61" t="s">
        <v>65</v>
      </c>
      <c r="B55" s="61" t="s">
        <v>66</v>
      </c>
      <c r="C55" s="115">
        <v>205.73</v>
      </c>
      <c r="D55" s="134">
        <v>3394.5499999999997</v>
      </c>
      <c r="F55" s="117">
        <f t="shared" si="2"/>
        <v>16.500024303699021</v>
      </c>
      <c r="G55" s="117">
        <f t="shared" si="3"/>
        <v>1.3750020253082518</v>
      </c>
      <c r="H55" s="117"/>
      <c r="I55" s="117">
        <f>G55*2</f>
        <v>2.7500040506165035</v>
      </c>
    </row>
    <row r="56" spans="1:9" s="4" customFormat="1" ht="12" customHeight="1">
      <c r="A56" s="61" t="s">
        <v>167</v>
      </c>
      <c r="B56" s="61" t="s">
        <v>168</v>
      </c>
      <c r="C56" s="115">
        <v>308.58999999999997</v>
      </c>
      <c r="D56" s="134">
        <v>3085.9</v>
      </c>
      <c r="F56" s="117">
        <f t="shared" si="2"/>
        <v>10.000000000000002</v>
      </c>
      <c r="G56" s="117">
        <f t="shared" si="3"/>
        <v>0.83333333333333348</v>
      </c>
      <c r="H56" s="117"/>
      <c r="I56" s="117">
        <f>G56*3</f>
        <v>2.5000000000000004</v>
      </c>
    </row>
    <row r="57" spans="1:9" s="4" customFormat="1" ht="12" customHeight="1">
      <c r="A57" s="61" t="s">
        <v>169</v>
      </c>
      <c r="B57" s="61" t="s">
        <v>170</v>
      </c>
      <c r="C57" s="115">
        <v>205.73</v>
      </c>
      <c r="D57" s="134">
        <v>16458.400000000005</v>
      </c>
      <c r="F57" s="117">
        <f t="shared" si="2"/>
        <v>80.000000000000028</v>
      </c>
      <c r="G57" s="117">
        <f t="shared" si="3"/>
        <v>6.6666666666666687</v>
      </c>
      <c r="H57" s="117"/>
      <c r="I57" s="117">
        <f t="shared" ref="I57:I63" si="4">G57*1</f>
        <v>6.6666666666666687</v>
      </c>
    </row>
    <row r="58" spans="1:9" s="2" customFormat="1" ht="12" customHeight="1">
      <c r="A58" s="61" t="s">
        <v>171</v>
      </c>
      <c r="B58" s="61" t="s">
        <v>172</v>
      </c>
      <c r="C58" s="115">
        <v>308.58999999999997</v>
      </c>
      <c r="D58" s="134">
        <v>7406.1600000000008</v>
      </c>
      <c r="F58" s="117">
        <f t="shared" si="2"/>
        <v>24.000000000000004</v>
      </c>
      <c r="G58" s="117">
        <f t="shared" si="3"/>
        <v>2.0000000000000004</v>
      </c>
      <c r="H58" s="116"/>
      <c r="I58" s="117">
        <f t="shared" si="4"/>
        <v>2.0000000000000004</v>
      </c>
    </row>
    <row r="59" spans="1:9" s="4" customFormat="1" ht="12" customHeight="1">
      <c r="A59" s="61" t="s">
        <v>173</v>
      </c>
      <c r="B59" s="61" t="s">
        <v>174</v>
      </c>
      <c r="C59" s="115">
        <v>31.64</v>
      </c>
      <c r="D59" s="134">
        <v>1139.04</v>
      </c>
      <c r="F59" s="117">
        <f t="shared" si="2"/>
        <v>36</v>
      </c>
      <c r="G59" s="117">
        <f t="shared" si="3"/>
        <v>3</v>
      </c>
      <c r="H59" s="117"/>
      <c r="I59" s="117">
        <f t="shared" si="4"/>
        <v>3</v>
      </c>
    </row>
    <row r="60" spans="1:9" s="4" customFormat="1" ht="12" customHeight="1">
      <c r="A60" s="61" t="s">
        <v>67</v>
      </c>
      <c r="B60" s="61" t="s">
        <v>68</v>
      </c>
      <c r="C60" s="115">
        <v>137.13</v>
      </c>
      <c r="D60" s="134">
        <v>90947.27</v>
      </c>
      <c r="F60" s="117">
        <f t="shared" si="2"/>
        <v>663.21935389776127</v>
      </c>
      <c r="G60" s="117">
        <f t="shared" si="3"/>
        <v>55.268279491480108</v>
      </c>
      <c r="H60" s="117"/>
      <c r="I60" s="117">
        <f t="shared" si="4"/>
        <v>55.268279491480108</v>
      </c>
    </row>
    <row r="61" spans="1:9" s="4" customFormat="1" ht="12" customHeight="1">
      <c r="A61" s="61" t="s">
        <v>175</v>
      </c>
      <c r="B61" s="61" t="s">
        <v>176</v>
      </c>
      <c r="C61" s="115">
        <v>274.25</v>
      </c>
      <c r="D61" s="134">
        <v>6582</v>
      </c>
      <c r="F61" s="117">
        <f t="shared" si="2"/>
        <v>24</v>
      </c>
      <c r="G61" s="117">
        <f t="shared" si="3"/>
        <v>2</v>
      </c>
      <c r="H61" s="117"/>
      <c r="I61" s="117">
        <f t="shared" si="4"/>
        <v>2</v>
      </c>
    </row>
    <row r="62" spans="1:9" s="4" customFormat="1" ht="12" customHeight="1">
      <c r="A62" s="61" t="s">
        <v>177</v>
      </c>
      <c r="B62" s="61" t="s">
        <v>178</v>
      </c>
      <c r="C62" s="115">
        <v>411.38</v>
      </c>
      <c r="D62" s="134">
        <v>9873.1200000000008</v>
      </c>
      <c r="F62" s="117">
        <f t="shared" si="2"/>
        <v>24.000000000000004</v>
      </c>
      <c r="G62" s="117">
        <f t="shared" si="3"/>
        <v>2.0000000000000004</v>
      </c>
      <c r="H62" s="117"/>
      <c r="I62" s="117">
        <f t="shared" si="4"/>
        <v>2.0000000000000004</v>
      </c>
    </row>
    <row r="63" spans="1:9" s="4" customFormat="1" ht="12" customHeight="1">
      <c r="A63" s="61" t="s">
        <v>69</v>
      </c>
      <c r="B63" s="61" t="s">
        <v>70</v>
      </c>
      <c r="C63" s="115">
        <v>193.92</v>
      </c>
      <c r="D63" s="134">
        <v>68647.680000000008</v>
      </c>
      <c r="F63" s="117">
        <f t="shared" si="2"/>
        <v>354.00000000000006</v>
      </c>
      <c r="G63" s="117">
        <f t="shared" si="3"/>
        <v>29.500000000000004</v>
      </c>
      <c r="H63" s="117"/>
      <c r="I63" s="117">
        <f t="shared" si="4"/>
        <v>29.500000000000004</v>
      </c>
    </row>
    <row r="64" spans="1:9" s="4" customFormat="1" ht="12" customHeight="1">
      <c r="A64" s="61" t="s">
        <v>71</v>
      </c>
      <c r="B64" s="61" t="s">
        <v>72</v>
      </c>
      <c r="C64" s="115">
        <v>387.83</v>
      </c>
      <c r="D64" s="134">
        <v>6787.0199999999995</v>
      </c>
      <c r="F64" s="117">
        <f t="shared" si="2"/>
        <v>17.499987107753398</v>
      </c>
      <c r="G64" s="117">
        <f t="shared" si="3"/>
        <v>1.4583322589794498</v>
      </c>
      <c r="H64" s="117"/>
      <c r="I64" s="117">
        <f>G64*2</f>
        <v>2.9166645179588997</v>
      </c>
    </row>
    <row r="65" spans="1:9" s="4" customFormat="1" ht="12" customHeight="1">
      <c r="A65" s="61" t="s">
        <v>179</v>
      </c>
      <c r="B65" s="61" t="s">
        <v>180</v>
      </c>
      <c r="C65" s="115">
        <v>387.83</v>
      </c>
      <c r="D65" s="134">
        <v>23269.800000000003</v>
      </c>
      <c r="F65" s="117">
        <f t="shared" si="2"/>
        <v>60.000000000000007</v>
      </c>
      <c r="G65" s="117">
        <f t="shared" si="3"/>
        <v>5.0000000000000009</v>
      </c>
      <c r="H65" s="117"/>
      <c r="I65" s="117">
        <f>G65*1</f>
        <v>5.0000000000000009</v>
      </c>
    </row>
    <row r="66" spans="1:9" s="4" customFormat="1" ht="12" customHeight="1">
      <c r="A66" s="61" t="s">
        <v>181</v>
      </c>
      <c r="B66" s="61" t="s">
        <v>182</v>
      </c>
      <c r="C66" s="115">
        <v>581.75</v>
      </c>
      <c r="D66" s="134">
        <v>6981</v>
      </c>
      <c r="F66" s="117">
        <f t="shared" si="2"/>
        <v>12</v>
      </c>
      <c r="G66" s="117">
        <f t="shared" si="3"/>
        <v>1</v>
      </c>
      <c r="H66" s="117"/>
      <c r="I66" s="117">
        <f>G66*1</f>
        <v>1</v>
      </c>
    </row>
    <row r="67" spans="1:9" s="4" customFormat="1" ht="12" customHeight="1">
      <c r="A67" s="61" t="s">
        <v>183</v>
      </c>
      <c r="B67" s="61" t="s">
        <v>184</v>
      </c>
      <c r="C67" s="115">
        <v>1163.5</v>
      </c>
      <c r="D67" s="134">
        <v>11053.26</v>
      </c>
      <c r="F67" s="117">
        <f>IFERROR(D67/C67,0)</f>
        <v>9.5000085947571975</v>
      </c>
      <c r="G67" s="117">
        <f t="shared" si="3"/>
        <v>0.79166738289643312</v>
      </c>
      <c r="H67" s="117"/>
      <c r="I67" s="117">
        <f>G67*1</f>
        <v>0.79166738289643312</v>
      </c>
    </row>
    <row r="68" spans="1:9" s="4" customFormat="1" ht="12" customHeight="1">
      <c r="A68" s="61" t="s">
        <v>73</v>
      </c>
      <c r="B68" s="61" t="s">
        <v>74</v>
      </c>
      <c r="C68" s="115">
        <v>257.54000000000002</v>
      </c>
      <c r="D68" s="134">
        <v>43073.64</v>
      </c>
      <c r="F68" s="117">
        <f t="shared" si="2"/>
        <v>167.25029121689832</v>
      </c>
      <c r="G68" s="117">
        <f t="shared" si="3"/>
        <v>13.93752426807486</v>
      </c>
      <c r="H68" s="117"/>
      <c r="I68" s="117">
        <f>G68*1</f>
        <v>13.93752426807486</v>
      </c>
    </row>
    <row r="69" spans="1:9" s="4" customFormat="1" ht="12" customHeight="1">
      <c r="A69" s="61" t="s">
        <v>75</v>
      </c>
      <c r="B69" s="61" t="s">
        <v>76</v>
      </c>
      <c r="C69" s="115">
        <v>515.09</v>
      </c>
      <c r="D69" s="134">
        <v>19058.34</v>
      </c>
      <c r="F69" s="117">
        <f t="shared" si="2"/>
        <v>37.000019414082971</v>
      </c>
      <c r="G69" s="117">
        <f t="shared" si="3"/>
        <v>3.083334951173581</v>
      </c>
      <c r="H69" s="117"/>
      <c r="I69" s="117">
        <f>G69*2</f>
        <v>6.1666699023471621</v>
      </c>
    </row>
    <row r="70" spans="1:9" s="4" customFormat="1" ht="12" customHeight="1">
      <c r="A70" s="61" t="s">
        <v>321</v>
      </c>
      <c r="B70" s="61" t="s">
        <v>320</v>
      </c>
      <c r="C70" s="115">
        <v>515.09</v>
      </c>
      <c r="D70" s="134">
        <v>5150.9000000000005</v>
      </c>
      <c r="F70" s="117">
        <f t="shared" si="2"/>
        <v>10</v>
      </c>
      <c r="G70" s="117">
        <f t="shared" si="3"/>
        <v>0.83333333333333337</v>
      </c>
      <c r="H70" s="117"/>
      <c r="I70" s="117">
        <f>G70*1</f>
        <v>0.83333333333333337</v>
      </c>
    </row>
    <row r="71" spans="1:9" s="4" customFormat="1" ht="12" customHeight="1">
      <c r="A71" s="61" t="s">
        <v>185</v>
      </c>
      <c r="B71" s="61" t="s">
        <v>186</v>
      </c>
      <c r="C71" s="115">
        <v>772.63</v>
      </c>
      <c r="D71" s="134">
        <v>9271.56</v>
      </c>
      <c r="F71" s="117">
        <f t="shared" si="2"/>
        <v>12</v>
      </c>
      <c r="G71" s="117">
        <f t="shared" si="3"/>
        <v>1</v>
      </c>
      <c r="H71" s="117"/>
      <c r="I71" s="117">
        <f>G71*1</f>
        <v>1</v>
      </c>
    </row>
    <row r="72" spans="1:9" s="4" customFormat="1" ht="12" customHeight="1">
      <c r="A72" s="61" t="s">
        <v>187</v>
      </c>
      <c r="B72" s="61" t="s">
        <v>188</v>
      </c>
      <c r="C72" s="115">
        <v>1030.17</v>
      </c>
      <c r="D72" s="134">
        <v>12362.04</v>
      </c>
      <c r="F72" s="117">
        <f t="shared" si="2"/>
        <v>12</v>
      </c>
      <c r="G72" s="117">
        <f t="shared" si="3"/>
        <v>1</v>
      </c>
      <c r="H72" s="117"/>
      <c r="I72" s="117">
        <f>G72*1</f>
        <v>1</v>
      </c>
    </row>
    <row r="73" spans="1:9" s="4" customFormat="1" ht="12" customHeight="1">
      <c r="A73" s="61" t="s">
        <v>77</v>
      </c>
      <c r="B73" s="61" t="s">
        <v>78</v>
      </c>
      <c r="C73" s="115">
        <v>375.05</v>
      </c>
      <c r="D73" s="134">
        <v>40130.36</v>
      </c>
      <c r="F73" s="117">
        <f t="shared" si="2"/>
        <v>107.00002666311158</v>
      </c>
      <c r="G73" s="117">
        <f t="shared" si="3"/>
        <v>8.916668888592632</v>
      </c>
      <c r="H73" s="117"/>
      <c r="I73" s="117">
        <f>G73*1</f>
        <v>8.916668888592632</v>
      </c>
    </row>
    <row r="74" spans="1:9" s="4" customFormat="1" ht="12" customHeight="1">
      <c r="A74" s="61" t="s">
        <v>79</v>
      </c>
      <c r="B74" s="61" t="s">
        <v>80</v>
      </c>
      <c r="C74" s="115">
        <v>750.11</v>
      </c>
      <c r="D74" s="134">
        <v>7501.0999999999985</v>
      </c>
      <c r="F74" s="117">
        <f t="shared" si="2"/>
        <v>9.9999999999999982</v>
      </c>
      <c r="G74" s="117">
        <f t="shared" si="3"/>
        <v>0.83333333333333315</v>
      </c>
      <c r="H74" s="117"/>
      <c r="I74" s="117">
        <f>G74*2</f>
        <v>1.6666666666666663</v>
      </c>
    </row>
    <row r="75" spans="1:9" s="4" customFormat="1" ht="12" customHeight="1">
      <c r="A75" s="61" t="s">
        <v>189</v>
      </c>
      <c r="B75" s="61" t="s">
        <v>190</v>
      </c>
      <c r="C75" s="115">
        <v>750.11</v>
      </c>
      <c r="D75" s="134">
        <v>9001.32</v>
      </c>
      <c r="F75" s="117">
        <f t="shared" si="2"/>
        <v>12</v>
      </c>
      <c r="G75" s="117">
        <f t="shared" si="3"/>
        <v>1</v>
      </c>
      <c r="H75" s="117"/>
      <c r="I75" s="117">
        <f t="shared" ref="I75:I80" si="5">G75*1</f>
        <v>1</v>
      </c>
    </row>
    <row r="76" spans="1:9" s="4" customFormat="1" ht="12" customHeight="1">
      <c r="A76" s="61" t="s">
        <v>191</v>
      </c>
      <c r="B76" s="61" t="s">
        <v>192</v>
      </c>
      <c r="C76" s="115">
        <v>1500.21</v>
      </c>
      <c r="D76" s="134">
        <v>18002.519999999997</v>
      </c>
      <c r="F76" s="117">
        <f t="shared" si="2"/>
        <v>11.999999999999998</v>
      </c>
      <c r="G76" s="117">
        <f t="shared" si="3"/>
        <v>0.99999999999999989</v>
      </c>
      <c r="H76" s="117"/>
      <c r="I76" s="117">
        <f t="shared" si="5"/>
        <v>0.99999999999999989</v>
      </c>
    </row>
    <row r="77" spans="1:9" s="4" customFormat="1" ht="12" customHeight="1">
      <c r="A77" s="61" t="s">
        <v>298</v>
      </c>
      <c r="B77" s="61" t="s">
        <v>299</v>
      </c>
      <c r="C77" s="115">
        <v>1875.26</v>
      </c>
      <c r="D77" s="134">
        <v>22503.119999999995</v>
      </c>
      <c r="F77" s="117">
        <f t="shared" si="2"/>
        <v>11.999999999999998</v>
      </c>
      <c r="G77" s="117">
        <f t="shared" si="3"/>
        <v>0.99999999999999989</v>
      </c>
      <c r="H77" s="117"/>
      <c r="I77" s="117">
        <f t="shared" si="5"/>
        <v>0.99999999999999989</v>
      </c>
    </row>
    <row r="78" spans="1:9" s="4" customFormat="1" ht="12" customHeight="1">
      <c r="A78" s="61" t="s">
        <v>193</v>
      </c>
      <c r="B78" s="61" t="s">
        <v>194</v>
      </c>
      <c r="C78" s="115">
        <v>488.17</v>
      </c>
      <c r="D78" s="134">
        <v>5858.04</v>
      </c>
      <c r="F78" s="117">
        <f t="shared" si="2"/>
        <v>12</v>
      </c>
      <c r="G78" s="117">
        <f t="shared" si="3"/>
        <v>1</v>
      </c>
      <c r="H78" s="117"/>
      <c r="I78" s="117">
        <f t="shared" si="5"/>
        <v>1</v>
      </c>
    </row>
    <row r="79" spans="1:9" s="4" customFormat="1" ht="12" customHeight="1">
      <c r="A79" s="61" t="s">
        <v>195</v>
      </c>
      <c r="B79" s="61" t="s">
        <v>196</v>
      </c>
      <c r="C79" s="115">
        <v>976.33</v>
      </c>
      <c r="D79" s="134">
        <v>11715.960000000001</v>
      </c>
      <c r="F79" s="117">
        <f t="shared" si="2"/>
        <v>12</v>
      </c>
      <c r="G79" s="117">
        <f t="shared" si="3"/>
        <v>1</v>
      </c>
      <c r="H79" s="117"/>
      <c r="I79" s="117">
        <f t="shared" si="5"/>
        <v>1</v>
      </c>
    </row>
    <row r="80" spans="1:9" s="4" customFormat="1" ht="12" customHeight="1">
      <c r="A80" s="61" t="s">
        <v>81</v>
      </c>
      <c r="B80" s="61" t="s">
        <v>82</v>
      </c>
      <c r="C80" s="115">
        <v>18.5</v>
      </c>
      <c r="D80" s="134">
        <v>10614.42</v>
      </c>
      <c r="F80" s="117">
        <f t="shared" si="2"/>
        <v>573.75243243243244</v>
      </c>
      <c r="G80" s="117">
        <f t="shared" si="3"/>
        <v>47.812702702702701</v>
      </c>
      <c r="H80" s="117"/>
      <c r="I80" s="117">
        <f t="shared" si="5"/>
        <v>47.812702702702701</v>
      </c>
    </row>
    <row r="81" spans="1:9" s="4" customFormat="1" ht="12" customHeight="1">
      <c r="A81" s="61" t="s">
        <v>83</v>
      </c>
      <c r="B81" s="61" t="s">
        <v>84</v>
      </c>
      <c r="C81" s="115">
        <v>36.9</v>
      </c>
      <c r="D81" s="134">
        <v>2887.43</v>
      </c>
      <c r="F81" s="117">
        <f t="shared" si="2"/>
        <v>78.250135501355018</v>
      </c>
      <c r="G81" s="144">
        <f>F81/12</f>
        <v>6.5208446251129182</v>
      </c>
      <c r="H81" s="117"/>
      <c r="I81" s="117">
        <f>G81*2</f>
        <v>13.041689250225836</v>
      </c>
    </row>
    <row r="82" spans="1:9" s="4" customFormat="1" ht="12" customHeight="1">
      <c r="A82" s="61" t="s">
        <v>308</v>
      </c>
      <c r="B82" s="61" t="s">
        <v>309</v>
      </c>
      <c r="C82" s="115">
        <v>55.35</v>
      </c>
      <c r="D82" s="134">
        <v>0</v>
      </c>
      <c r="F82" s="117">
        <f t="shared" si="2"/>
        <v>0</v>
      </c>
      <c r="G82" s="117">
        <f t="shared" si="3"/>
        <v>0</v>
      </c>
      <c r="H82" s="117"/>
      <c r="I82" s="117">
        <f>G82*3</f>
        <v>0</v>
      </c>
    </row>
    <row r="83" spans="1:9" s="4" customFormat="1" ht="12" customHeight="1">
      <c r="A83" s="61" t="s">
        <v>85</v>
      </c>
      <c r="B83" s="61" t="s">
        <v>86</v>
      </c>
      <c r="C83" s="115">
        <v>34.409999999999997</v>
      </c>
      <c r="D83" s="134">
        <v>15178.949999999999</v>
      </c>
      <c r="F83" s="117">
        <f t="shared" si="2"/>
        <v>441.12031386224936</v>
      </c>
      <c r="G83" s="117">
        <f t="shared" si="3"/>
        <v>36.760026155187447</v>
      </c>
      <c r="H83" s="117"/>
      <c r="I83" s="117">
        <f>G83*1</f>
        <v>36.760026155187447</v>
      </c>
    </row>
    <row r="84" spans="1:9" s="4" customFormat="1" ht="12" customHeight="1">
      <c r="A84" s="61" t="s">
        <v>276</v>
      </c>
      <c r="B84" s="61" t="s">
        <v>279</v>
      </c>
      <c r="C84" s="115">
        <v>68.83</v>
      </c>
      <c r="D84" s="134">
        <v>3303.8400000000006</v>
      </c>
      <c r="F84" s="117">
        <f t="shared" si="2"/>
        <v>48.000000000000007</v>
      </c>
      <c r="G84" s="117">
        <f t="shared" si="3"/>
        <v>4.0000000000000009</v>
      </c>
      <c r="H84" s="117"/>
      <c r="I84" s="117">
        <f>G84*2</f>
        <v>8.0000000000000018</v>
      </c>
    </row>
    <row r="85" spans="1:9" s="4" customFormat="1" ht="12" customHeight="1">
      <c r="A85" s="61" t="s">
        <v>197</v>
      </c>
      <c r="B85" s="61" t="s">
        <v>198</v>
      </c>
      <c r="C85" s="115">
        <v>172.07</v>
      </c>
      <c r="D85" s="134">
        <v>2064.8399999999997</v>
      </c>
      <c r="F85" s="117">
        <f t="shared" si="2"/>
        <v>11.999999999999998</v>
      </c>
      <c r="G85" s="117">
        <f t="shared" si="3"/>
        <v>0.99999999999999989</v>
      </c>
      <c r="H85" s="117"/>
      <c r="I85" s="117">
        <f>G85*5</f>
        <v>4.9999999999999991</v>
      </c>
    </row>
    <row r="86" spans="1:9" s="4" customFormat="1" ht="12" customHeight="1">
      <c r="A86" s="61" t="s">
        <v>87</v>
      </c>
      <c r="B86" s="61" t="s">
        <v>88</v>
      </c>
      <c r="C86" s="115">
        <v>41.17</v>
      </c>
      <c r="D86" s="134">
        <v>66345.48</v>
      </c>
      <c r="F86" s="117">
        <f t="shared" si="2"/>
        <v>1611.5006072382801</v>
      </c>
      <c r="G86" s="117">
        <f t="shared" si="3"/>
        <v>134.29171726985666</v>
      </c>
      <c r="H86" s="117"/>
      <c r="I86" s="117">
        <f>G86*1</f>
        <v>134.29171726985666</v>
      </c>
    </row>
    <row r="87" spans="1:9" s="4" customFormat="1" ht="12" customHeight="1">
      <c r="A87" s="61" t="s">
        <v>89</v>
      </c>
      <c r="B87" s="61" t="s">
        <v>90</v>
      </c>
      <c r="C87" s="115">
        <v>82.33</v>
      </c>
      <c r="D87" s="134">
        <v>12915.13</v>
      </c>
      <c r="F87" s="117">
        <f t="shared" si="2"/>
        <v>156.87027814891292</v>
      </c>
      <c r="G87" s="117">
        <f t="shared" si="3"/>
        <v>13.072523179076077</v>
      </c>
      <c r="H87" s="117"/>
      <c r="I87" s="117">
        <f>G87*2</f>
        <v>26.145046358152154</v>
      </c>
    </row>
    <row r="88" spans="1:9" s="4" customFormat="1" ht="12" customHeight="1">
      <c r="A88" s="61" t="s">
        <v>199</v>
      </c>
      <c r="B88" s="61" t="s">
        <v>200</v>
      </c>
      <c r="C88" s="115">
        <v>82.33</v>
      </c>
      <c r="D88" s="134">
        <v>987.97000000000025</v>
      </c>
      <c r="F88" s="117">
        <f t="shared" si="2"/>
        <v>12.000121462407389</v>
      </c>
      <c r="G88" s="117">
        <f t="shared" si="3"/>
        <v>1.0000101218672823</v>
      </c>
      <c r="H88" s="117"/>
      <c r="I88" s="117">
        <f>G88*1</f>
        <v>1.0000101218672823</v>
      </c>
    </row>
    <row r="89" spans="1:9" s="4" customFormat="1" ht="12" customHeight="1">
      <c r="A89" s="61" t="s">
        <v>201</v>
      </c>
      <c r="B89" s="61" t="s">
        <v>202</v>
      </c>
      <c r="C89" s="115">
        <v>329.3</v>
      </c>
      <c r="D89" s="134">
        <v>3951.6000000000008</v>
      </c>
      <c r="F89" s="117">
        <f t="shared" si="2"/>
        <v>12.000000000000002</v>
      </c>
      <c r="G89" s="117">
        <f t="shared" si="3"/>
        <v>1.0000000000000002</v>
      </c>
      <c r="H89" s="117"/>
      <c r="I89" s="117">
        <f t="shared" ref="I89:I94" si="6">G89*4</f>
        <v>4.0000000000000009</v>
      </c>
    </row>
    <row r="90" spans="1:9" s="4" customFormat="1" ht="12" customHeight="1">
      <c r="A90" s="86" t="s">
        <v>205</v>
      </c>
      <c r="B90" s="86" t="s">
        <v>206</v>
      </c>
      <c r="C90" s="115">
        <v>18.36</v>
      </c>
      <c r="D90" s="134">
        <v>110.16</v>
      </c>
      <c r="F90" s="117">
        <f t="shared" si="2"/>
        <v>6</v>
      </c>
      <c r="G90" s="117">
        <f t="shared" si="3"/>
        <v>0.5</v>
      </c>
      <c r="H90" s="117"/>
      <c r="I90" s="117">
        <f t="shared" si="6"/>
        <v>2</v>
      </c>
    </row>
    <row r="91" spans="1:9" s="4" customFormat="1" ht="12" customHeight="1">
      <c r="A91" s="86" t="s">
        <v>93</v>
      </c>
      <c r="B91" s="86" t="s">
        <v>94</v>
      </c>
      <c r="C91" s="115">
        <v>27.66</v>
      </c>
      <c r="D91" s="134">
        <v>165.96</v>
      </c>
      <c r="F91" s="117">
        <f t="shared" si="2"/>
        <v>6</v>
      </c>
      <c r="G91" s="117">
        <f t="shared" si="3"/>
        <v>0.5</v>
      </c>
      <c r="H91" s="117"/>
      <c r="I91" s="117">
        <f t="shared" si="6"/>
        <v>2</v>
      </c>
    </row>
    <row r="92" spans="1:9" s="4" customFormat="1" ht="12" customHeight="1">
      <c r="A92" s="86" t="s">
        <v>95</v>
      </c>
      <c r="B92" s="86" t="s">
        <v>96</v>
      </c>
      <c r="C92" s="115">
        <v>38.18</v>
      </c>
      <c r="D92" s="134">
        <v>1030.44</v>
      </c>
      <c r="F92" s="117">
        <f t="shared" si="2"/>
        <v>26.988999476165532</v>
      </c>
      <c r="G92" s="117">
        <f t="shared" si="3"/>
        <v>2.2490832896804611</v>
      </c>
      <c r="H92" s="117"/>
      <c r="I92" s="117">
        <f t="shared" si="6"/>
        <v>8.9963331587218445</v>
      </c>
    </row>
    <row r="93" spans="1:9" s="4" customFormat="1" ht="12" customHeight="1">
      <c r="A93" s="86" t="s">
        <v>99</v>
      </c>
      <c r="B93" s="86" t="s">
        <v>100</v>
      </c>
      <c r="C93" s="115">
        <v>51.27</v>
      </c>
      <c r="D93" s="134">
        <v>3024.9299999999994</v>
      </c>
      <c r="F93" s="117">
        <f t="shared" si="2"/>
        <v>58.999999999999986</v>
      </c>
      <c r="G93" s="117">
        <f t="shared" si="3"/>
        <v>4.9166666666666652</v>
      </c>
      <c r="H93" s="117"/>
      <c r="I93" s="117">
        <f t="shared" si="6"/>
        <v>19.666666666666661</v>
      </c>
    </row>
    <row r="94" spans="1:9" s="4" customFormat="1" ht="12" customHeight="1">
      <c r="A94" s="86" t="s">
        <v>103</v>
      </c>
      <c r="B94" s="86" t="s">
        <v>104</v>
      </c>
      <c r="C94" s="115">
        <v>67.27</v>
      </c>
      <c r="D94" s="134">
        <v>8038.7599999999993</v>
      </c>
      <c r="F94" s="117">
        <f t="shared" si="2"/>
        <v>119.4999256726624</v>
      </c>
      <c r="G94" s="117">
        <f t="shared" si="3"/>
        <v>9.9583271393885333</v>
      </c>
      <c r="H94" s="117"/>
      <c r="I94" s="117">
        <f t="shared" si="6"/>
        <v>39.833308557554133</v>
      </c>
    </row>
    <row r="95" spans="1:9" s="4" customFormat="1" ht="12" customHeight="1">
      <c r="A95" s="61" t="s">
        <v>105</v>
      </c>
      <c r="B95" s="61" t="s">
        <v>106</v>
      </c>
      <c r="C95" s="115">
        <v>4.26</v>
      </c>
      <c r="D95" s="134">
        <v>14080.189999999999</v>
      </c>
      <c r="F95" s="117"/>
      <c r="G95" s="117"/>
      <c r="H95" s="117"/>
      <c r="I95" s="117"/>
    </row>
    <row r="96" spans="1:9" s="4" customFormat="1" ht="12" customHeight="1">
      <c r="A96" s="61" t="s">
        <v>221</v>
      </c>
      <c r="B96" s="61" t="s">
        <v>222</v>
      </c>
      <c r="C96" s="115">
        <v>4.26</v>
      </c>
      <c r="D96" s="134">
        <v>25.559999999999995</v>
      </c>
      <c r="F96" s="117"/>
      <c r="G96" s="117"/>
      <c r="H96" s="117"/>
      <c r="I96" s="117"/>
    </row>
    <row r="97" spans="1:9" s="4" customFormat="1" ht="12" customHeight="1">
      <c r="A97" s="61" t="s">
        <v>223</v>
      </c>
      <c r="B97" s="61" t="s">
        <v>224</v>
      </c>
      <c r="C97" s="115">
        <v>4.26</v>
      </c>
      <c r="D97" s="134">
        <v>0</v>
      </c>
      <c r="F97" s="117"/>
      <c r="G97" s="117"/>
      <c r="H97" s="117"/>
      <c r="I97" s="117"/>
    </row>
    <row r="98" spans="1:9" s="4" customFormat="1" ht="12" customHeight="1">
      <c r="A98" s="61" t="s">
        <v>203</v>
      </c>
      <c r="B98" s="61" t="s">
        <v>204</v>
      </c>
      <c r="C98" s="115">
        <v>38.159999999999997</v>
      </c>
      <c r="D98" s="134">
        <v>343.43999999999994</v>
      </c>
      <c r="F98" s="117"/>
      <c r="G98" s="117"/>
      <c r="H98" s="117"/>
      <c r="I98" s="117"/>
    </row>
    <row r="99" spans="1:9" s="4" customFormat="1" ht="12" customHeight="1">
      <c r="A99" s="61" t="s">
        <v>91</v>
      </c>
      <c r="B99" s="61" t="s">
        <v>92</v>
      </c>
      <c r="C99" s="115">
        <v>54.86</v>
      </c>
      <c r="D99" s="134">
        <v>1261.1199999999997</v>
      </c>
      <c r="F99" s="117"/>
      <c r="G99" s="117"/>
      <c r="H99" s="117"/>
      <c r="I99" s="117"/>
    </row>
    <row r="100" spans="1:9" s="4" customFormat="1" ht="12" customHeight="1">
      <c r="A100" s="61" t="s">
        <v>207</v>
      </c>
      <c r="B100" s="61" t="s">
        <v>208</v>
      </c>
      <c r="C100" s="115">
        <v>64.63</v>
      </c>
      <c r="D100" s="134">
        <v>1679.9599999999996</v>
      </c>
      <c r="F100" s="117"/>
      <c r="G100" s="117"/>
      <c r="H100" s="117"/>
      <c r="I100" s="117"/>
    </row>
    <row r="101" spans="1:9" s="4" customFormat="1" ht="12" customHeight="1">
      <c r="A101" s="61" t="s">
        <v>209</v>
      </c>
      <c r="B101" s="61" t="s">
        <v>210</v>
      </c>
      <c r="C101" s="115">
        <v>83.33</v>
      </c>
      <c r="D101" s="134">
        <v>916.63000000000011</v>
      </c>
      <c r="F101" s="117"/>
      <c r="G101" s="117"/>
      <c r="H101" s="117"/>
      <c r="I101" s="117"/>
    </row>
    <row r="102" spans="1:9" s="4" customFormat="1" ht="12" customHeight="1">
      <c r="A102" s="61" t="s">
        <v>101</v>
      </c>
      <c r="B102" s="61" t="s">
        <v>102</v>
      </c>
      <c r="C102" s="115">
        <v>103.23</v>
      </c>
      <c r="D102" s="134">
        <v>1341.99</v>
      </c>
      <c r="F102" s="117"/>
      <c r="G102" s="117"/>
      <c r="H102" s="117"/>
      <c r="I102" s="117"/>
    </row>
    <row r="103" spans="1:9" s="4" customFormat="1" ht="12" customHeight="1">
      <c r="A103" s="61" t="s">
        <v>313</v>
      </c>
      <c r="B103" s="61" t="s">
        <v>314</v>
      </c>
      <c r="C103" s="115">
        <v>139.16</v>
      </c>
      <c r="D103" s="134">
        <v>298.86</v>
      </c>
      <c r="F103" s="117"/>
      <c r="G103" s="117"/>
      <c r="H103" s="117"/>
      <c r="I103" s="117"/>
    </row>
    <row r="104" spans="1:9" s="4" customFormat="1" ht="12" customHeight="1">
      <c r="A104" s="61" t="s">
        <v>329</v>
      </c>
      <c r="B104" s="61" t="s">
        <v>328</v>
      </c>
      <c r="C104" s="115">
        <v>176.15</v>
      </c>
      <c r="D104" s="134">
        <v>176.15</v>
      </c>
      <c r="F104" s="117"/>
      <c r="G104" s="117"/>
      <c r="H104" s="117"/>
      <c r="I104" s="117"/>
    </row>
    <row r="105" spans="1:9" s="4" customFormat="1" ht="12" customHeight="1">
      <c r="A105" s="61" t="s">
        <v>97</v>
      </c>
      <c r="B105" s="61" t="s">
        <v>98</v>
      </c>
      <c r="C105" s="115">
        <v>11.64</v>
      </c>
      <c r="D105" s="134">
        <v>197.88</v>
      </c>
      <c r="F105" s="117"/>
      <c r="G105" s="117"/>
      <c r="H105" s="117"/>
      <c r="I105" s="117"/>
    </row>
    <row r="106" spans="1:9" s="4" customFormat="1" ht="12" customHeight="1">
      <c r="A106" s="86" t="s">
        <v>211</v>
      </c>
      <c r="B106" s="86" t="s">
        <v>212</v>
      </c>
      <c r="C106" s="115">
        <v>18.95</v>
      </c>
      <c r="D106" s="134">
        <v>88.22999999999999</v>
      </c>
      <c r="F106" s="117"/>
      <c r="G106" s="117"/>
      <c r="H106" s="117"/>
      <c r="I106" s="117"/>
    </row>
    <row r="107" spans="1:9" s="4" customFormat="1" ht="12" customHeight="1">
      <c r="A107" s="61" t="s">
        <v>107</v>
      </c>
      <c r="B107" s="61" t="s">
        <v>108</v>
      </c>
      <c r="C107" s="115">
        <v>20.78</v>
      </c>
      <c r="D107" s="134">
        <v>8070.18</v>
      </c>
      <c r="F107" s="117"/>
      <c r="G107" s="117"/>
      <c r="H107" s="117"/>
      <c r="I107" s="117"/>
    </row>
    <row r="108" spans="1:9" s="4" customFormat="1" ht="12" customHeight="1">
      <c r="A108" s="61" t="s">
        <v>327</v>
      </c>
      <c r="B108" s="61" t="s">
        <v>326</v>
      </c>
      <c r="C108" s="115">
        <v>15.56</v>
      </c>
      <c r="D108" s="134">
        <v>15.56</v>
      </c>
      <c r="F108" s="117"/>
      <c r="G108" s="117"/>
      <c r="H108" s="117"/>
      <c r="I108" s="117"/>
    </row>
    <row r="109" spans="1:9" s="4" customFormat="1" ht="12" customHeight="1">
      <c r="A109" s="61" t="s">
        <v>113</v>
      </c>
      <c r="B109" s="61" t="s">
        <v>114</v>
      </c>
      <c r="C109" s="115">
        <v>10.66</v>
      </c>
      <c r="D109" s="134">
        <v>32438.83</v>
      </c>
      <c r="F109" s="117"/>
      <c r="G109" s="117"/>
      <c r="H109" s="117"/>
      <c r="I109" s="117"/>
    </row>
    <row r="110" spans="1:9" s="139" customFormat="1" ht="12" customHeight="1">
      <c r="A110" s="61" t="s">
        <v>213</v>
      </c>
      <c r="B110" s="61" t="s">
        <v>214</v>
      </c>
      <c r="C110" s="115">
        <v>23.51</v>
      </c>
      <c r="D110" s="134">
        <v>82.29</v>
      </c>
      <c r="F110" s="117"/>
      <c r="G110" s="117"/>
      <c r="H110" s="140"/>
      <c r="I110" s="140"/>
    </row>
    <row r="111" spans="1:9" s="4" customFormat="1" ht="12" customHeight="1">
      <c r="A111" s="61" t="s">
        <v>109</v>
      </c>
      <c r="B111" s="61" t="s">
        <v>110</v>
      </c>
      <c r="C111" s="115">
        <v>12.81</v>
      </c>
      <c r="D111" s="134">
        <v>14565.029999999999</v>
      </c>
      <c r="F111" s="117"/>
      <c r="G111" s="117"/>
      <c r="H111" s="117"/>
      <c r="I111" s="117"/>
    </row>
    <row r="112" spans="1:9" s="4" customFormat="1" ht="12" customHeight="1">
      <c r="A112" s="61" t="s">
        <v>111</v>
      </c>
      <c r="B112" s="61" t="s">
        <v>112</v>
      </c>
      <c r="C112" s="115">
        <v>25.86</v>
      </c>
      <c r="D112" s="134">
        <v>51.72</v>
      </c>
      <c r="F112" s="117"/>
      <c r="G112" s="117"/>
      <c r="H112" s="117"/>
      <c r="I112" s="117"/>
    </row>
    <row r="113" spans="1:9" s="139" customFormat="1" ht="12" customHeight="1">
      <c r="A113" s="61" t="s">
        <v>115</v>
      </c>
      <c r="B113" s="61" t="s">
        <v>116</v>
      </c>
      <c r="C113" s="115">
        <v>17.59</v>
      </c>
      <c r="D113" s="134">
        <v>12475.750000000002</v>
      </c>
      <c r="F113" s="117"/>
      <c r="G113" s="117"/>
      <c r="H113" s="140"/>
      <c r="I113" s="140"/>
    </row>
    <row r="114" spans="1:9" s="4" customFormat="1" ht="12" customHeight="1">
      <c r="A114" s="61" t="s">
        <v>117</v>
      </c>
      <c r="B114" s="61" t="s">
        <v>118</v>
      </c>
      <c r="C114" s="115">
        <v>35.26</v>
      </c>
      <c r="D114" s="134">
        <v>644.11</v>
      </c>
      <c r="F114" s="117"/>
      <c r="G114" s="117"/>
      <c r="H114" s="117"/>
      <c r="I114" s="117"/>
    </row>
    <row r="115" spans="1:9" s="4" customFormat="1" ht="12" customHeight="1">
      <c r="A115" s="61" t="s">
        <v>119</v>
      </c>
      <c r="B115" s="61" t="s">
        <v>120</v>
      </c>
      <c r="C115" s="115">
        <v>21.71</v>
      </c>
      <c r="D115" s="134">
        <v>9636.7900000000009</v>
      </c>
      <c r="F115" s="117"/>
      <c r="G115" s="117"/>
      <c r="H115" s="117"/>
      <c r="I115" s="117"/>
    </row>
    <row r="116" spans="1:9" s="4" customFormat="1" ht="12" customHeight="1">
      <c r="A116" s="61" t="s">
        <v>215</v>
      </c>
      <c r="B116" s="61" t="s">
        <v>216</v>
      </c>
      <c r="C116" s="115">
        <v>42.3</v>
      </c>
      <c r="D116" s="134">
        <v>2093.85</v>
      </c>
      <c r="F116" s="117"/>
      <c r="G116" s="117"/>
      <c r="H116" s="117"/>
      <c r="I116" s="117"/>
    </row>
    <row r="117" spans="1:9" s="4" customFormat="1" ht="12" customHeight="1">
      <c r="A117" s="61" t="s">
        <v>121</v>
      </c>
      <c r="B117" s="61" t="s">
        <v>122</v>
      </c>
      <c r="C117" s="115">
        <v>24.58</v>
      </c>
      <c r="D117" s="134">
        <v>6741.15</v>
      </c>
      <c r="F117" s="117"/>
      <c r="G117" s="117"/>
      <c r="H117" s="117"/>
      <c r="I117" s="117"/>
    </row>
    <row r="118" spans="1:9" s="4" customFormat="1" ht="12" customHeight="1">
      <c r="A118" s="61" t="s">
        <v>123</v>
      </c>
      <c r="B118" s="61" t="s">
        <v>124</v>
      </c>
      <c r="C118" s="115">
        <v>47.01</v>
      </c>
      <c r="D118" s="134">
        <v>3868.1099999999997</v>
      </c>
      <c r="F118" s="117"/>
      <c r="G118" s="117"/>
      <c r="H118" s="117"/>
      <c r="I118" s="117"/>
    </row>
    <row r="119" spans="1:9" s="4" customFormat="1" ht="12" customHeight="1">
      <c r="A119" s="61" t="s">
        <v>125</v>
      </c>
      <c r="B119" s="61" t="s">
        <v>126</v>
      </c>
      <c r="C119" s="115">
        <v>32.56</v>
      </c>
      <c r="D119" s="134">
        <v>5421.3500000000013</v>
      </c>
      <c r="F119" s="117"/>
      <c r="G119" s="117"/>
      <c r="H119" s="117"/>
      <c r="I119" s="117"/>
    </row>
    <row r="120" spans="1:9" s="4" customFormat="1" ht="12" customHeight="1">
      <c r="A120" s="61" t="s">
        <v>217</v>
      </c>
      <c r="B120" s="61" t="s">
        <v>218</v>
      </c>
      <c r="C120" s="115">
        <v>39.36</v>
      </c>
      <c r="D120" s="134">
        <v>944.64000000000021</v>
      </c>
      <c r="F120" s="117"/>
      <c r="G120" s="117"/>
      <c r="H120" s="117"/>
      <c r="I120" s="117"/>
    </row>
    <row r="121" spans="1:9" s="4" customFormat="1" ht="12" customHeight="1">
      <c r="A121" s="61" t="s">
        <v>310</v>
      </c>
      <c r="B121" s="61" t="s">
        <v>311</v>
      </c>
      <c r="C121" s="115">
        <v>25.35</v>
      </c>
      <c r="D121" s="134">
        <v>25.35</v>
      </c>
      <c r="F121" s="117"/>
      <c r="G121" s="117"/>
      <c r="H121" s="117"/>
      <c r="I121" s="117"/>
    </row>
    <row r="122" spans="1:9" s="4" customFormat="1" ht="12" customHeight="1">
      <c r="A122" s="61" t="s">
        <v>129</v>
      </c>
      <c r="B122" s="61" t="s">
        <v>130</v>
      </c>
      <c r="C122" s="115">
        <v>3.64</v>
      </c>
      <c r="D122" s="134">
        <v>88.27000000000001</v>
      </c>
      <c r="F122" s="117"/>
      <c r="G122" s="117"/>
      <c r="H122" s="117"/>
      <c r="I122" s="117"/>
    </row>
    <row r="123" spans="1:9" s="4" customFormat="1" ht="12" customHeight="1">
      <c r="A123" s="61" t="s">
        <v>127</v>
      </c>
      <c r="B123" s="61" t="s">
        <v>128</v>
      </c>
      <c r="C123" s="115">
        <v>54.65</v>
      </c>
      <c r="D123" s="134">
        <v>5199.1499999999996</v>
      </c>
      <c r="F123" s="117"/>
      <c r="G123" s="117"/>
      <c r="H123" s="117"/>
      <c r="I123" s="117"/>
    </row>
    <row r="124" spans="1:9" s="4" customFormat="1" ht="12" customHeight="1">
      <c r="A124" s="61" t="s">
        <v>278</v>
      </c>
      <c r="B124" s="61" t="s">
        <v>280</v>
      </c>
      <c r="C124" s="115">
        <v>56.46</v>
      </c>
      <c r="D124" s="134">
        <v>56.46</v>
      </c>
      <c r="F124" s="117"/>
      <c r="G124" s="117"/>
      <c r="H124" s="117"/>
      <c r="I124" s="117"/>
    </row>
    <row r="125" spans="1:9" s="4" customFormat="1" ht="12" customHeight="1">
      <c r="A125" s="61" t="s">
        <v>296</v>
      </c>
      <c r="B125" s="61" t="s">
        <v>297</v>
      </c>
      <c r="C125" s="115">
        <v>6.97</v>
      </c>
      <c r="D125" s="134">
        <v>501.84</v>
      </c>
      <c r="F125" s="117"/>
      <c r="G125" s="117"/>
      <c r="H125" s="117"/>
      <c r="I125" s="117"/>
    </row>
    <row r="126" spans="1:9" s="4" customFormat="1" ht="12" customHeight="1">
      <c r="A126" s="61" t="s">
        <v>131</v>
      </c>
      <c r="B126" s="61" t="s">
        <v>132</v>
      </c>
      <c r="C126" s="115">
        <v>13.83</v>
      </c>
      <c r="D126" s="134">
        <v>179.79000000000002</v>
      </c>
      <c r="F126" s="117"/>
      <c r="G126" s="117"/>
      <c r="H126" s="117"/>
      <c r="I126" s="117"/>
    </row>
    <row r="127" spans="1:9" s="4" customFormat="1" ht="12" customHeight="1">
      <c r="A127" s="61" t="s">
        <v>225</v>
      </c>
      <c r="B127" s="61" t="s">
        <v>226</v>
      </c>
      <c r="C127" s="115">
        <v>5.89</v>
      </c>
      <c r="D127" s="134">
        <v>212.04000000000008</v>
      </c>
      <c r="F127" s="117"/>
      <c r="G127" s="117"/>
      <c r="H127" s="117"/>
      <c r="I127" s="117"/>
    </row>
    <row r="128" spans="1:9" s="4" customFormat="1" ht="12" customHeight="1">
      <c r="A128" s="61" t="s">
        <v>272</v>
      </c>
      <c r="B128" s="61" t="s">
        <v>273</v>
      </c>
      <c r="C128" s="115">
        <v>40.33</v>
      </c>
      <c r="D128" s="134">
        <v>80.66</v>
      </c>
      <c r="F128" s="117"/>
      <c r="G128" s="117"/>
      <c r="H128" s="117"/>
      <c r="I128" s="117"/>
    </row>
    <row r="129" spans="1:9" s="4" customFormat="1" ht="12" customHeight="1">
      <c r="A129" s="61" t="s">
        <v>227</v>
      </c>
      <c r="B129" s="61" t="s">
        <v>228</v>
      </c>
      <c r="C129" s="115">
        <v>10.78</v>
      </c>
      <c r="D129" s="134">
        <v>388.07999999999987</v>
      </c>
      <c r="F129" s="117"/>
      <c r="G129" s="117"/>
      <c r="H129" s="117"/>
      <c r="I129" s="117"/>
    </row>
    <row r="130" spans="1:9" s="4" customFormat="1" ht="5.25" customHeight="1" thickBot="1">
      <c r="A130" s="30"/>
      <c r="B130" s="30"/>
      <c r="C130" s="115"/>
      <c r="D130" s="117"/>
      <c r="F130" s="117"/>
      <c r="G130" s="117"/>
      <c r="H130" s="117"/>
      <c r="I130" s="117"/>
    </row>
    <row r="131" spans="1:9" s="4" customFormat="1" ht="12" customHeight="1" thickBot="1">
      <c r="A131" s="30"/>
      <c r="B131" s="31" t="s">
        <v>11</v>
      </c>
      <c r="C131" s="115"/>
      <c r="D131" s="119">
        <f>SUM(D49:D130)</f>
        <v>1039943.5900000001</v>
      </c>
      <c r="F131" s="136">
        <f>SUM(F49:F94)</f>
        <v>9151.5414862820653</v>
      </c>
      <c r="G131" s="136">
        <f>SUM(G49:G94)</f>
        <v>762.62845719017207</v>
      </c>
      <c r="H131" s="117"/>
      <c r="I131" s="136">
        <f>SUM(I49:I94)</f>
        <v>856.8440588503629</v>
      </c>
    </row>
    <row r="132" spans="1:9" s="4" customFormat="1" ht="5.25" customHeight="1">
      <c r="A132" s="30"/>
      <c r="B132" s="30"/>
      <c r="C132" s="115"/>
      <c r="D132" s="117"/>
      <c r="F132" s="117"/>
      <c r="G132" s="117"/>
      <c r="H132" s="117"/>
      <c r="I132" s="117"/>
    </row>
    <row r="133" spans="1:9" ht="12" customHeight="1">
      <c r="A133" s="105" t="s">
        <v>347</v>
      </c>
      <c r="B133" s="105" t="s">
        <v>348</v>
      </c>
      <c r="F133" s="118"/>
      <c r="G133" s="118"/>
      <c r="H133" s="118"/>
      <c r="I133" s="118"/>
    </row>
    <row r="134" spans="1:9" ht="12" customHeight="1">
      <c r="A134" s="86" t="s">
        <v>229</v>
      </c>
      <c r="B134" s="86" t="s">
        <v>230</v>
      </c>
      <c r="C134" s="115">
        <v>20</v>
      </c>
      <c r="D134" s="134">
        <v>7280</v>
      </c>
      <c r="F134" s="117">
        <f>D134/C134</f>
        <v>364</v>
      </c>
      <c r="G134" s="117">
        <f>F134/12</f>
        <v>30.333333333333332</v>
      </c>
      <c r="H134" s="118"/>
      <c r="I134" s="118">
        <f>G134*1</f>
        <v>30.333333333333332</v>
      </c>
    </row>
    <row r="135" spans="1:9" ht="5.25" customHeight="1" thickBot="1">
      <c r="A135" s="23"/>
      <c r="B135" s="23"/>
      <c r="F135" s="118"/>
      <c r="G135" s="118"/>
      <c r="H135" s="118"/>
      <c r="I135" s="118"/>
    </row>
    <row r="136" spans="1:9" ht="12" customHeight="1" thickBot="1">
      <c r="A136" s="23"/>
      <c r="B136" s="33" t="s">
        <v>349</v>
      </c>
      <c r="D136" s="119">
        <f>SUM(D134:D135)</f>
        <v>7280</v>
      </c>
      <c r="F136" s="141">
        <f>SUM(F134)</f>
        <v>364</v>
      </c>
      <c r="G136" s="141">
        <f>SUM(G134)</f>
        <v>30.333333333333332</v>
      </c>
      <c r="H136" s="118"/>
      <c r="I136" s="141">
        <f>SUM(I134)</f>
        <v>30.333333333333332</v>
      </c>
    </row>
    <row r="137" spans="1:9" ht="5.25" customHeight="1">
      <c r="A137" s="23"/>
      <c r="B137" s="33"/>
      <c r="D137" s="124"/>
      <c r="F137" s="118"/>
      <c r="G137" s="118"/>
      <c r="H137" s="118"/>
      <c r="I137" s="118"/>
    </row>
    <row r="138" spans="1:9" ht="12" customHeight="1">
      <c r="A138" s="105" t="s">
        <v>350</v>
      </c>
      <c r="B138" s="105" t="s">
        <v>350</v>
      </c>
      <c r="D138" s="124"/>
      <c r="F138" s="118"/>
      <c r="G138" s="118"/>
      <c r="H138" s="118"/>
      <c r="I138" s="118"/>
    </row>
    <row r="139" spans="1:9" s="4" customFormat="1" ht="12" customHeight="1">
      <c r="A139" s="61" t="s">
        <v>219</v>
      </c>
      <c r="B139" s="61" t="s">
        <v>220</v>
      </c>
      <c r="C139" s="115">
        <v>33.630000000000003</v>
      </c>
      <c r="D139" s="134">
        <v>5808.2699999999995</v>
      </c>
      <c r="F139" s="117">
        <f>D139/C139</f>
        <v>172.71097234611952</v>
      </c>
      <c r="G139" s="117">
        <f>F139/12</f>
        <v>14.392581028843294</v>
      </c>
      <c r="I139" s="21"/>
    </row>
    <row r="140" spans="1:9" s="4" customFormat="1" ht="12" customHeight="1">
      <c r="A140" s="86" t="s">
        <v>323</v>
      </c>
      <c r="B140" s="86" t="s">
        <v>322</v>
      </c>
      <c r="C140" s="115">
        <v>21.52</v>
      </c>
      <c r="D140" s="134">
        <v>1592.48</v>
      </c>
      <c r="F140" s="117">
        <f>D140/C140</f>
        <v>74</v>
      </c>
      <c r="G140" s="117">
        <f>F140/12</f>
        <v>6.166666666666667</v>
      </c>
      <c r="I140" s="21"/>
    </row>
    <row r="141" spans="1:9" s="4" customFormat="1" ht="12" customHeight="1">
      <c r="A141" s="86" t="s">
        <v>325</v>
      </c>
      <c r="B141" s="86" t="s">
        <v>324</v>
      </c>
      <c r="C141" s="115">
        <v>26.963000000000001</v>
      </c>
      <c r="D141" s="134">
        <v>6659.12</v>
      </c>
      <c r="F141" s="117">
        <f>D141/C141</f>
        <v>246.972517894893</v>
      </c>
      <c r="G141" s="117">
        <f>F141/12</f>
        <v>20.58104315790775</v>
      </c>
      <c r="I141" s="21"/>
    </row>
    <row r="142" spans="1:9" ht="5.25" customHeight="1" thickBot="1">
      <c r="A142" s="23"/>
      <c r="B142" s="33"/>
    </row>
    <row r="143" spans="1:9" ht="12" customHeight="1" thickBot="1">
      <c r="A143" s="23"/>
      <c r="B143" s="33" t="s">
        <v>351</v>
      </c>
      <c r="D143" s="119">
        <f>SUM(D138:D142)</f>
        <v>14059.869999999999</v>
      </c>
      <c r="F143" s="142">
        <f>SUM(F139:F141)</f>
        <v>493.68349024101252</v>
      </c>
      <c r="G143" s="142">
        <f>SUM(G139:G141)</f>
        <v>41.14029085341771</v>
      </c>
      <c r="I143" s="142">
        <f>SUM(I139)</f>
        <v>0</v>
      </c>
    </row>
    <row r="144" spans="1:9" ht="5.25" customHeight="1">
      <c r="A144" s="2"/>
      <c r="B144" s="2"/>
    </row>
    <row r="145" spans="1:9" ht="12" customHeight="1">
      <c r="A145" s="29" t="s">
        <v>12</v>
      </c>
      <c r="B145" s="29" t="s">
        <v>12</v>
      </c>
    </row>
    <row r="146" spans="1:9" ht="5.25" customHeight="1">
      <c r="A146" s="34"/>
      <c r="B146" s="34"/>
    </row>
    <row r="147" spans="1:9" ht="12" customHeight="1">
      <c r="A147" s="35" t="s">
        <v>13</v>
      </c>
      <c r="B147" s="35" t="s">
        <v>13</v>
      </c>
    </row>
    <row r="148" spans="1:9" ht="12" customHeight="1">
      <c r="A148" s="61" t="s">
        <v>133</v>
      </c>
      <c r="B148" s="61" t="s">
        <v>134</v>
      </c>
      <c r="C148" s="115">
        <v>241.93</v>
      </c>
      <c r="D148" s="134">
        <v>7628.3900000000012</v>
      </c>
      <c r="F148" s="117">
        <f>D148/C148</f>
        <v>31.531393378249913</v>
      </c>
      <c r="G148" s="117">
        <f>F148/12</f>
        <v>2.6276161148541592</v>
      </c>
      <c r="H148" s="118"/>
      <c r="I148" s="118">
        <f>G148*1</f>
        <v>2.6276161148541592</v>
      </c>
    </row>
    <row r="149" spans="1:9" ht="12" customHeight="1">
      <c r="A149" s="61" t="s">
        <v>135</v>
      </c>
      <c r="B149" s="61" t="s">
        <v>136</v>
      </c>
      <c r="C149" s="115">
        <v>223.49</v>
      </c>
      <c r="D149" s="134">
        <v>16091.28</v>
      </c>
      <c r="F149" s="117">
        <f t="shared" ref="F149:F151" si="7">D149/C149</f>
        <v>72</v>
      </c>
      <c r="G149" s="117">
        <f t="shared" ref="G149:G151" si="8">F149/12</f>
        <v>6</v>
      </c>
      <c r="H149" s="118"/>
      <c r="I149" s="118">
        <f t="shared" ref="I149:I151" si="9">G149*1</f>
        <v>6</v>
      </c>
    </row>
    <row r="150" spans="1:9" ht="12" customHeight="1">
      <c r="A150" s="61" t="s">
        <v>231</v>
      </c>
      <c r="B150" s="61" t="s">
        <v>232</v>
      </c>
      <c r="C150" s="115">
        <v>346.56</v>
      </c>
      <c r="D150" s="134">
        <v>3171.8399999999997</v>
      </c>
      <c r="F150" s="117">
        <f t="shared" si="7"/>
        <v>9.1523545706371188</v>
      </c>
      <c r="G150" s="117">
        <f t="shared" si="8"/>
        <v>0.76269621421975986</v>
      </c>
      <c r="H150" s="118"/>
      <c r="I150" s="118">
        <f t="shared" si="9"/>
        <v>0.76269621421975986</v>
      </c>
    </row>
    <row r="151" spans="1:9" ht="12" customHeight="1">
      <c r="A151" s="61" t="s">
        <v>137</v>
      </c>
      <c r="B151" s="61" t="s">
        <v>138</v>
      </c>
      <c r="C151" s="115">
        <v>330.7</v>
      </c>
      <c r="D151" s="134">
        <v>24471.800000000003</v>
      </c>
      <c r="F151" s="117">
        <f t="shared" si="7"/>
        <v>74.000000000000014</v>
      </c>
      <c r="G151" s="117">
        <f t="shared" si="8"/>
        <v>6.1666666666666679</v>
      </c>
      <c r="H151" s="118"/>
      <c r="I151" s="118">
        <f t="shared" si="9"/>
        <v>6.1666666666666679</v>
      </c>
    </row>
    <row r="152" spans="1:9" ht="12" customHeight="1">
      <c r="A152" s="61" t="s">
        <v>141</v>
      </c>
      <c r="B152" s="61" t="s">
        <v>142</v>
      </c>
      <c r="C152" s="115">
        <v>101.52</v>
      </c>
      <c r="D152" s="134">
        <v>5320.44</v>
      </c>
      <c r="F152" s="117"/>
      <c r="G152" s="21"/>
    </row>
    <row r="153" spans="1:9" ht="12" customHeight="1">
      <c r="A153" s="61" t="s">
        <v>143</v>
      </c>
      <c r="B153" s="61" t="s">
        <v>144</v>
      </c>
      <c r="C153" s="115">
        <v>126.82</v>
      </c>
      <c r="D153" s="134">
        <v>7435.5899999999992</v>
      </c>
      <c r="F153" s="117"/>
      <c r="G153" s="21"/>
    </row>
    <row r="154" spans="1:9" ht="12" customHeight="1">
      <c r="A154" s="61" t="s">
        <v>145</v>
      </c>
      <c r="B154" s="61" t="s">
        <v>146</v>
      </c>
      <c r="C154" s="115">
        <v>74.37</v>
      </c>
      <c r="D154" s="134">
        <v>6172.68</v>
      </c>
      <c r="F154" s="117"/>
      <c r="G154" s="21"/>
    </row>
    <row r="155" spans="1:9" ht="12" customHeight="1">
      <c r="A155" s="61" t="s">
        <v>147</v>
      </c>
      <c r="B155" s="61" t="s">
        <v>148</v>
      </c>
      <c r="C155" s="115">
        <v>5.54</v>
      </c>
      <c r="D155" s="134">
        <v>22641.980000000003</v>
      </c>
      <c r="F155" s="117"/>
      <c r="G155" s="21"/>
    </row>
    <row r="156" spans="1:9" ht="5.25" hidden="1" customHeight="1">
      <c r="A156" s="61"/>
      <c r="B156" s="61"/>
      <c r="C156" s="115"/>
      <c r="D156" s="134"/>
      <c r="F156" s="117"/>
    </row>
    <row r="157" spans="1:9" s="4" customFormat="1" ht="5.25" customHeight="1" thickBot="1">
      <c r="A157" s="61"/>
      <c r="B157" s="61"/>
      <c r="C157" s="115"/>
      <c r="D157" s="116"/>
    </row>
    <row r="158" spans="1:9" s="4" customFormat="1" ht="12" customHeight="1" thickBot="1">
      <c r="A158" s="61"/>
      <c r="B158" s="24" t="s">
        <v>352</v>
      </c>
      <c r="C158" s="115"/>
      <c r="D158" s="119">
        <f>SUM(D148:D157)</f>
        <v>92934</v>
      </c>
      <c r="F158" s="142">
        <f>SUM(F148:F151)</f>
        <v>186.68374794888706</v>
      </c>
      <c r="G158" s="142">
        <f>SUM(G148:G151)</f>
        <v>15.556978995740588</v>
      </c>
      <c r="I158" s="142">
        <f>SUM(I148:I151)</f>
        <v>15.556978995740588</v>
      </c>
    </row>
    <row r="159" spans="1:9" ht="5.25" customHeight="1">
      <c r="A159" s="23"/>
      <c r="B159" s="23"/>
    </row>
    <row r="160" spans="1:9" ht="12" customHeight="1">
      <c r="A160" s="35" t="s">
        <v>15</v>
      </c>
      <c r="B160" s="35" t="s">
        <v>15</v>
      </c>
    </row>
    <row r="161" spans="1:11" ht="12" customHeight="1">
      <c r="A161" s="86" t="s">
        <v>151</v>
      </c>
      <c r="B161" s="86" t="s">
        <v>152</v>
      </c>
      <c r="C161" s="115">
        <v>106</v>
      </c>
      <c r="D161" s="134">
        <v>69478.92</v>
      </c>
      <c r="F161" s="117">
        <f>D161/C161</f>
        <v>655.46150943396219</v>
      </c>
      <c r="G161" s="117">
        <f>F161/12</f>
        <v>54.621792452830185</v>
      </c>
    </row>
    <row r="162" spans="1:11" ht="5.25" customHeight="1"/>
    <row r="163" spans="1:11" ht="12" customHeight="1">
      <c r="A163" s="23"/>
      <c r="B163" s="33" t="s">
        <v>16</v>
      </c>
      <c r="D163" s="119">
        <f>SUM(D161:D162)</f>
        <v>69478.92</v>
      </c>
    </row>
    <row r="164" spans="1:11" ht="5.25" customHeight="1">
      <c r="A164" s="23"/>
      <c r="B164" s="33"/>
      <c r="D164" s="124"/>
    </row>
    <row r="165" spans="1:11" s="4" customFormat="1" ht="12" customHeight="1">
      <c r="A165" s="26" t="s">
        <v>17</v>
      </c>
      <c r="B165" s="26" t="s">
        <v>17</v>
      </c>
      <c r="C165" s="115"/>
      <c r="F165" s="117"/>
    </row>
    <row r="166" spans="1:11" s="4" customFormat="1" ht="12" customHeight="1">
      <c r="A166" s="61" t="s">
        <v>18</v>
      </c>
      <c r="B166" s="61" t="s">
        <v>19</v>
      </c>
      <c r="C166" s="115">
        <v>1</v>
      </c>
      <c r="D166" s="134">
        <v>3441.6700000000005</v>
      </c>
      <c r="F166" s="117"/>
    </row>
    <row r="167" spans="1:11" s="4" customFormat="1" ht="12" customHeight="1">
      <c r="A167" s="61" t="s">
        <v>153</v>
      </c>
      <c r="B167" s="61" t="s">
        <v>154</v>
      </c>
      <c r="C167" s="115">
        <v>19.010000000000002</v>
      </c>
      <c r="D167" s="134">
        <v>190.10000000000002</v>
      </c>
      <c r="F167" s="117"/>
    </row>
    <row r="168" spans="1:11" s="4" customFormat="1" ht="12" customHeight="1">
      <c r="A168" s="61" t="s">
        <v>306</v>
      </c>
      <c r="B168" s="61" t="s">
        <v>307</v>
      </c>
      <c r="C168" s="115">
        <v>0</v>
      </c>
      <c r="D168" s="134">
        <v>-76.989999999999995</v>
      </c>
      <c r="F168" s="117"/>
    </row>
    <row r="169" spans="1:11" s="4" customFormat="1" ht="5.25" customHeight="1">
      <c r="A169" s="22"/>
      <c r="B169" s="22"/>
      <c r="C169" s="115"/>
      <c r="F169" s="117"/>
    </row>
    <row r="170" spans="1:11" s="4" customFormat="1" ht="12" customHeight="1">
      <c r="A170" s="28"/>
      <c r="B170" s="24" t="s">
        <v>20</v>
      </c>
      <c r="C170" s="115"/>
      <c r="D170" s="119">
        <f>SUM(D166:D168)</f>
        <v>3554.7800000000007</v>
      </c>
      <c r="F170" s="117"/>
    </row>
    <row r="171" spans="1:11" ht="5.25" customHeight="1">
      <c r="A171" s="23"/>
      <c r="B171" s="33"/>
    </row>
    <row r="172" spans="1:11" ht="12" customHeight="1">
      <c r="A172" s="6"/>
      <c r="B172" s="31" t="s">
        <v>21</v>
      </c>
      <c r="D172" s="119">
        <f>SUM(D38,D43,D131,D136,D158,D163,D170,D143)</f>
        <v>2298269.0449999999</v>
      </c>
    </row>
    <row r="173" spans="1:11" ht="5.25" customHeight="1">
      <c r="A173" s="6"/>
      <c r="B173" s="6"/>
    </row>
    <row r="174" spans="1:11">
      <c r="C174" s="58" t="s">
        <v>295</v>
      </c>
      <c r="D174" s="52">
        <v>2298966.7350000013</v>
      </c>
    </row>
    <row r="175" spans="1:11">
      <c r="C175" s="58" t="s">
        <v>312</v>
      </c>
      <c r="D175" s="47">
        <f>D174-D172</f>
        <v>697.6900000013411</v>
      </c>
      <c r="F175" s="143" t="s">
        <v>353</v>
      </c>
      <c r="G175" s="143"/>
      <c r="H175" s="143"/>
      <c r="I175" s="143"/>
      <c r="J175" s="143"/>
      <c r="K175" s="143"/>
    </row>
  </sheetData>
  <pageMargins left="0.25" right="0.25" top="0.75" bottom="0.75" header="0.3" footer="0.3"/>
  <pageSetup scale="74" fitToHeight="3" orientation="landscape" r:id="rId1"/>
  <rowBreaks count="3" manualBreakCount="3">
    <brk id="44" max="13" man="1"/>
    <brk id="94" max="13" man="1"/>
    <brk id="132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39997558519241921"/>
    <pageSetUpPr fitToPage="1"/>
  </sheetPr>
  <dimension ref="A1:N48"/>
  <sheetViews>
    <sheetView showGridLines="0" tabSelected="1" view="pageBreakPreview" zoomScale="115" zoomScaleNormal="100" zoomScaleSheetLayoutView="115" workbookViewId="0">
      <pane ySplit="6" topLeftCell="A7" activePane="bottomLeft" state="frozen"/>
      <selection activeCell="J59" sqref="J59"/>
      <selection pane="bottomLeft" activeCell="J59" sqref="J59"/>
    </sheetView>
  </sheetViews>
  <sheetFormatPr defaultRowHeight="12.75"/>
  <cols>
    <col min="1" max="1" width="21.28515625" style="5" hidden="1" customWidth="1"/>
    <col min="2" max="2" width="19.42578125" style="14" customWidth="1"/>
    <col min="3" max="3" width="25.42578125" style="14" customWidth="1"/>
    <col min="4" max="5" width="12.28515625" style="5" customWidth="1"/>
    <col min="6" max="6" width="1" style="5" customWidth="1"/>
    <col min="7" max="8" width="12.28515625" style="5" customWidth="1"/>
    <col min="9" max="9" width="0.7109375" style="5" customWidth="1"/>
    <col min="10" max="10" width="12.28515625" style="5" customWidth="1"/>
    <col min="11" max="12" width="3" style="5" customWidth="1"/>
    <col min="13" max="13" width="19.140625" style="5" customWidth="1"/>
    <col min="14" max="14" width="6.85546875" style="5" customWidth="1"/>
    <col min="15" max="17" width="10.7109375" style="5" customWidth="1"/>
    <col min="18" max="18" width="17.7109375" style="5" customWidth="1"/>
    <col min="19" max="16384" width="9.140625" style="5"/>
  </cols>
  <sheetData>
    <row r="1" spans="1:14" ht="12" customHeight="1" thickBot="1">
      <c r="B1" s="1" t="s">
        <v>22</v>
      </c>
      <c r="C1" s="2"/>
      <c r="D1" s="3"/>
      <c r="E1" s="4"/>
      <c r="F1" s="4"/>
      <c r="G1" s="4"/>
    </row>
    <row r="2" spans="1:14" ht="12" customHeight="1">
      <c r="B2" s="1" t="s">
        <v>239</v>
      </c>
      <c r="C2" s="2"/>
      <c r="D2" s="51" t="s">
        <v>294</v>
      </c>
      <c r="E2" s="4"/>
      <c r="F2" s="4"/>
      <c r="G2" s="4"/>
      <c r="M2" s="66" t="s">
        <v>292</v>
      </c>
      <c r="N2" s="69">
        <v>0</v>
      </c>
    </row>
    <row r="3" spans="1:14" ht="12" customHeight="1">
      <c r="B3" s="105">
        <v>2017</v>
      </c>
      <c r="C3" s="2"/>
      <c r="D3" s="3"/>
      <c r="E3" s="4"/>
      <c r="F3" s="4"/>
      <c r="G3" s="4"/>
      <c r="M3" s="67" t="s">
        <v>293</v>
      </c>
      <c r="N3" s="70">
        <v>0</v>
      </c>
    </row>
    <row r="4" spans="1:14" ht="12" customHeight="1">
      <c r="B4" s="2"/>
      <c r="C4" s="8"/>
      <c r="D4" s="9" t="s">
        <v>317</v>
      </c>
      <c r="E4" s="10">
        <v>2017</v>
      </c>
      <c r="F4" s="4"/>
      <c r="G4" s="54">
        <v>2017</v>
      </c>
      <c r="H4" s="54" t="s">
        <v>331</v>
      </c>
      <c r="I4" s="57"/>
      <c r="J4" s="82">
        <v>2017</v>
      </c>
      <c r="K4" s="61"/>
      <c r="L4" s="57"/>
      <c r="M4" s="67" t="s">
        <v>291</v>
      </c>
      <c r="N4" s="70">
        <f>SUM(J13:J15,J26:J27)</f>
        <v>15.209930300658531</v>
      </c>
    </row>
    <row r="5" spans="1:14" ht="12" customHeight="1" thickBot="1">
      <c r="B5" s="11" t="s">
        <v>1</v>
      </c>
      <c r="C5" s="8" t="s">
        <v>2</v>
      </c>
      <c r="D5" s="12" t="s">
        <v>3</v>
      </c>
      <c r="E5" s="10" t="s">
        <v>4</v>
      </c>
      <c r="F5" s="4"/>
      <c r="G5" s="13" t="s">
        <v>5</v>
      </c>
      <c r="H5" s="13" t="s">
        <v>330</v>
      </c>
      <c r="I5" s="49"/>
      <c r="J5" s="82" t="s">
        <v>333</v>
      </c>
      <c r="K5" s="4"/>
      <c r="L5" s="49"/>
      <c r="M5" s="68" t="s">
        <v>246</v>
      </c>
      <c r="N5" s="71">
        <v>0</v>
      </c>
    </row>
    <row r="6" spans="1:14" ht="4.5" customHeight="1">
      <c r="I6" s="57"/>
      <c r="J6" s="50"/>
      <c r="K6" s="4"/>
      <c r="L6" s="57"/>
    </row>
    <row r="7" spans="1:14" s="4" customFormat="1" ht="4.5" hidden="1" customHeight="1">
      <c r="C7" s="2"/>
      <c r="D7" s="3"/>
      <c r="I7" s="57"/>
      <c r="J7" s="50"/>
      <c r="K7" s="61"/>
      <c r="L7" s="57"/>
    </row>
    <row r="8" spans="1:14" s="4" customFormat="1" ht="4.5" hidden="1" customHeight="1">
      <c r="D8" s="3"/>
    </row>
    <row r="9" spans="1:14" s="4" customFormat="1" ht="4.5" hidden="1" customHeight="1">
      <c r="D9" s="18"/>
      <c r="E9" s="21"/>
      <c r="G9" s="20"/>
      <c r="J9" s="49"/>
    </row>
    <row r="10" spans="1:14" ht="12" customHeight="1">
      <c r="B10" s="29" t="s">
        <v>9</v>
      </c>
      <c r="C10" s="29" t="s">
        <v>9</v>
      </c>
      <c r="I10" s="4"/>
      <c r="K10" s="50"/>
    </row>
    <row r="11" spans="1:14" ht="4.5" customHeight="1">
      <c r="B11" s="29"/>
      <c r="C11" s="29"/>
      <c r="J11" s="57"/>
      <c r="K11" s="50"/>
    </row>
    <row r="12" spans="1:14" s="4" customFormat="1" ht="15">
      <c r="B12" s="17" t="s">
        <v>10</v>
      </c>
      <c r="C12" s="17" t="s">
        <v>10</v>
      </c>
      <c r="D12" s="18"/>
      <c r="E12" s="21"/>
      <c r="G12" s="20"/>
      <c r="J12" s="49"/>
      <c r="K12" s="50"/>
    </row>
    <row r="13" spans="1:14" s="4" customFormat="1" ht="12" customHeight="1">
      <c r="A13" s="4" t="str">
        <f t="shared" ref="A13:A18" si="0">"ARMY CORPS"&amp;"COMMERCIAL"&amp;B13</f>
        <v>ARMY CORPSCOMMERCIALRL003.0Y1W001</v>
      </c>
      <c r="B13" s="5" t="s">
        <v>69</v>
      </c>
      <c r="C13" s="5" t="s">
        <v>70</v>
      </c>
      <c r="D13" s="18">
        <v>217.12</v>
      </c>
      <c r="E13" s="44">
        <v>2526.79</v>
      </c>
      <c r="G13" s="20">
        <f>IFERROR((E13/D13),0)</f>
        <v>11.637757921886514</v>
      </c>
      <c r="H13" s="20">
        <f>G13/12</f>
        <v>0.96981316015720953</v>
      </c>
      <c r="I13" s="20"/>
      <c r="J13" s="95">
        <f>H13*1</f>
        <v>0.96981316015720953</v>
      </c>
      <c r="K13" s="50"/>
    </row>
    <row r="14" spans="1:14" s="4" customFormat="1" ht="12" customHeight="1">
      <c r="A14" s="4" t="str">
        <f t="shared" si="0"/>
        <v>ARMY CORPSCOMMERCIALRL003.0Y1W002</v>
      </c>
      <c r="B14" s="5" t="s">
        <v>71</v>
      </c>
      <c r="C14" s="5" t="s">
        <v>72</v>
      </c>
      <c r="D14" s="59">
        <v>434.24</v>
      </c>
      <c r="E14" s="44">
        <v>20685.399999999998</v>
      </c>
      <c r="G14" s="20">
        <f t="shared" ref="G14:G15" si="1">IFERROR((E14/D14),0)</f>
        <v>47.635869565217384</v>
      </c>
      <c r="H14" s="20">
        <f t="shared" ref="H14:H15" si="2">G14/12</f>
        <v>3.9696557971014488</v>
      </c>
      <c r="I14" s="20"/>
      <c r="J14" s="95">
        <f>H14*2</f>
        <v>7.9393115942028976</v>
      </c>
      <c r="K14" s="50"/>
    </row>
    <row r="15" spans="1:14" s="2" customFormat="1" ht="12" customHeight="1">
      <c r="A15" s="4" t="str">
        <f t="shared" si="0"/>
        <v>ARMY CORPSCOMMERCIALRL003.0Y1W004</v>
      </c>
      <c r="B15" s="5" t="s">
        <v>235</v>
      </c>
      <c r="C15" s="5" t="s">
        <v>236</v>
      </c>
      <c r="D15" s="59">
        <v>868.48</v>
      </c>
      <c r="E15" s="44">
        <v>11282.519999999997</v>
      </c>
      <c r="G15" s="20">
        <f t="shared" si="1"/>
        <v>12.991110906411198</v>
      </c>
      <c r="H15" s="20">
        <f t="shared" si="2"/>
        <v>1.0825925755342665</v>
      </c>
      <c r="I15" s="19"/>
      <c r="J15" s="95">
        <f>H15*4</f>
        <v>4.3303703021370659</v>
      </c>
      <c r="K15" s="50"/>
    </row>
    <row r="16" spans="1:14" s="4" customFormat="1" ht="12" customHeight="1">
      <c r="A16" s="4" t="str">
        <f t="shared" si="0"/>
        <v>ARMY CORPSCOMMERCIALEXTRAYDG-COMM</v>
      </c>
      <c r="B16" s="5" t="s">
        <v>107</v>
      </c>
      <c r="C16" s="5" t="s">
        <v>108</v>
      </c>
      <c r="D16" s="59">
        <v>0</v>
      </c>
      <c r="E16" s="44">
        <v>41.56</v>
      </c>
      <c r="G16" s="20"/>
      <c r="H16" s="20"/>
      <c r="I16" s="20"/>
      <c r="J16" s="95"/>
      <c r="K16" s="50"/>
    </row>
    <row r="17" spans="1:11" s="4" customFormat="1" ht="12" customHeight="1">
      <c r="B17" s="61" t="s">
        <v>105</v>
      </c>
      <c r="C17" s="61" t="s">
        <v>106</v>
      </c>
      <c r="D17" s="60">
        <v>0</v>
      </c>
      <c r="E17" s="44">
        <v>97.97999999999999</v>
      </c>
      <c r="G17" s="20"/>
      <c r="H17" s="20"/>
      <c r="I17" s="20"/>
      <c r="J17" s="95"/>
      <c r="K17" s="50"/>
    </row>
    <row r="18" spans="1:11" s="4" customFormat="1" ht="12" customHeight="1">
      <c r="A18" s="4" t="str">
        <f t="shared" si="0"/>
        <v>ARMY CORPSCOMMERCIALDELTEMP-COMM</v>
      </c>
      <c r="B18" s="5" t="s">
        <v>127</v>
      </c>
      <c r="C18" s="5" t="s">
        <v>128</v>
      </c>
      <c r="D18" s="59">
        <v>0</v>
      </c>
      <c r="E18" s="44">
        <v>0</v>
      </c>
      <c r="G18" s="20"/>
      <c r="H18" s="20"/>
      <c r="I18" s="20"/>
      <c r="J18" s="95"/>
      <c r="K18" s="50"/>
    </row>
    <row r="19" spans="1:11" s="4" customFormat="1" ht="12" customHeight="1">
      <c r="A19" s="4" t="str">
        <f>"ARMY CORPS"&amp;"COMMERCIAL"&amp;B19</f>
        <v>ARMY CORPSCOMMERCIALDAMAGE-COMM</v>
      </c>
      <c r="B19" s="5" t="s">
        <v>315</v>
      </c>
      <c r="C19" s="5" t="s">
        <v>316</v>
      </c>
      <c r="D19" s="59">
        <v>0</v>
      </c>
      <c r="E19" s="44">
        <v>0</v>
      </c>
      <c r="G19" s="20"/>
      <c r="H19" s="20"/>
      <c r="I19" s="20"/>
      <c r="J19" s="95"/>
      <c r="K19" s="50"/>
    </row>
    <row r="20" spans="1:11" s="4" customFormat="1" ht="4.5" customHeight="1" thickBot="1">
      <c r="B20" s="30"/>
      <c r="C20" s="30"/>
      <c r="D20" s="18"/>
      <c r="E20" s="21"/>
      <c r="G20" s="20"/>
      <c r="H20" s="20"/>
      <c r="I20" s="20"/>
      <c r="J20" s="95"/>
      <c r="K20" s="50"/>
    </row>
    <row r="21" spans="1:11" s="4" customFormat="1" ht="12" customHeight="1" thickBot="1">
      <c r="B21" s="30"/>
      <c r="C21" s="31" t="s">
        <v>11</v>
      </c>
      <c r="D21" s="18"/>
      <c r="E21" s="25">
        <f>SUM(E13:E20)</f>
        <v>34634.249999999993</v>
      </c>
      <c r="G21" s="64">
        <f>SUM(G13:G15)</f>
        <v>72.264738393515088</v>
      </c>
      <c r="H21" s="64">
        <f>SUM(H13:H15)</f>
        <v>6.0220615327929243</v>
      </c>
      <c r="I21" s="20"/>
      <c r="J21" s="64">
        <f>SUM(J13:J15)</f>
        <v>13.239495056497173</v>
      </c>
    </row>
    <row r="22" spans="1:11" ht="4.5" customHeight="1">
      <c r="B22" s="2"/>
      <c r="C22" s="2"/>
      <c r="H22" s="76"/>
    </row>
    <row r="23" spans="1:11" ht="12" customHeight="1">
      <c r="B23" s="29" t="s">
        <v>12</v>
      </c>
      <c r="C23" s="29" t="s">
        <v>12</v>
      </c>
      <c r="H23" s="76"/>
    </row>
    <row r="24" spans="1:11" ht="4.5" customHeight="1">
      <c r="B24" s="34"/>
      <c r="C24" s="34"/>
      <c r="H24" s="76"/>
    </row>
    <row r="25" spans="1:11" ht="12" customHeight="1">
      <c r="B25" s="35" t="s">
        <v>13</v>
      </c>
      <c r="C25" s="35" t="s">
        <v>13</v>
      </c>
      <c r="H25" s="76"/>
    </row>
    <row r="26" spans="1:11" ht="12" customHeight="1">
      <c r="A26" s="4" t="str">
        <f>"ARMY CORPS"&amp;"ROLL OFF"&amp;B26</f>
        <v>ARMY CORPSROLL OFFHAUL25-RO</v>
      </c>
      <c r="B26" s="5" t="s">
        <v>133</v>
      </c>
      <c r="C26" s="5" t="s">
        <v>134</v>
      </c>
      <c r="D26" s="87">
        <v>314</v>
      </c>
      <c r="E26" s="44">
        <v>7424.6</v>
      </c>
      <c r="G26" s="20">
        <f>IFERROR((E26/D26),0)</f>
        <v>23.645222929936306</v>
      </c>
      <c r="H26" s="20">
        <f>G26/12</f>
        <v>1.9704352441613588</v>
      </c>
      <c r="I26" s="91"/>
      <c r="J26" s="76">
        <f>H26*1</f>
        <v>1.9704352441613588</v>
      </c>
    </row>
    <row r="27" spans="1:11" ht="12" customHeight="1">
      <c r="A27" s="4" t="str">
        <f t="shared" ref="A27:A30" si="3">"ARMY CORPS"&amp;"ROLL OFF"&amp;B27</f>
        <v>ARMY CORPSROLL OFFHAUL25TEMP-RO</v>
      </c>
      <c r="B27" s="5" t="s">
        <v>135</v>
      </c>
      <c r="C27" s="5" t="s">
        <v>136</v>
      </c>
      <c r="D27" s="87">
        <v>314</v>
      </c>
      <c r="E27" s="44">
        <v>0</v>
      </c>
      <c r="G27" s="20">
        <f>IFERROR((E27/D27),0)</f>
        <v>0</v>
      </c>
      <c r="H27" s="20">
        <f>G27/12</f>
        <v>0</v>
      </c>
      <c r="I27" s="91"/>
      <c r="J27" s="76">
        <f>H27*1</f>
        <v>0</v>
      </c>
    </row>
    <row r="28" spans="1:11" ht="12" customHeight="1">
      <c r="A28" s="4" t="str">
        <f t="shared" si="3"/>
        <v>ARMY CORPSROLL OFFRENT25MO-RO</v>
      </c>
      <c r="B28" s="5" t="s">
        <v>141</v>
      </c>
      <c r="C28" s="5" t="s">
        <v>142</v>
      </c>
      <c r="D28" s="87">
        <v>95.5</v>
      </c>
      <c r="E28" s="44">
        <v>3438</v>
      </c>
      <c r="G28" s="20">
        <f>IFERROR((E28/D28),0)</f>
        <v>36</v>
      </c>
      <c r="H28" s="20">
        <f>G28/12</f>
        <v>3</v>
      </c>
      <c r="I28" s="91"/>
      <c r="J28" s="91"/>
    </row>
    <row r="29" spans="1:11" ht="12" customHeight="1">
      <c r="A29" s="4" t="str">
        <f t="shared" si="3"/>
        <v>ARMY CORPSROLL OFFDEL-RO</v>
      </c>
      <c r="B29" s="5" t="s">
        <v>145</v>
      </c>
      <c r="C29" s="5" t="s">
        <v>146</v>
      </c>
      <c r="D29" s="87">
        <v>225</v>
      </c>
      <c r="E29" s="44">
        <v>0</v>
      </c>
      <c r="G29" s="20"/>
      <c r="H29" s="20"/>
      <c r="I29" s="91"/>
      <c r="J29" s="91"/>
    </row>
    <row r="30" spans="1:11" ht="12" customHeight="1">
      <c r="A30" s="4" t="str">
        <f t="shared" si="3"/>
        <v>ARMY CORPSROLL OFFMILE-RO</v>
      </c>
      <c r="B30" s="5" t="s">
        <v>147</v>
      </c>
      <c r="C30" s="5" t="s">
        <v>148</v>
      </c>
      <c r="D30" s="59">
        <v>0</v>
      </c>
      <c r="E30" s="44">
        <v>0</v>
      </c>
      <c r="G30" s="20"/>
      <c r="H30" s="20"/>
      <c r="I30" s="91"/>
      <c r="J30" s="91"/>
    </row>
    <row r="31" spans="1:11" ht="4.5" customHeight="1" thickBot="1">
      <c r="B31" s="23"/>
      <c r="C31" s="23"/>
      <c r="D31" s="18"/>
      <c r="G31" s="91"/>
      <c r="H31" s="91"/>
      <c r="I31" s="91"/>
      <c r="J31" s="91"/>
    </row>
    <row r="32" spans="1:11" ht="12" customHeight="1" thickBot="1">
      <c r="B32" s="23"/>
      <c r="C32" s="33" t="s">
        <v>14</v>
      </c>
      <c r="E32" s="25">
        <f>SUM(E26:E31)</f>
        <v>10862.6</v>
      </c>
      <c r="G32" s="64">
        <f>SUM(G26:G27)</f>
        <v>23.645222929936306</v>
      </c>
      <c r="H32" s="64">
        <f>SUM(H26:H27)</f>
        <v>1.9704352441613588</v>
      </c>
      <c r="I32" s="91"/>
      <c r="J32" s="64">
        <f>SUM(J26:J27)</f>
        <v>1.9704352441613588</v>
      </c>
    </row>
    <row r="33" spans="1:7" ht="4.5" customHeight="1">
      <c r="B33" s="23"/>
      <c r="C33" s="23"/>
    </row>
    <row r="34" spans="1:7" ht="12" customHeight="1">
      <c r="B34" s="35" t="s">
        <v>15</v>
      </c>
      <c r="C34" s="35" t="s">
        <v>15</v>
      </c>
    </row>
    <row r="35" spans="1:7" ht="12" customHeight="1">
      <c r="A35" s="4" t="str">
        <f>"ARMY CORPS"&amp;"ROLL OFF"&amp;B35</f>
        <v>ARMY CORPSROLL OFFDISP-RO</v>
      </c>
      <c r="B35" s="14" t="s">
        <v>151</v>
      </c>
      <c r="C35" s="14" t="s">
        <v>152</v>
      </c>
      <c r="D35" s="59">
        <v>0</v>
      </c>
      <c r="E35" s="44">
        <v>5791.4799999999987</v>
      </c>
    </row>
    <row r="36" spans="1:7" ht="4.5" customHeight="1">
      <c r="E36" s="32"/>
    </row>
    <row r="37" spans="1:7" ht="12" customHeight="1">
      <c r="B37" s="23"/>
      <c r="C37" s="33" t="s">
        <v>16</v>
      </c>
      <c r="E37" s="25">
        <f>SUM(E35:E36)</f>
        <v>5791.4799999999987</v>
      </c>
    </row>
    <row r="38" spans="1:7" ht="4.5" customHeight="1">
      <c r="B38" s="23"/>
      <c r="C38" s="33"/>
      <c r="E38" s="36"/>
    </row>
    <row r="39" spans="1:7" s="4" customFormat="1" ht="12" customHeight="1">
      <c r="B39" s="26" t="s">
        <v>17</v>
      </c>
      <c r="C39" s="26" t="s">
        <v>17</v>
      </c>
      <c r="D39" s="18"/>
      <c r="E39" s="21"/>
      <c r="G39" s="20"/>
    </row>
    <row r="40" spans="1:7" s="4" customFormat="1" ht="12" customHeight="1">
      <c r="A40" s="4" t="str">
        <f>"ARMY CORPS"&amp;"ACCOUNTING"&amp;B40</f>
        <v>ARMY CORPSACCOUNTINGFINCHG</v>
      </c>
      <c r="B40" s="5" t="s">
        <v>18</v>
      </c>
      <c r="C40" s="5" t="s">
        <v>19</v>
      </c>
      <c r="D40" s="59">
        <v>0</v>
      </c>
      <c r="E40" s="44">
        <v>0</v>
      </c>
      <c r="G40" s="20"/>
    </row>
    <row r="41" spans="1:7" s="4" customFormat="1" ht="12" customHeight="1">
      <c r="A41" s="4" t="str">
        <f>"ARMY CORPS"&amp;"ACCOUNTING"&amp;B41</f>
        <v>ARMY CORPSACCOUNTINGRETCKC</v>
      </c>
      <c r="B41" s="5" t="s">
        <v>153</v>
      </c>
      <c r="C41" s="5" t="s">
        <v>154</v>
      </c>
      <c r="D41" s="59">
        <v>0</v>
      </c>
      <c r="E41" s="44">
        <v>0</v>
      </c>
      <c r="G41" s="20"/>
    </row>
    <row r="42" spans="1:7" s="4" customFormat="1" ht="4.5" customHeight="1">
      <c r="B42" s="22"/>
      <c r="C42" s="22"/>
      <c r="D42" s="18"/>
      <c r="E42" s="21"/>
      <c r="G42" s="20"/>
    </row>
    <row r="43" spans="1:7" s="4" customFormat="1" ht="12" customHeight="1">
      <c r="B43" s="28"/>
      <c r="C43" s="24" t="s">
        <v>20</v>
      </c>
      <c r="D43" s="18"/>
      <c r="E43" s="25">
        <f>SUM(E40:E41)</f>
        <v>0</v>
      </c>
      <c r="G43" s="20"/>
    </row>
    <row r="44" spans="1:7" ht="4.5" customHeight="1">
      <c r="B44" s="23"/>
      <c r="C44" s="33"/>
    </row>
    <row r="45" spans="1:7">
      <c r="B45" s="6"/>
      <c r="C45" s="31" t="s">
        <v>21</v>
      </c>
      <c r="E45" s="25">
        <f>SUM(E21,E32,E37,E43)</f>
        <v>51288.329999999987</v>
      </c>
    </row>
    <row r="46" spans="1:7">
      <c r="B46" s="6"/>
      <c r="C46" s="6"/>
    </row>
    <row r="47" spans="1:7">
      <c r="D47" s="58" t="s">
        <v>295</v>
      </c>
      <c r="E47" s="52">
        <v>51288.329999999994</v>
      </c>
    </row>
    <row r="48" spans="1:7">
      <c r="D48" s="58" t="s">
        <v>312</v>
      </c>
      <c r="E48" s="47">
        <f>E47-E45</f>
        <v>0</v>
      </c>
    </row>
  </sheetData>
  <pageMargins left="0.25" right="0.25" top="0.75" bottom="0.75" header="0.3" footer="0.3"/>
  <pageSetup scale="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6" tint="0.39997558519241921"/>
    <pageSetUpPr fitToPage="1"/>
  </sheetPr>
  <dimension ref="A1:P47"/>
  <sheetViews>
    <sheetView showGridLines="0" view="pageBreakPreview" topLeftCell="B1" zoomScale="115" zoomScaleNormal="100" zoomScaleSheetLayoutView="115" workbookViewId="0">
      <pane ySplit="6" topLeftCell="A7" activePane="bottomLeft" state="frozen"/>
      <selection activeCell="J59" sqref="J59"/>
      <selection pane="bottomLeft" activeCell="J59" sqref="J59"/>
    </sheetView>
  </sheetViews>
  <sheetFormatPr defaultRowHeight="12.75"/>
  <cols>
    <col min="1" max="1" width="21.28515625" style="5" customWidth="1"/>
    <col min="2" max="2" width="20" style="14" customWidth="1"/>
    <col min="3" max="3" width="23.140625" style="14" customWidth="1"/>
    <col min="4" max="5" width="13.5703125" style="5" customWidth="1"/>
    <col min="6" max="6" width="0.7109375" style="5" customWidth="1"/>
    <col min="7" max="8" width="13.5703125" style="5" customWidth="1"/>
    <col min="9" max="9" width="0.7109375" style="5" customWidth="1"/>
    <col min="10" max="10" width="13.5703125" style="5" customWidth="1"/>
    <col min="11" max="12" width="0.7109375" style="5" customWidth="1"/>
    <col min="13" max="13" width="20.42578125" style="5" customWidth="1"/>
    <col min="14" max="14" width="6.85546875" style="5" customWidth="1"/>
    <col min="15" max="17" width="10.7109375" style="5" customWidth="1"/>
    <col min="18" max="18" width="17.7109375" style="5" customWidth="1"/>
    <col min="19" max="16384" width="9.140625" style="5"/>
  </cols>
  <sheetData>
    <row r="1" spans="1:16" ht="12" customHeight="1" thickBot="1">
      <c r="B1" s="1" t="s">
        <v>22</v>
      </c>
      <c r="C1" s="2"/>
      <c r="D1" s="3"/>
      <c r="E1" s="4"/>
      <c r="F1" s="2"/>
      <c r="G1" s="4"/>
    </row>
    <row r="2" spans="1:16" ht="12" customHeight="1">
      <c r="B2" s="1" t="s">
        <v>240</v>
      </c>
      <c r="C2" s="2"/>
      <c r="D2" s="51" t="s">
        <v>294</v>
      </c>
      <c r="E2" s="4"/>
      <c r="F2" s="2"/>
      <c r="G2" s="4"/>
      <c r="M2" s="66" t="s">
        <v>292</v>
      </c>
      <c r="N2" s="69">
        <f>SUM(J12:J16)+J33</f>
        <v>173.70833333333334</v>
      </c>
      <c r="O2" s="61"/>
      <c r="P2" s="61"/>
    </row>
    <row r="3" spans="1:16" ht="12" customHeight="1">
      <c r="B3" s="105">
        <v>2017</v>
      </c>
      <c r="C3" s="2"/>
      <c r="D3" s="3"/>
      <c r="E3" s="4"/>
      <c r="F3" s="2"/>
      <c r="G3" s="4"/>
      <c r="M3" s="67" t="s">
        <v>293</v>
      </c>
      <c r="N3" s="70">
        <v>0</v>
      </c>
      <c r="O3" s="61"/>
      <c r="P3" s="61"/>
    </row>
    <row r="4" spans="1:16" ht="12" customHeight="1">
      <c r="B4" s="2"/>
      <c r="C4" s="8"/>
      <c r="D4" s="9" t="s">
        <v>317</v>
      </c>
      <c r="E4" s="10">
        <v>2017</v>
      </c>
      <c r="F4" s="2"/>
      <c r="G4" s="54">
        <v>2017</v>
      </c>
      <c r="H4" s="54" t="s">
        <v>331</v>
      </c>
      <c r="I4" s="57"/>
      <c r="J4" s="82">
        <v>2017</v>
      </c>
      <c r="M4" s="67" t="s">
        <v>291</v>
      </c>
      <c r="N4" s="70">
        <f>SUM(J27:J32)</f>
        <v>20.291677777777778</v>
      </c>
      <c r="O4" s="61"/>
      <c r="P4" s="61"/>
    </row>
    <row r="5" spans="1:16" ht="12" customHeight="1" thickBot="1">
      <c r="B5" s="11" t="s">
        <v>1</v>
      </c>
      <c r="C5" s="8" t="s">
        <v>2</v>
      </c>
      <c r="D5" s="12" t="s">
        <v>3</v>
      </c>
      <c r="E5" s="10" t="s">
        <v>4</v>
      </c>
      <c r="F5" s="8"/>
      <c r="G5" s="13" t="s">
        <v>5</v>
      </c>
      <c r="H5" s="13" t="s">
        <v>330</v>
      </c>
      <c r="I5" s="49"/>
      <c r="J5" s="82" t="s">
        <v>333</v>
      </c>
      <c r="M5" s="68" t="s">
        <v>246</v>
      </c>
      <c r="N5" s="71">
        <v>0</v>
      </c>
      <c r="O5" s="61"/>
      <c r="P5" s="61"/>
    </row>
    <row r="6" spans="1:16" ht="5.25" customHeight="1"/>
    <row r="7" spans="1:16" s="4" customFormat="1" ht="5.25" customHeight="1">
      <c r="C7" s="2"/>
      <c r="D7" s="3"/>
      <c r="F7" s="2"/>
    </row>
    <row r="8" spans="1:16" s="4" customFormat="1" ht="5.25" customHeight="1">
      <c r="D8" s="3"/>
      <c r="F8" s="15"/>
      <c r="J8" s="49"/>
    </row>
    <row r="9" spans="1:16" s="4" customFormat="1" ht="12" customHeight="1">
      <c r="B9" s="16" t="s">
        <v>6</v>
      </c>
      <c r="C9" s="16" t="s">
        <v>6</v>
      </c>
      <c r="D9" s="3"/>
      <c r="F9" s="15"/>
      <c r="J9" s="49"/>
    </row>
    <row r="10" spans="1:16" s="4" customFormat="1" ht="5.25" customHeight="1">
      <c r="B10" s="16"/>
      <c r="C10" s="16"/>
      <c r="D10" s="3"/>
      <c r="F10" s="15"/>
    </row>
    <row r="11" spans="1:16" s="4" customFormat="1" ht="12" customHeight="1">
      <c r="B11" s="17" t="s">
        <v>7</v>
      </c>
      <c r="C11" s="17" t="s">
        <v>7</v>
      </c>
      <c r="D11" s="18"/>
      <c r="E11" s="21"/>
      <c r="F11" s="18"/>
      <c r="G11" s="20"/>
    </row>
    <row r="12" spans="1:16" s="4" customFormat="1" ht="12" customHeight="1">
      <c r="A12" s="4" t="str">
        <f t="shared" ref="A12:A20" si="0">"HARRINGTON"&amp;"RESIDENTIAL"&amp;B12</f>
        <v>HARRINGTONRESIDENTIALRL032.0G1W001</v>
      </c>
      <c r="B12" s="5" t="s">
        <v>27</v>
      </c>
      <c r="C12" s="5" t="s">
        <v>28</v>
      </c>
      <c r="D12" s="18">
        <v>9.5</v>
      </c>
      <c r="E12" s="21">
        <v>1004.63</v>
      </c>
      <c r="F12" s="18"/>
      <c r="G12" s="20">
        <f>E12/D12</f>
        <v>105.75052631578947</v>
      </c>
      <c r="H12" s="20">
        <f>G12/12</f>
        <v>8.8125438596491232</v>
      </c>
      <c r="I12" s="20"/>
      <c r="J12" s="20">
        <v>0</v>
      </c>
    </row>
    <row r="13" spans="1:16" s="4" customFormat="1" ht="12" customHeight="1">
      <c r="A13" s="4" t="str">
        <f t="shared" si="0"/>
        <v>HARRINGTONRESIDENTIALRL032.0G1W002</v>
      </c>
      <c r="B13" s="5" t="s">
        <v>29</v>
      </c>
      <c r="C13" s="5" t="s">
        <v>30</v>
      </c>
      <c r="D13" s="59">
        <v>10.5</v>
      </c>
      <c r="E13" s="21">
        <v>252</v>
      </c>
      <c r="F13" s="18"/>
      <c r="G13" s="20">
        <f t="shared" ref="G13:G16" si="1">E13/D13</f>
        <v>24</v>
      </c>
      <c r="H13" s="20">
        <f t="shared" ref="H13:H16" si="2">G13/12</f>
        <v>2</v>
      </c>
      <c r="I13" s="20"/>
      <c r="J13" s="20">
        <v>0</v>
      </c>
    </row>
    <row r="14" spans="1:16" s="4" customFormat="1" ht="12" customHeight="1">
      <c r="A14" s="4" t="str">
        <f t="shared" si="0"/>
        <v>HARRINGTONRESIDENTIALRL065.0G1W001</v>
      </c>
      <c r="B14" s="5" t="s">
        <v>33</v>
      </c>
      <c r="C14" s="5" t="s">
        <v>34</v>
      </c>
      <c r="D14" s="59">
        <v>9</v>
      </c>
      <c r="E14" s="21">
        <v>1982.25</v>
      </c>
      <c r="F14" s="18"/>
      <c r="G14" s="20">
        <f t="shared" si="1"/>
        <v>220.25</v>
      </c>
      <c r="H14" s="20">
        <f t="shared" si="2"/>
        <v>18.354166666666668</v>
      </c>
      <c r="I14" s="20"/>
      <c r="J14" s="20">
        <f t="shared" ref="J14:J15" si="3">H14*1</f>
        <v>18.354166666666668</v>
      </c>
    </row>
    <row r="15" spans="1:16" s="4" customFormat="1" ht="12" customHeight="1">
      <c r="A15" s="4" t="str">
        <f t="shared" si="0"/>
        <v>HARRINGTONRESIDENTIALRL090.0G1W001</v>
      </c>
      <c r="B15" s="5" t="s">
        <v>37</v>
      </c>
      <c r="C15" s="5" t="s">
        <v>38</v>
      </c>
      <c r="D15" s="59">
        <v>10</v>
      </c>
      <c r="E15" s="21">
        <v>16150</v>
      </c>
      <c r="F15" s="18"/>
      <c r="G15" s="20">
        <f t="shared" si="1"/>
        <v>1615</v>
      </c>
      <c r="H15" s="20">
        <f t="shared" si="2"/>
        <v>134.58333333333334</v>
      </c>
      <c r="I15" s="20"/>
      <c r="J15" s="20">
        <f t="shared" si="3"/>
        <v>134.58333333333334</v>
      </c>
    </row>
    <row r="16" spans="1:16" s="4" customFormat="1" ht="12" customHeight="1">
      <c r="A16" s="4" t="str">
        <f t="shared" si="0"/>
        <v>HARRINGTONRESIDENTIALRL090.0G1W002</v>
      </c>
      <c r="B16" s="5" t="s">
        <v>39</v>
      </c>
      <c r="C16" s="5" t="s">
        <v>40</v>
      </c>
      <c r="D16" s="59">
        <v>20</v>
      </c>
      <c r="E16" s="21">
        <v>720</v>
      </c>
      <c r="F16" s="18"/>
      <c r="G16" s="20">
        <f t="shared" si="1"/>
        <v>36</v>
      </c>
      <c r="H16" s="20">
        <f t="shared" si="2"/>
        <v>3</v>
      </c>
      <c r="I16" s="20"/>
      <c r="J16" s="20">
        <f>H16*2</f>
        <v>6</v>
      </c>
    </row>
    <row r="17" spans="1:10" s="4" customFormat="1" ht="12" customHeight="1">
      <c r="A17" s="4" t="str">
        <f t="shared" si="0"/>
        <v>HARRINGTONRESIDENTIALEXTRA-RES</v>
      </c>
      <c r="B17" s="5" t="s">
        <v>45</v>
      </c>
      <c r="C17" s="5" t="s">
        <v>46</v>
      </c>
      <c r="D17" s="59">
        <v>1.8</v>
      </c>
      <c r="E17" s="21">
        <v>255.60000000000002</v>
      </c>
      <c r="F17" s="18"/>
      <c r="G17" s="20"/>
      <c r="H17" s="20"/>
      <c r="I17" s="20"/>
      <c r="J17" s="20"/>
    </row>
    <row r="18" spans="1:10" s="4" customFormat="1" ht="12" customHeight="1">
      <c r="A18" s="4" t="str">
        <f t="shared" si="0"/>
        <v>HARRINGTONRESIDENTIALOS-RES</v>
      </c>
      <c r="B18" s="5" t="s">
        <v>51</v>
      </c>
      <c r="C18" s="5" t="s">
        <v>52</v>
      </c>
      <c r="D18" s="59">
        <v>3</v>
      </c>
      <c r="E18" s="21">
        <v>0</v>
      </c>
      <c r="F18" s="18"/>
      <c r="G18" s="20"/>
      <c r="H18" s="20"/>
      <c r="I18" s="20"/>
      <c r="J18" s="20"/>
    </row>
    <row r="19" spans="1:10" s="4" customFormat="1" ht="12" customHeight="1">
      <c r="A19" s="4" t="str">
        <f t="shared" si="0"/>
        <v>HARRINGTONRESIDENTIALEXTRYDG-RES</v>
      </c>
      <c r="B19" s="5" t="s">
        <v>47</v>
      </c>
      <c r="C19" s="5" t="s">
        <v>48</v>
      </c>
      <c r="D19" s="59">
        <v>9.5</v>
      </c>
      <c r="E19" s="21">
        <v>14.25</v>
      </c>
      <c r="F19" s="18"/>
      <c r="G19" s="20"/>
      <c r="H19" s="20"/>
      <c r="I19" s="20"/>
      <c r="J19" s="20"/>
    </row>
    <row r="20" spans="1:10" s="2" customFormat="1" ht="12" customHeight="1">
      <c r="A20" s="4" t="str">
        <f t="shared" si="0"/>
        <v>HARRINGTONRESIDENTIALDIST-RES</v>
      </c>
      <c r="B20" s="5" t="s">
        <v>55</v>
      </c>
      <c r="C20" s="5" t="s">
        <v>56</v>
      </c>
      <c r="D20" s="59">
        <v>1.25</v>
      </c>
      <c r="E20" s="21">
        <v>30</v>
      </c>
      <c r="F20" s="18"/>
      <c r="G20" s="20"/>
      <c r="H20" s="20"/>
      <c r="I20" s="19"/>
      <c r="J20" s="19"/>
    </row>
    <row r="21" spans="1:10" s="4" customFormat="1" ht="5.25" customHeight="1" thickBot="1">
      <c r="B21" s="22"/>
      <c r="C21" s="22"/>
      <c r="D21" s="18"/>
      <c r="E21" s="21"/>
      <c r="F21" s="18"/>
      <c r="G21" s="20"/>
      <c r="H21" s="20"/>
      <c r="I21" s="20"/>
      <c r="J21" s="20"/>
    </row>
    <row r="22" spans="1:10" s="2" customFormat="1" ht="12" customHeight="1" thickBot="1">
      <c r="B22" s="23"/>
      <c r="C22" s="24" t="s">
        <v>8</v>
      </c>
      <c r="D22" s="18"/>
      <c r="E22" s="25">
        <f t="shared" ref="E22" si="4">SUM(E12:E21)</f>
        <v>20408.73</v>
      </c>
      <c r="F22" s="18"/>
      <c r="G22" s="64">
        <f>SUM(G12:G16)</f>
        <v>2001.0005263157896</v>
      </c>
      <c r="H22" s="64">
        <f>SUM(H12:H16)</f>
        <v>166.75004385964914</v>
      </c>
      <c r="I22" s="19"/>
      <c r="J22" s="64">
        <f>SUM(J12:J16)</f>
        <v>158.9375</v>
      </c>
    </row>
    <row r="23" spans="1:10" s="4" customFormat="1" ht="5.25" customHeight="1">
      <c r="D23" s="18"/>
      <c r="E23" s="21"/>
      <c r="F23" s="18"/>
      <c r="G23" s="20"/>
      <c r="H23" s="20"/>
      <c r="I23" s="20"/>
      <c r="J23" s="20"/>
    </row>
    <row r="24" spans="1:10" ht="12" customHeight="1">
      <c r="B24" s="29" t="s">
        <v>9</v>
      </c>
      <c r="C24" s="29" t="s">
        <v>9</v>
      </c>
      <c r="G24" s="91"/>
      <c r="H24" s="91"/>
      <c r="I24" s="91"/>
      <c r="J24" s="91"/>
    </row>
    <row r="25" spans="1:10" ht="5.25" customHeight="1">
      <c r="B25" s="29"/>
      <c r="C25" s="29"/>
      <c r="G25" s="91"/>
      <c r="H25" s="91"/>
      <c r="I25" s="91"/>
      <c r="J25" s="91"/>
    </row>
    <row r="26" spans="1:10" s="4" customFormat="1" ht="12" customHeight="1">
      <c r="B26" s="17" t="s">
        <v>10</v>
      </c>
      <c r="C26" s="17" t="s">
        <v>10</v>
      </c>
      <c r="D26" s="18"/>
      <c r="E26" s="21"/>
      <c r="F26" s="18"/>
      <c r="G26" s="20"/>
      <c r="H26" s="20"/>
      <c r="I26" s="20"/>
      <c r="J26" s="20"/>
    </row>
    <row r="27" spans="1:10" s="4" customFormat="1" ht="12" customHeight="1">
      <c r="A27" s="4" t="str">
        <f>"HARRINGTON"&amp;"COMMERCIAL"&amp;B27</f>
        <v>HARRINGTONCOMMERCIALRL001.0Y1W001</v>
      </c>
      <c r="B27" s="5" t="s">
        <v>61</v>
      </c>
      <c r="C27" s="5" t="s">
        <v>62</v>
      </c>
      <c r="D27" s="59">
        <v>25</v>
      </c>
      <c r="E27" s="21">
        <v>2350</v>
      </c>
      <c r="F27" s="18"/>
      <c r="G27" s="20">
        <f>E27/D27</f>
        <v>94</v>
      </c>
      <c r="H27" s="20">
        <f t="shared" ref="H27:H33" si="5">G27/12</f>
        <v>7.833333333333333</v>
      </c>
      <c r="I27" s="20"/>
      <c r="J27" s="20">
        <f>H27*1</f>
        <v>7.833333333333333</v>
      </c>
    </row>
    <row r="28" spans="1:10" s="4" customFormat="1" ht="12" customHeight="1">
      <c r="A28" s="4" t="str">
        <f t="shared" ref="A28:A37" si="6">"HARRINGTON"&amp;"COMMERCIAL"&amp;B28</f>
        <v>HARRINGTONCOMMERCIALRL001.0Y1W002</v>
      </c>
      <c r="B28" s="5" t="s">
        <v>233</v>
      </c>
      <c r="C28" s="5" t="s">
        <v>234</v>
      </c>
      <c r="D28" s="59">
        <v>50</v>
      </c>
      <c r="E28" s="21">
        <v>125</v>
      </c>
      <c r="F28" s="18"/>
      <c r="G28" s="20">
        <f t="shared" ref="G28:G33" si="7">E28/D28</f>
        <v>2.5</v>
      </c>
      <c r="H28" s="20">
        <f t="shared" si="5"/>
        <v>0.20833333333333334</v>
      </c>
      <c r="I28" s="20"/>
      <c r="J28" s="20">
        <f>H28*2</f>
        <v>0.41666666666666669</v>
      </c>
    </row>
    <row r="29" spans="1:10" s="4" customFormat="1" ht="12" customHeight="1">
      <c r="A29" s="4" t="str">
        <f t="shared" si="6"/>
        <v>HARRINGTONCOMMERCIALRL001.5Y1W001</v>
      </c>
      <c r="B29" s="5" t="s">
        <v>63</v>
      </c>
      <c r="C29" s="5" t="s">
        <v>64</v>
      </c>
      <c r="D29" s="59">
        <v>37.5</v>
      </c>
      <c r="E29" s="21">
        <v>1528.13</v>
      </c>
      <c r="F29" s="18"/>
      <c r="G29" s="20">
        <f t="shared" si="7"/>
        <v>40.750133333333338</v>
      </c>
      <c r="H29" s="20">
        <f t="shared" si="5"/>
        <v>3.3958444444444447</v>
      </c>
      <c r="I29" s="20"/>
      <c r="J29" s="20">
        <f t="shared" ref="J29:J33" si="8">H29*1</f>
        <v>3.3958444444444447</v>
      </c>
    </row>
    <row r="30" spans="1:10" s="4" customFormat="1" ht="12" customHeight="1">
      <c r="A30" s="4" t="str">
        <f t="shared" si="6"/>
        <v>HARRINGTONCOMMERCIALRL002.0Y1W001</v>
      </c>
      <c r="B30" s="5" t="s">
        <v>67</v>
      </c>
      <c r="C30" s="5" t="s">
        <v>68</v>
      </c>
      <c r="D30" s="59">
        <v>50</v>
      </c>
      <c r="E30" s="21">
        <v>3925</v>
      </c>
      <c r="F30" s="18"/>
      <c r="G30" s="20">
        <f t="shared" si="7"/>
        <v>78.5</v>
      </c>
      <c r="H30" s="20">
        <f t="shared" si="5"/>
        <v>6.541666666666667</v>
      </c>
      <c r="I30" s="20"/>
      <c r="J30" s="20">
        <f t="shared" si="8"/>
        <v>6.541666666666667</v>
      </c>
    </row>
    <row r="31" spans="1:10" s="4" customFormat="1" ht="12" customHeight="1">
      <c r="A31" s="4" t="str">
        <f t="shared" si="6"/>
        <v>HARRINGTONCOMMERCIALRL003.0Y1W001</v>
      </c>
      <c r="B31" s="5" t="s">
        <v>69</v>
      </c>
      <c r="C31" s="5" t="s">
        <v>70</v>
      </c>
      <c r="D31" s="59">
        <v>75</v>
      </c>
      <c r="E31" s="21">
        <v>993.75</v>
      </c>
      <c r="F31" s="18"/>
      <c r="G31" s="20">
        <f t="shared" si="7"/>
        <v>13.25</v>
      </c>
      <c r="H31" s="20">
        <f t="shared" si="5"/>
        <v>1.1041666666666667</v>
      </c>
      <c r="I31" s="20"/>
      <c r="J31" s="20">
        <f t="shared" si="8"/>
        <v>1.1041666666666667</v>
      </c>
    </row>
    <row r="32" spans="1:10" s="4" customFormat="1" ht="12" customHeight="1">
      <c r="A32" s="4" t="str">
        <f t="shared" si="6"/>
        <v>HARRINGTONCOMMERCIALRL006.0Y1W001</v>
      </c>
      <c r="B32" s="5" t="s">
        <v>77</v>
      </c>
      <c r="C32" s="5" t="s">
        <v>78</v>
      </c>
      <c r="D32" s="59">
        <v>150</v>
      </c>
      <c r="E32" s="21">
        <v>1800</v>
      </c>
      <c r="F32" s="18"/>
      <c r="G32" s="20">
        <f t="shared" si="7"/>
        <v>12</v>
      </c>
      <c r="H32" s="20">
        <f t="shared" si="5"/>
        <v>1</v>
      </c>
      <c r="I32" s="20"/>
      <c r="J32" s="20">
        <f t="shared" si="8"/>
        <v>1</v>
      </c>
    </row>
    <row r="33" spans="1:10" s="4" customFormat="1" ht="12" customHeight="1">
      <c r="A33" s="4" t="str">
        <f t="shared" si="6"/>
        <v>HARRINGTONCOMMERCIALRL090.0G1W001COMM</v>
      </c>
      <c r="B33" s="5" t="s">
        <v>87</v>
      </c>
      <c r="C33" s="5" t="s">
        <v>88</v>
      </c>
      <c r="D33" s="59">
        <v>10</v>
      </c>
      <c r="E33" s="21">
        <v>1772.5</v>
      </c>
      <c r="F33" s="18"/>
      <c r="G33" s="20">
        <f t="shared" si="7"/>
        <v>177.25</v>
      </c>
      <c r="H33" s="20">
        <f t="shared" si="5"/>
        <v>14.770833333333334</v>
      </c>
      <c r="I33" s="20"/>
      <c r="J33" s="20">
        <f t="shared" si="8"/>
        <v>14.770833333333334</v>
      </c>
    </row>
    <row r="34" spans="1:10" s="4" customFormat="1" ht="10.5" customHeight="1">
      <c r="A34" s="4" t="str">
        <f t="shared" si="6"/>
        <v>HARRINGTONCOMMERCIALEXTRA-COMM</v>
      </c>
      <c r="B34" s="5" t="s">
        <v>105</v>
      </c>
      <c r="C34" s="5" t="s">
        <v>106</v>
      </c>
      <c r="D34" s="59">
        <v>1.8</v>
      </c>
      <c r="E34" s="21">
        <v>70.2</v>
      </c>
      <c r="F34" s="18"/>
      <c r="G34" s="20"/>
      <c r="H34" s="20"/>
      <c r="I34" s="20"/>
      <c r="J34" s="20"/>
    </row>
    <row r="35" spans="1:10" s="4" customFormat="1" ht="12" customHeight="1">
      <c r="A35" s="4" t="str">
        <f t="shared" si="6"/>
        <v>HARRINGTONCOMMERCIALEXTRAYDG-COMM</v>
      </c>
      <c r="B35" s="5" t="s">
        <v>107</v>
      </c>
      <c r="C35" s="5" t="s">
        <v>108</v>
      </c>
      <c r="D35" s="59">
        <v>9.5</v>
      </c>
      <c r="E35" s="21">
        <v>304</v>
      </c>
      <c r="F35" s="18"/>
      <c r="G35" s="20"/>
      <c r="H35" s="20"/>
      <c r="I35" s="20"/>
      <c r="J35" s="20"/>
    </row>
    <row r="36" spans="1:10" s="2" customFormat="1" ht="12" customHeight="1">
      <c r="A36" s="4" t="str">
        <f t="shared" si="6"/>
        <v>HARRINGTONCOMMERCIALFUEL-COMM</v>
      </c>
      <c r="B36" s="5" t="s">
        <v>237</v>
      </c>
      <c r="C36" s="5" t="s">
        <v>238</v>
      </c>
      <c r="D36" s="59">
        <v>0</v>
      </c>
      <c r="E36" s="21">
        <v>3620.9100000000003</v>
      </c>
      <c r="F36" s="18"/>
      <c r="G36" s="20"/>
      <c r="H36" s="20"/>
      <c r="I36" s="19"/>
      <c r="J36" s="19"/>
    </row>
    <row r="37" spans="1:10" s="2" customFormat="1" ht="12" customHeight="1">
      <c r="A37" s="4" t="str">
        <f t="shared" si="6"/>
        <v>HARRINGTONCOMMERCIALDISP-COMM</v>
      </c>
      <c r="B37" s="78" t="s">
        <v>268</v>
      </c>
      <c r="C37" s="78" t="s">
        <v>269</v>
      </c>
      <c r="D37" s="79">
        <v>0</v>
      </c>
      <c r="E37" s="80">
        <v>-26620.499999999996</v>
      </c>
      <c r="F37" s="18"/>
      <c r="G37" s="20"/>
      <c r="H37" s="20"/>
      <c r="I37" s="19"/>
      <c r="J37" s="19"/>
    </row>
    <row r="38" spans="1:10" s="4" customFormat="1" ht="5.25" customHeight="1" thickBot="1">
      <c r="B38" s="30"/>
      <c r="C38" s="30"/>
      <c r="D38" s="18"/>
      <c r="E38" s="21"/>
      <c r="F38" s="18"/>
      <c r="G38" s="20"/>
      <c r="H38" s="20"/>
      <c r="I38" s="20"/>
      <c r="J38" s="20"/>
    </row>
    <row r="39" spans="1:10" s="4" customFormat="1" ht="12" customHeight="1" thickBot="1">
      <c r="B39" s="30"/>
      <c r="C39" s="31" t="s">
        <v>11</v>
      </c>
      <c r="D39" s="18"/>
      <c r="E39" s="25">
        <f>SUM(E27:E38)</f>
        <v>-10131.009999999995</v>
      </c>
      <c r="F39" s="18"/>
      <c r="G39" s="64">
        <f>SUM(G27:G33)</f>
        <v>418.25013333333334</v>
      </c>
      <c r="H39" s="64">
        <f>SUM(H27:H33)</f>
        <v>34.854177777777778</v>
      </c>
      <c r="I39" s="20"/>
      <c r="J39" s="64">
        <f>SUM(J27:J33)</f>
        <v>35.062511111111114</v>
      </c>
    </row>
    <row r="40" spans="1:10" ht="5.25" customHeight="1">
      <c r="B40" s="2"/>
      <c r="C40" s="2"/>
    </row>
    <row r="41" spans="1:10" ht="5.25" customHeight="1">
      <c r="B41" s="23"/>
      <c r="C41" s="33"/>
    </row>
    <row r="42" spans="1:10" ht="12" customHeight="1">
      <c r="B42" s="6"/>
      <c r="C42" s="31" t="s">
        <v>21</v>
      </c>
      <c r="E42" s="25">
        <f>SUM(E22,E39)</f>
        <v>10277.720000000005</v>
      </c>
    </row>
    <row r="44" spans="1:10">
      <c r="D44" s="58" t="s">
        <v>295</v>
      </c>
      <c r="E44" s="52">
        <v>10277.720000000003</v>
      </c>
    </row>
    <row r="45" spans="1:10">
      <c r="D45" s="58" t="s">
        <v>312</v>
      </c>
      <c r="E45" s="47">
        <f>E44-E42</f>
        <v>0</v>
      </c>
    </row>
    <row r="47" spans="1:10">
      <c r="E47" s="47">
        <f>E42-E37</f>
        <v>36898.22</v>
      </c>
      <c r="F47" s="81" t="s">
        <v>332</v>
      </c>
    </row>
  </sheetData>
  <pageMargins left="0.25" right="0.25" top="0.75" bottom="0.75" header="0.3" footer="0.3"/>
  <pageSetup scale="94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 tint="0.39997558519241921"/>
    <pageSetUpPr fitToPage="1"/>
  </sheetPr>
  <dimension ref="A1:N22"/>
  <sheetViews>
    <sheetView showGridLines="0" view="pageBreakPreview" zoomScale="115" zoomScaleNormal="100" zoomScaleSheetLayoutView="115" workbookViewId="0">
      <pane xSplit="3" ySplit="6" topLeftCell="D7" activePane="bottomRight" state="frozen"/>
      <selection activeCell="J59" sqref="J59"/>
      <selection pane="topRight" activeCell="J59" sqref="J59"/>
      <selection pane="bottomLeft" activeCell="J59" sqref="J59"/>
      <selection pane="bottomRight" activeCell="J59" sqref="J59"/>
    </sheetView>
  </sheetViews>
  <sheetFormatPr defaultRowHeight="12.75"/>
  <cols>
    <col min="1" max="1" width="21.28515625" style="5" hidden="1" customWidth="1"/>
    <col min="2" max="2" width="20.28515625" style="14" customWidth="1"/>
    <col min="3" max="3" width="27.28515625" style="14" customWidth="1"/>
    <col min="4" max="5" width="14.140625" style="5" customWidth="1"/>
    <col min="6" max="6" width="1.140625" style="5" customWidth="1"/>
    <col min="7" max="8" width="14.140625" style="5" customWidth="1"/>
    <col min="9" max="9" width="1.140625" style="5" customWidth="1"/>
    <col min="10" max="10" width="14.140625" style="5" customWidth="1"/>
    <col min="11" max="12" width="1.140625" style="5" customWidth="1"/>
    <col min="13" max="13" width="27.140625" style="5" customWidth="1"/>
    <col min="14" max="14" width="6.85546875" style="5" customWidth="1"/>
    <col min="15" max="17" width="10.7109375" style="5" customWidth="1"/>
    <col min="18" max="18" width="17.7109375" style="5" customWidth="1"/>
    <col min="19" max="16384" width="9.140625" style="5"/>
  </cols>
  <sheetData>
    <row r="1" spans="1:14" ht="12" customHeight="1" thickBot="1">
      <c r="B1" s="1" t="s">
        <v>22</v>
      </c>
      <c r="C1" s="2"/>
      <c r="D1" s="3"/>
      <c r="E1" s="4"/>
      <c r="F1" s="4"/>
      <c r="G1" s="4"/>
    </row>
    <row r="2" spans="1:14" ht="12" customHeight="1">
      <c r="B2" s="1" t="s">
        <v>241</v>
      </c>
      <c r="C2" s="2"/>
      <c r="D2" s="51" t="s">
        <v>294</v>
      </c>
      <c r="E2" s="4"/>
      <c r="F2" s="4"/>
      <c r="G2" s="4"/>
      <c r="M2" s="66" t="s">
        <v>292</v>
      </c>
      <c r="N2" s="69">
        <f>SUM(J12:J14)</f>
        <v>41.541760726763528</v>
      </c>
    </row>
    <row r="3" spans="1:14" ht="12" customHeight="1">
      <c r="B3" s="105">
        <v>2017</v>
      </c>
      <c r="C3" s="2"/>
      <c r="D3" s="3"/>
      <c r="E3" s="4"/>
      <c r="F3" s="4"/>
      <c r="G3" s="4"/>
      <c r="M3" s="67" t="s">
        <v>293</v>
      </c>
      <c r="N3" s="70">
        <v>0</v>
      </c>
    </row>
    <row r="4" spans="1:14" ht="12" customHeight="1">
      <c r="B4" s="2"/>
      <c r="C4" s="8"/>
      <c r="D4" s="9" t="s">
        <v>317</v>
      </c>
      <c r="E4" s="10">
        <v>2017</v>
      </c>
      <c r="F4" s="4"/>
      <c r="G4" s="54">
        <v>2017</v>
      </c>
      <c r="H4" s="54" t="s">
        <v>331</v>
      </c>
      <c r="J4" s="82">
        <v>2017</v>
      </c>
      <c r="M4" s="67" t="s">
        <v>291</v>
      </c>
      <c r="N4" s="70">
        <v>0</v>
      </c>
    </row>
    <row r="5" spans="1:14" ht="12" customHeight="1" thickBot="1">
      <c r="B5" s="11" t="s">
        <v>1</v>
      </c>
      <c r="C5" s="8" t="s">
        <v>2</v>
      </c>
      <c r="D5" s="12" t="s">
        <v>3</v>
      </c>
      <c r="E5" s="10" t="s">
        <v>4</v>
      </c>
      <c r="F5" s="4"/>
      <c r="G5" s="13" t="s">
        <v>5</v>
      </c>
      <c r="H5" s="13" t="s">
        <v>330</v>
      </c>
      <c r="J5" s="82" t="s">
        <v>333</v>
      </c>
      <c r="M5" s="68" t="s">
        <v>246</v>
      </c>
      <c r="N5" s="71">
        <v>0</v>
      </c>
    </row>
    <row r="6" spans="1:14" ht="5.25" customHeight="1"/>
    <row r="7" spans="1:14" s="4" customFormat="1" ht="5.25" customHeight="1">
      <c r="C7" s="2"/>
      <c r="D7" s="3"/>
    </row>
    <row r="8" spans="1:14" s="4" customFormat="1" ht="5.25" customHeight="1">
      <c r="D8" s="3"/>
      <c r="J8" s="20"/>
    </row>
    <row r="9" spans="1:14" s="4" customFormat="1" ht="12" customHeight="1">
      <c r="B9" s="16" t="s">
        <v>6</v>
      </c>
      <c r="C9" s="16" t="s">
        <v>6</v>
      </c>
      <c r="D9" s="3"/>
      <c r="J9" s="20"/>
    </row>
    <row r="10" spans="1:14" s="4" customFormat="1" ht="5.25" customHeight="1">
      <c r="B10" s="16"/>
      <c r="C10" s="16"/>
      <c r="D10" s="3"/>
    </row>
    <row r="11" spans="1:14" s="4" customFormat="1" ht="12" customHeight="1">
      <c r="B11" s="17" t="s">
        <v>7</v>
      </c>
      <c r="C11" s="17" t="s">
        <v>7</v>
      </c>
      <c r="D11" s="18"/>
      <c r="E11" s="21"/>
      <c r="G11" s="20"/>
    </row>
    <row r="12" spans="1:14" s="4" customFormat="1" ht="12" customHeight="1">
      <c r="A12" s="4" t="str">
        <f t="shared" ref="A12:A14" si="0">"LATAH COUNTY"&amp;"RESIDENTIAL"&amp;B12</f>
        <v>LATAH COUNTYRESIDENTIALRL032.0G1W001</v>
      </c>
      <c r="B12" s="5" t="s">
        <v>27</v>
      </c>
      <c r="C12" s="5" t="s">
        <v>28</v>
      </c>
      <c r="D12" s="21">
        <v>18.2</v>
      </c>
      <c r="E12" s="21">
        <v>2602.6000000000004</v>
      </c>
      <c r="G12" s="20">
        <f>E12/D12</f>
        <v>143.00000000000003</v>
      </c>
      <c r="H12" s="88">
        <f>G12/12</f>
        <v>11.91666666666667</v>
      </c>
      <c r="I12" s="88"/>
      <c r="J12" s="88">
        <v>0</v>
      </c>
    </row>
    <row r="13" spans="1:14" s="4" customFormat="1" ht="12" customHeight="1">
      <c r="B13" s="61" t="s">
        <v>33</v>
      </c>
      <c r="C13" s="61" t="s">
        <v>34</v>
      </c>
      <c r="D13" s="21">
        <v>25.91</v>
      </c>
      <c r="E13" s="21">
        <v>479.34000000000009</v>
      </c>
      <c r="G13" s="20">
        <f t="shared" ref="G13:G14" si="1">E13/D13</f>
        <v>18.500192975685067</v>
      </c>
      <c r="H13" s="88">
        <f>G13/12</f>
        <v>1.5416827479737556</v>
      </c>
      <c r="I13" s="88"/>
      <c r="J13" s="88">
        <f t="shared" ref="J13:J14" si="2">H13*1</f>
        <v>1.5416827479737556</v>
      </c>
    </row>
    <row r="14" spans="1:14" s="4" customFormat="1" ht="12" customHeight="1">
      <c r="A14" s="4" t="str">
        <f t="shared" si="0"/>
        <v>LATAH COUNTYRESIDENTIALRL090.0G1W001</v>
      </c>
      <c r="B14" s="5" t="s">
        <v>37</v>
      </c>
      <c r="C14" s="5" t="s">
        <v>38</v>
      </c>
      <c r="D14" s="21">
        <v>32.06</v>
      </c>
      <c r="E14" s="21">
        <v>15388.83</v>
      </c>
      <c r="G14" s="20">
        <f t="shared" si="1"/>
        <v>480.00093574547719</v>
      </c>
      <c r="H14" s="88">
        <f>G14/12</f>
        <v>40.000077978789768</v>
      </c>
      <c r="I14" s="88"/>
      <c r="J14" s="88">
        <f t="shared" si="2"/>
        <v>40.000077978789768</v>
      </c>
    </row>
    <row r="15" spans="1:14" s="4" customFormat="1" ht="5.25" customHeight="1" thickBot="1">
      <c r="B15" s="22"/>
      <c r="C15" s="22"/>
      <c r="D15" s="18"/>
      <c r="E15" s="21"/>
      <c r="G15" s="20"/>
    </row>
    <row r="16" spans="1:14" s="2" customFormat="1" ht="12" customHeight="1" thickBot="1">
      <c r="B16" s="23"/>
      <c r="C16" s="24" t="s">
        <v>8</v>
      </c>
      <c r="D16" s="18"/>
      <c r="E16" s="25">
        <f>SUM(E12:E15)</f>
        <v>18470.77</v>
      </c>
      <c r="G16" s="64">
        <f>SUM(G12:G14)</f>
        <v>641.50112872116233</v>
      </c>
      <c r="H16" s="64">
        <f>SUM(H12:H14)</f>
        <v>53.458427393430192</v>
      </c>
      <c r="J16" s="64">
        <f>SUM(J12:J14)</f>
        <v>41.541760726763528</v>
      </c>
    </row>
    <row r="17" spans="2:7" s="4" customFormat="1" ht="5.25" customHeight="1">
      <c r="D17" s="18"/>
      <c r="E17" s="21"/>
      <c r="G17" s="20"/>
    </row>
    <row r="18" spans="2:7" ht="5.25" customHeight="1">
      <c r="B18" s="23"/>
      <c r="C18" s="33"/>
    </row>
    <row r="19" spans="2:7" ht="12" customHeight="1">
      <c r="B19" s="6"/>
      <c r="C19" s="31" t="s">
        <v>21</v>
      </c>
      <c r="E19" s="25">
        <f>E16</f>
        <v>18470.77</v>
      </c>
    </row>
    <row r="20" spans="2:7" ht="9" customHeight="1">
      <c r="B20" s="6"/>
      <c r="C20" s="6"/>
    </row>
    <row r="21" spans="2:7">
      <c r="D21" s="58" t="s">
        <v>295</v>
      </c>
      <c r="E21" s="52">
        <v>18470.77</v>
      </c>
    </row>
    <row r="22" spans="2:7">
      <c r="D22" s="58" t="s">
        <v>312</v>
      </c>
      <c r="E22" s="47">
        <f>E21-E19</f>
        <v>0</v>
      </c>
    </row>
  </sheetData>
  <pageMargins left="0.25" right="0.25" top="0.75" bottom="0.75" header="0.3" footer="0.3"/>
  <pageSetup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0.39997558519241921"/>
    <pageSetUpPr fitToPage="1"/>
  </sheetPr>
  <dimension ref="A1:N55"/>
  <sheetViews>
    <sheetView showGridLines="0" view="pageBreakPreview" zoomScale="115" zoomScaleNormal="100" zoomScaleSheetLayoutView="115" workbookViewId="0">
      <pane xSplit="3" ySplit="6" topLeftCell="D10" activePane="bottomRight" state="frozen"/>
      <selection activeCell="J59" sqref="J59"/>
      <selection pane="topRight" activeCell="J59" sqref="J59"/>
      <selection pane="bottomLeft" activeCell="J59" sqref="J59"/>
      <selection pane="bottomRight" activeCell="J59" sqref="J59"/>
    </sheetView>
  </sheetViews>
  <sheetFormatPr defaultRowHeight="12.75"/>
  <cols>
    <col min="1" max="1" width="21.28515625" style="5" hidden="1" customWidth="1"/>
    <col min="2" max="2" width="24.140625" style="14" customWidth="1"/>
    <col min="3" max="3" width="26" style="14" customWidth="1"/>
    <col min="4" max="5" width="13.140625" style="5" customWidth="1"/>
    <col min="6" max="6" width="0.7109375" style="5" customWidth="1"/>
    <col min="7" max="7" width="13.140625" style="32" customWidth="1"/>
    <col min="8" max="8" width="13.140625" style="5" customWidth="1"/>
    <col min="9" max="9" width="0.7109375" style="5" customWidth="1"/>
    <col min="10" max="10" width="13.140625" style="5" customWidth="1"/>
    <col min="11" max="12" width="0.85546875" style="5" customWidth="1"/>
    <col min="13" max="13" width="22.5703125" style="5" customWidth="1"/>
    <col min="14" max="14" width="8.5703125" style="5" customWidth="1"/>
    <col min="15" max="17" width="10.7109375" style="5" customWidth="1"/>
    <col min="18" max="18" width="17.7109375" style="5" customWidth="1"/>
    <col min="19" max="16384" width="9.140625" style="5"/>
  </cols>
  <sheetData>
    <row r="1" spans="1:14" ht="12" customHeight="1" thickBot="1">
      <c r="B1" s="1" t="s">
        <v>22</v>
      </c>
      <c r="C1" s="2"/>
      <c r="D1" s="3"/>
      <c r="E1" s="4"/>
      <c r="F1" s="4"/>
      <c r="G1" s="7"/>
    </row>
    <row r="2" spans="1:14" ht="12" customHeight="1">
      <c r="B2" s="1" t="s">
        <v>242</v>
      </c>
      <c r="C2" s="2"/>
      <c r="D2" s="51" t="s">
        <v>294</v>
      </c>
      <c r="E2" s="4"/>
      <c r="F2" s="4"/>
      <c r="G2" s="7"/>
      <c r="M2" s="66" t="s">
        <v>292</v>
      </c>
      <c r="N2" s="69">
        <f>SUM(J12:J17,J33:J34)</f>
        <v>138.07456085736808</v>
      </c>
    </row>
    <row r="3" spans="1:14" ht="12" customHeight="1">
      <c r="B3" s="105">
        <v>2017</v>
      </c>
      <c r="C3" s="2"/>
      <c r="D3" s="3"/>
      <c r="E3" s="4"/>
      <c r="F3" s="4"/>
      <c r="G3" s="7"/>
      <c r="M3" s="67" t="s">
        <v>293</v>
      </c>
      <c r="N3" s="70">
        <v>0</v>
      </c>
    </row>
    <row r="4" spans="1:14" ht="12" customHeight="1">
      <c r="B4" s="2"/>
      <c r="C4" s="8"/>
      <c r="D4" s="9" t="s">
        <v>317</v>
      </c>
      <c r="E4" s="10">
        <v>2017</v>
      </c>
      <c r="F4" s="4"/>
      <c r="G4" s="54">
        <v>2017</v>
      </c>
      <c r="H4" s="54" t="s">
        <v>331</v>
      </c>
      <c r="J4" s="82">
        <v>2017</v>
      </c>
      <c r="M4" s="67" t="s">
        <v>291</v>
      </c>
      <c r="N4" s="70">
        <f>SUM(J29:J32)</f>
        <v>12.291670128791026</v>
      </c>
    </row>
    <row r="5" spans="1:14" ht="12" customHeight="1" thickBot="1">
      <c r="B5" s="11" t="s">
        <v>1</v>
      </c>
      <c r="C5" s="8" t="s">
        <v>2</v>
      </c>
      <c r="D5" s="12" t="s">
        <v>3</v>
      </c>
      <c r="E5" s="10" t="s">
        <v>4</v>
      </c>
      <c r="F5" s="4"/>
      <c r="G5" s="55" t="s">
        <v>5</v>
      </c>
      <c r="H5" s="13" t="s">
        <v>330</v>
      </c>
      <c r="J5" s="82" t="s">
        <v>333</v>
      </c>
      <c r="M5" s="68" t="s">
        <v>246</v>
      </c>
      <c r="N5" s="71">
        <v>0</v>
      </c>
    </row>
    <row r="6" spans="1:14" ht="3.75" customHeight="1">
      <c r="G6" s="48"/>
    </row>
    <row r="7" spans="1:14" s="4" customFormat="1" ht="3.75" customHeight="1">
      <c r="C7" s="2"/>
      <c r="D7" s="3"/>
      <c r="G7" s="7"/>
    </row>
    <row r="8" spans="1:14" s="4" customFormat="1" ht="3.75" customHeight="1">
      <c r="D8" s="3"/>
      <c r="G8" s="7"/>
      <c r="J8" s="49"/>
    </row>
    <row r="9" spans="1:14" s="4" customFormat="1" ht="12" customHeight="1">
      <c r="B9" s="16" t="s">
        <v>6</v>
      </c>
      <c r="C9" s="16" t="s">
        <v>6</v>
      </c>
      <c r="D9" s="3"/>
      <c r="G9" s="7"/>
      <c r="J9" s="49"/>
    </row>
    <row r="10" spans="1:14" s="4" customFormat="1" ht="3.75" customHeight="1">
      <c r="B10" s="16"/>
      <c r="C10" s="16"/>
      <c r="D10" s="3"/>
      <c r="G10" s="7"/>
    </row>
    <row r="11" spans="1:14" s="4" customFormat="1" ht="12" customHeight="1">
      <c r="B11" s="17" t="s">
        <v>7</v>
      </c>
      <c r="C11" s="17" t="s">
        <v>7</v>
      </c>
      <c r="D11" s="18"/>
      <c r="E11" s="21"/>
      <c r="G11" s="56"/>
    </row>
    <row r="12" spans="1:14" s="4" customFormat="1" ht="12" customHeight="1">
      <c r="A12" s="4" t="str">
        <f>"ROCKFORD"&amp;"RESIDENTIAL"&amp;B12</f>
        <v>ROCKFORDRESIDENTIALRL020.0G1W001</v>
      </c>
      <c r="B12" s="5" t="s">
        <v>23</v>
      </c>
      <c r="C12" s="5" t="s">
        <v>24</v>
      </c>
      <c r="D12" s="18">
        <v>10.8</v>
      </c>
      <c r="E12" s="21">
        <v>577.69999999999993</v>
      </c>
      <c r="G12" s="20">
        <f>IFERROR(E12/D12,0)</f>
        <v>53.490740740740733</v>
      </c>
      <c r="H12" s="20">
        <f>G12/12</f>
        <v>4.4575617283950608</v>
      </c>
      <c r="I12" s="20"/>
      <c r="J12" s="20">
        <v>0</v>
      </c>
    </row>
    <row r="13" spans="1:14" s="4" customFormat="1" ht="12" customHeight="1">
      <c r="A13" s="4" t="str">
        <f t="shared" ref="A13:A22" si="0">"ROCKFORD"&amp;"RESIDENTIAL"&amp;B13</f>
        <v>ROCKFORDRESIDENTIALRL032.0G1W001</v>
      </c>
      <c r="B13" s="5" t="s">
        <v>27</v>
      </c>
      <c r="C13" s="5" t="s">
        <v>28</v>
      </c>
      <c r="D13" s="59">
        <v>15.65</v>
      </c>
      <c r="E13" s="21">
        <v>5350.1299999999992</v>
      </c>
      <c r="G13" s="20">
        <f t="shared" ref="G13:G17" si="1">IFERROR(E13/D13,0)</f>
        <v>341.86134185303507</v>
      </c>
      <c r="H13" s="20">
        <f t="shared" ref="H13:H17" si="2">G13/12</f>
        <v>28.48844515441959</v>
      </c>
      <c r="I13" s="20"/>
      <c r="J13" s="20">
        <v>0</v>
      </c>
    </row>
    <row r="14" spans="1:14" s="4" customFormat="1" ht="12" customHeight="1">
      <c r="A14" s="4" t="str">
        <f t="shared" si="0"/>
        <v>ROCKFORDRESIDENTIALRL032.0G1W002</v>
      </c>
      <c r="B14" s="5" t="s">
        <v>29</v>
      </c>
      <c r="C14" s="5" t="s">
        <v>30</v>
      </c>
      <c r="D14" s="59">
        <v>19.600000000000001</v>
      </c>
      <c r="E14" s="21">
        <v>924</v>
      </c>
      <c r="G14" s="20">
        <f t="shared" si="1"/>
        <v>47.142857142857139</v>
      </c>
      <c r="H14" s="20">
        <f t="shared" si="2"/>
        <v>3.9285714285714284</v>
      </c>
      <c r="I14" s="20"/>
      <c r="J14" s="20">
        <v>0</v>
      </c>
    </row>
    <row r="15" spans="1:14" s="4" customFormat="1" ht="12" customHeight="1">
      <c r="A15" s="4" t="str">
        <f t="shared" si="0"/>
        <v>ROCKFORDRESIDENTIALRL065.0G1W001</v>
      </c>
      <c r="B15" s="5" t="s">
        <v>33</v>
      </c>
      <c r="C15" s="5" t="s">
        <v>34</v>
      </c>
      <c r="D15" s="59">
        <v>20.95</v>
      </c>
      <c r="E15" s="21">
        <v>82.4</v>
      </c>
      <c r="G15" s="20">
        <f t="shared" si="1"/>
        <v>3.9331742243436758</v>
      </c>
      <c r="H15" s="20">
        <f t="shared" si="2"/>
        <v>0.32776451869530632</v>
      </c>
      <c r="I15" s="20"/>
      <c r="J15" s="20">
        <f t="shared" ref="J15:J16" si="3">H15*1</f>
        <v>0.32776451869530632</v>
      </c>
    </row>
    <row r="16" spans="1:14" s="4" customFormat="1" ht="12" customHeight="1">
      <c r="A16" s="4" t="str">
        <f t="shared" si="0"/>
        <v>ROCKFORDRESIDENTIALRL090.0G1W001</v>
      </c>
      <c r="B16" s="5" t="s">
        <v>37</v>
      </c>
      <c r="C16" s="5" t="s">
        <v>38</v>
      </c>
      <c r="D16" s="59">
        <v>21.85</v>
      </c>
      <c r="E16" s="21">
        <v>32927.310000000005</v>
      </c>
      <c r="G16" s="20">
        <f t="shared" si="1"/>
        <v>1506.9707093821512</v>
      </c>
      <c r="H16" s="20">
        <f t="shared" si="2"/>
        <v>125.5808924485126</v>
      </c>
      <c r="I16" s="20"/>
      <c r="J16" s="20">
        <f t="shared" si="3"/>
        <v>125.5808924485126</v>
      </c>
    </row>
    <row r="17" spans="1:10" s="4" customFormat="1" ht="12" customHeight="1">
      <c r="A17" s="4" t="str">
        <f t="shared" si="0"/>
        <v>ROCKFORDRESIDENTIALRL090.0G1W002</v>
      </c>
      <c r="B17" s="5" t="s">
        <v>39</v>
      </c>
      <c r="C17" s="5" t="s">
        <v>40</v>
      </c>
      <c r="D17" s="59">
        <v>43.7</v>
      </c>
      <c r="E17" s="21">
        <v>1354.5</v>
      </c>
      <c r="G17" s="20">
        <f t="shared" si="1"/>
        <v>30.995423340961096</v>
      </c>
      <c r="H17" s="20">
        <f t="shared" si="2"/>
        <v>2.5829519450800915</v>
      </c>
      <c r="I17" s="20"/>
      <c r="J17" s="20">
        <f>H17*2</f>
        <v>5.165903890160183</v>
      </c>
    </row>
    <row r="18" spans="1:10" s="4" customFormat="1" ht="12" customHeight="1">
      <c r="A18" s="4" t="str">
        <f t="shared" si="0"/>
        <v>ROCKFORDRESIDENTIALEXTRA-RES</v>
      </c>
      <c r="B18" s="5" t="s">
        <v>45</v>
      </c>
      <c r="C18" s="5" t="s">
        <v>46</v>
      </c>
      <c r="D18" s="59">
        <v>3.1</v>
      </c>
      <c r="E18" s="21">
        <v>762.49999999999989</v>
      </c>
      <c r="G18" s="20"/>
      <c r="H18" s="20"/>
      <c r="I18" s="20"/>
      <c r="J18" s="20"/>
    </row>
    <row r="19" spans="1:10" s="4" customFormat="1" ht="12" customHeight="1">
      <c r="A19" s="4" t="str">
        <f t="shared" si="0"/>
        <v>ROCKFORDRESIDENTIALEXTRYDG-RES</v>
      </c>
      <c r="B19" s="5" t="s">
        <v>47</v>
      </c>
      <c r="C19" s="5" t="s">
        <v>48</v>
      </c>
      <c r="D19" s="59">
        <v>19.600000000000001</v>
      </c>
      <c r="E19" s="21">
        <v>0</v>
      </c>
      <c r="G19" s="20"/>
      <c r="H19" s="20"/>
      <c r="I19" s="20"/>
      <c r="J19" s="20"/>
    </row>
    <row r="20" spans="1:10" s="4" customFormat="1" ht="12" customHeight="1">
      <c r="A20" s="4" t="str">
        <f t="shared" si="0"/>
        <v>ROCKFORDRESIDENTIALOS-RES</v>
      </c>
      <c r="B20" s="5" t="s">
        <v>51</v>
      </c>
      <c r="C20" s="5" t="s">
        <v>52</v>
      </c>
      <c r="D20" s="59">
        <v>3.1</v>
      </c>
      <c r="E20" s="21">
        <v>9.1499999999999986</v>
      </c>
      <c r="G20" s="20"/>
      <c r="H20" s="20"/>
      <c r="I20" s="20"/>
      <c r="J20" s="20"/>
    </row>
    <row r="21" spans="1:10" s="4" customFormat="1" ht="12" customHeight="1">
      <c r="A21" s="4" t="str">
        <f t="shared" si="0"/>
        <v>ROCKFORDRESIDENTIALOW-RES</v>
      </c>
      <c r="B21" s="5" t="s">
        <v>53</v>
      </c>
      <c r="C21" s="5" t="s">
        <v>54</v>
      </c>
      <c r="D21" s="59">
        <v>3.1</v>
      </c>
      <c r="E21" s="21">
        <v>12.2</v>
      </c>
      <c r="G21" s="20"/>
      <c r="H21" s="20"/>
      <c r="I21" s="20"/>
      <c r="J21" s="20"/>
    </row>
    <row r="22" spans="1:10" s="4" customFormat="1" ht="12" customHeight="1">
      <c r="A22" s="4" t="str">
        <f t="shared" si="0"/>
        <v>ROCKFORDRESIDENTIALDRIVEIN1-RES</v>
      </c>
      <c r="B22" s="5" t="s">
        <v>300</v>
      </c>
      <c r="C22" s="5" t="s">
        <v>301</v>
      </c>
      <c r="D22" s="59">
        <v>5.5</v>
      </c>
      <c r="E22" s="21">
        <v>64.8</v>
      </c>
      <c r="G22" s="20"/>
      <c r="H22" s="20"/>
      <c r="I22" s="20"/>
      <c r="J22" s="20"/>
    </row>
    <row r="23" spans="1:10" s="4" customFormat="1" ht="3.75" customHeight="1" thickBot="1">
      <c r="B23" s="22"/>
      <c r="C23" s="22"/>
      <c r="D23" s="18"/>
      <c r="E23" s="21"/>
      <c r="G23" s="20"/>
      <c r="H23" s="20"/>
      <c r="I23" s="20"/>
      <c r="J23" s="20"/>
    </row>
    <row r="24" spans="1:10" s="2" customFormat="1" ht="12" customHeight="1" thickBot="1">
      <c r="B24" s="23"/>
      <c r="C24" s="24" t="s">
        <v>8</v>
      </c>
      <c r="D24" s="18"/>
      <c r="E24" s="25">
        <f>SUM(E12:E23)</f>
        <v>42064.69</v>
      </c>
      <c r="G24" s="64">
        <f>SUM(G12:G17)</f>
        <v>1984.3942466840888</v>
      </c>
      <c r="H24" s="64">
        <f>SUM(H12:H17)</f>
        <v>165.36618722367407</v>
      </c>
      <c r="I24" s="19"/>
      <c r="J24" s="64">
        <f>SUM(J12:J17)</f>
        <v>131.07456085736808</v>
      </c>
    </row>
    <row r="25" spans="1:10" s="4" customFormat="1" ht="3.75" customHeight="1">
      <c r="D25" s="18"/>
      <c r="E25" s="21"/>
      <c r="G25" s="20"/>
      <c r="H25" s="20"/>
      <c r="I25" s="20"/>
      <c r="J25" s="20"/>
    </row>
    <row r="26" spans="1:10" ht="12" customHeight="1">
      <c r="B26" s="29" t="s">
        <v>9</v>
      </c>
      <c r="C26" s="29" t="s">
        <v>9</v>
      </c>
      <c r="G26" s="91"/>
      <c r="H26" s="91"/>
      <c r="I26" s="91"/>
      <c r="J26" s="91"/>
    </row>
    <row r="27" spans="1:10" ht="3.75" customHeight="1">
      <c r="B27" s="29"/>
      <c r="C27" s="29"/>
      <c r="G27" s="91"/>
      <c r="H27" s="91"/>
      <c r="I27" s="91"/>
      <c r="J27" s="91"/>
    </row>
    <row r="28" spans="1:10" s="4" customFormat="1" ht="12" customHeight="1">
      <c r="B28" s="17" t="s">
        <v>10</v>
      </c>
      <c r="C28" s="17" t="s">
        <v>10</v>
      </c>
      <c r="D28" s="18"/>
      <c r="E28" s="21"/>
      <c r="G28" s="20"/>
      <c r="H28" s="20"/>
      <c r="I28" s="20"/>
      <c r="J28" s="20"/>
    </row>
    <row r="29" spans="1:10" s="4" customFormat="1" ht="12" customHeight="1">
      <c r="A29" s="4" t="str">
        <f>"ROCKFORD"&amp;"COMMERCIAL"&amp;B29</f>
        <v>ROCKFORDCOMMERCIALRL001.0Y1W001</v>
      </c>
      <c r="B29" s="5" t="s">
        <v>61</v>
      </c>
      <c r="C29" s="5" t="s">
        <v>62</v>
      </c>
      <c r="D29" s="87">
        <v>60.2</v>
      </c>
      <c r="E29" s="21">
        <v>3612</v>
      </c>
      <c r="G29" s="20">
        <f t="shared" ref="G29:G36" si="4">IFERROR(E29/D29,0)</f>
        <v>60</v>
      </c>
      <c r="H29" s="20">
        <f t="shared" ref="H29:H37" si="5">G29/12</f>
        <v>5</v>
      </c>
      <c r="I29" s="20"/>
      <c r="J29" s="20">
        <f>H29*1</f>
        <v>5</v>
      </c>
    </row>
    <row r="30" spans="1:10" s="4" customFormat="1" ht="12" customHeight="1">
      <c r="A30" s="4" t="str">
        <f t="shared" ref="A30:A45" si="6">"ROCKFORD"&amp;"COMMERCIAL"&amp;B30</f>
        <v>ROCKFORDCOMMERCIALRL001.5Y1W001</v>
      </c>
      <c r="B30" s="5" t="s">
        <v>63</v>
      </c>
      <c r="C30" s="5" t="s">
        <v>64</v>
      </c>
      <c r="D30" s="87">
        <v>90.3</v>
      </c>
      <c r="E30" s="21">
        <v>2167.1999999999994</v>
      </c>
      <c r="G30" s="20">
        <f t="shared" si="4"/>
        <v>23.999999999999993</v>
      </c>
      <c r="H30" s="20">
        <f t="shared" si="5"/>
        <v>1.9999999999999993</v>
      </c>
      <c r="I30" s="20"/>
      <c r="J30" s="20">
        <f t="shared" ref="J30:J33" si="7">H30*1</f>
        <v>1.9999999999999993</v>
      </c>
    </row>
    <row r="31" spans="1:10" s="4" customFormat="1" ht="12" customHeight="1">
      <c r="A31" s="4" t="str">
        <f t="shared" si="6"/>
        <v>ROCKFORDCOMMERCIALRL002.0Y1W001</v>
      </c>
      <c r="B31" s="5" t="s">
        <v>67</v>
      </c>
      <c r="C31" s="5" t="s">
        <v>68</v>
      </c>
      <c r="D31" s="87">
        <v>120.35</v>
      </c>
      <c r="E31" s="21">
        <v>4753.8300000000008</v>
      </c>
      <c r="G31" s="20">
        <f t="shared" si="4"/>
        <v>39.500041545492323</v>
      </c>
      <c r="H31" s="20">
        <f t="shared" si="5"/>
        <v>3.2916701287910271</v>
      </c>
      <c r="I31" s="20"/>
      <c r="J31" s="20">
        <f>H31*1</f>
        <v>3.2916701287910271</v>
      </c>
    </row>
    <row r="32" spans="1:10" s="4" customFormat="1" ht="12" customHeight="1">
      <c r="A32" s="4" t="str">
        <f t="shared" si="6"/>
        <v>ROCKFORDCOMMERCIALRL003.0Y1W001</v>
      </c>
      <c r="B32" s="5" t="s">
        <v>69</v>
      </c>
      <c r="C32" s="5" t="s">
        <v>70</v>
      </c>
      <c r="D32" s="87">
        <v>180.6</v>
      </c>
      <c r="E32" s="21">
        <v>4334.3999999999987</v>
      </c>
      <c r="G32" s="20">
        <f t="shared" si="4"/>
        <v>23.999999999999993</v>
      </c>
      <c r="H32" s="20">
        <f t="shared" si="5"/>
        <v>1.9999999999999993</v>
      </c>
      <c r="I32" s="20"/>
      <c r="J32" s="20">
        <f t="shared" si="7"/>
        <v>1.9999999999999993</v>
      </c>
    </row>
    <row r="33" spans="1:10" s="4" customFormat="1" ht="12" customHeight="1">
      <c r="A33" s="4" t="str">
        <f t="shared" si="6"/>
        <v>ROCKFORDCOMMERCIALRL032.0G1W001COMM</v>
      </c>
      <c r="B33" s="5" t="s">
        <v>81</v>
      </c>
      <c r="C33" s="5" t="s">
        <v>82</v>
      </c>
      <c r="D33" s="87">
        <v>15.4</v>
      </c>
      <c r="E33" s="21">
        <v>354.20000000000005</v>
      </c>
      <c r="G33" s="20">
        <f t="shared" si="4"/>
        <v>23.000000000000004</v>
      </c>
      <c r="H33" s="20">
        <f t="shared" si="5"/>
        <v>1.916666666666667</v>
      </c>
      <c r="I33" s="20"/>
      <c r="J33" s="20">
        <f t="shared" si="7"/>
        <v>1.916666666666667</v>
      </c>
    </row>
    <row r="34" spans="1:10" s="4" customFormat="1" ht="12" customHeight="1">
      <c r="A34" s="4" t="str">
        <f t="shared" si="6"/>
        <v>ROCKFORDCOMMERCIALRL090.0G1W001COMM</v>
      </c>
      <c r="B34" s="5" t="s">
        <v>87</v>
      </c>
      <c r="C34" s="5" t="s">
        <v>88</v>
      </c>
      <c r="D34" s="87">
        <v>21.5</v>
      </c>
      <c r="E34" s="21">
        <v>1311.5</v>
      </c>
      <c r="G34" s="20">
        <f t="shared" si="4"/>
        <v>61</v>
      </c>
      <c r="H34" s="20">
        <f t="shared" si="5"/>
        <v>5.083333333333333</v>
      </c>
      <c r="I34" s="20"/>
      <c r="J34" s="20">
        <f>H34*1</f>
        <v>5.083333333333333</v>
      </c>
    </row>
    <row r="35" spans="1:10" s="2" customFormat="1" ht="12" customHeight="1">
      <c r="A35" s="2" t="str">
        <f>"ROCKFORD"&amp;"COMMERCIAL"&amp;B35</f>
        <v>ROCKFORDCOMMERCIALRL1TC-COMM</v>
      </c>
      <c r="B35" s="86" t="s">
        <v>205</v>
      </c>
      <c r="C35" s="86" t="s">
        <v>206</v>
      </c>
      <c r="D35" s="87"/>
      <c r="E35" s="92">
        <v>0</v>
      </c>
      <c r="G35" s="19">
        <f t="shared" si="4"/>
        <v>0</v>
      </c>
      <c r="H35" s="19">
        <f t="shared" si="5"/>
        <v>0</v>
      </c>
      <c r="I35" s="19"/>
      <c r="J35" s="19">
        <f t="shared" ref="J35:J37" si="8">H35*1</f>
        <v>0</v>
      </c>
    </row>
    <row r="36" spans="1:10" s="2" customFormat="1" ht="12" customHeight="1">
      <c r="A36" s="2" t="str">
        <f>"ROCKFORD"&amp;"COMMERCIAL"&amp;B36</f>
        <v>ROCKFORDCOMMERCIALRL1.5TC-COMM</v>
      </c>
      <c r="B36" s="86" t="s">
        <v>93</v>
      </c>
      <c r="C36" s="86" t="s">
        <v>94</v>
      </c>
      <c r="D36" s="87"/>
      <c r="E36" s="92">
        <v>0</v>
      </c>
      <c r="G36" s="19">
        <f t="shared" si="4"/>
        <v>0</v>
      </c>
      <c r="H36" s="19">
        <f t="shared" si="5"/>
        <v>0</v>
      </c>
      <c r="I36" s="19"/>
      <c r="J36" s="19">
        <f t="shared" si="8"/>
        <v>0</v>
      </c>
    </row>
    <row r="37" spans="1:10" s="2" customFormat="1" ht="12" customHeight="1">
      <c r="A37" s="2" t="str">
        <f>"ROCKFORD"&amp;"COMMERCIAL"&amp;B37</f>
        <v>ROCKFORDCOMMERCIALRL4TC-COMM</v>
      </c>
      <c r="B37" s="86" t="s">
        <v>103</v>
      </c>
      <c r="C37" s="86" t="s">
        <v>104</v>
      </c>
      <c r="D37" s="87"/>
      <c r="E37" s="92">
        <v>78</v>
      </c>
      <c r="G37" s="19">
        <f>IFERROR(E37/D37,0)</f>
        <v>0</v>
      </c>
      <c r="H37" s="19">
        <f t="shared" si="5"/>
        <v>0</v>
      </c>
      <c r="I37" s="19"/>
      <c r="J37" s="19">
        <f t="shared" si="8"/>
        <v>0</v>
      </c>
    </row>
    <row r="38" spans="1:10" s="4" customFormat="1" ht="12" customHeight="1">
      <c r="A38" s="4" t="str">
        <f t="shared" si="6"/>
        <v>ROCKFORDCOMMERCIALEXTRA-COMM</v>
      </c>
      <c r="B38" s="5" t="s">
        <v>105</v>
      </c>
      <c r="C38" s="5" t="s">
        <v>106</v>
      </c>
      <c r="D38" s="87">
        <v>3.05</v>
      </c>
      <c r="E38" s="21">
        <v>153.94000000000003</v>
      </c>
      <c r="G38" s="27"/>
      <c r="H38" s="21"/>
    </row>
    <row r="39" spans="1:10" s="4" customFormat="1" ht="12" customHeight="1">
      <c r="A39" s="4" t="str">
        <f t="shared" si="6"/>
        <v>ROCKFORDCOMMERCIALEXTRAYDG-COMM</v>
      </c>
      <c r="B39" s="5" t="s">
        <v>107</v>
      </c>
      <c r="C39" s="5" t="s">
        <v>108</v>
      </c>
      <c r="D39" s="87">
        <v>19.25</v>
      </c>
      <c r="E39" s="21">
        <v>288.8</v>
      </c>
      <c r="G39" s="27"/>
      <c r="H39" s="21"/>
    </row>
    <row r="40" spans="1:10" s="4" customFormat="1" ht="12" customHeight="1">
      <c r="A40" s="4" t="str">
        <f t="shared" si="6"/>
        <v>ROCKFORDCOMMERCIALRENT1.5TEMP-COMM</v>
      </c>
      <c r="B40" s="5" t="s">
        <v>111</v>
      </c>
      <c r="C40" s="5" t="s">
        <v>112</v>
      </c>
      <c r="D40" s="87"/>
      <c r="E40" s="21">
        <v>0</v>
      </c>
      <c r="G40" s="27"/>
      <c r="H40" s="21"/>
    </row>
    <row r="41" spans="1:10" s="4" customFormat="1" ht="12" customHeight="1">
      <c r="A41" s="4" t="str">
        <f t="shared" si="6"/>
        <v>ROCKFORDCOMMERCIALRENT1TEMP-COMM</v>
      </c>
      <c r="B41" s="5" t="s">
        <v>213</v>
      </c>
      <c r="C41" s="5" t="s">
        <v>214</v>
      </c>
      <c r="D41" s="87"/>
      <c r="E41" s="21">
        <v>0</v>
      </c>
      <c r="G41" s="27"/>
      <c r="H41" s="21"/>
    </row>
    <row r="42" spans="1:10" s="4" customFormat="1" ht="12" customHeight="1">
      <c r="A42" s="4" t="str">
        <f t="shared" si="6"/>
        <v>ROCKFORDCOMMERCIALRENT4TEMP-COMM</v>
      </c>
      <c r="B42" s="5" t="s">
        <v>123</v>
      </c>
      <c r="C42" s="5" t="s">
        <v>124</v>
      </c>
      <c r="D42" s="87"/>
      <c r="E42" s="21">
        <v>-35.260000000000005</v>
      </c>
      <c r="G42" s="27"/>
      <c r="H42" s="21"/>
    </row>
    <row r="43" spans="1:10" s="4" customFormat="1" ht="12" customHeight="1">
      <c r="A43" s="4" t="str">
        <f t="shared" si="6"/>
        <v>ROCKFORDCOMMERCIALDELTEMP-COMM</v>
      </c>
      <c r="B43" s="5" t="s">
        <v>127</v>
      </c>
      <c r="C43" s="5" t="s">
        <v>128</v>
      </c>
      <c r="D43" s="87"/>
      <c r="E43" s="21">
        <v>54.65</v>
      </c>
      <c r="G43" s="27"/>
      <c r="H43" s="21"/>
    </row>
    <row r="44" spans="1:10" s="2" customFormat="1" ht="12" customHeight="1">
      <c r="A44" s="4" t="str">
        <f t="shared" si="6"/>
        <v>ROCKFORDCOMMERCIALOW-COMM</v>
      </c>
      <c r="B44" s="45" t="s">
        <v>223</v>
      </c>
      <c r="C44" s="45" t="s">
        <v>224</v>
      </c>
      <c r="D44" s="87">
        <v>3.05</v>
      </c>
      <c r="E44" s="21">
        <v>0</v>
      </c>
      <c r="G44" s="27"/>
      <c r="H44" s="21"/>
    </row>
    <row r="45" spans="1:10" s="2" customFormat="1" ht="12" customHeight="1">
      <c r="A45" s="4" t="str">
        <f t="shared" si="6"/>
        <v>ROCKFORDCOMMERCIALADMINFEE-COMM</v>
      </c>
      <c r="B45" s="85" t="s">
        <v>270</v>
      </c>
      <c r="C45" s="85" t="s">
        <v>271</v>
      </c>
      <c r="D45" s="79"/>
      <c r="E45" s="80">
        <v>-7098.64</v>
      </c>
      <c r="G45" s="27"/>
      <c r="H45" s="21"/>
    </row>
    <row r="46" spans="1:10" s="4" customFormat="1" ht="3.75" customHeight="1" thickBot="1">
      <c r="B46" s="30"/>
      <c r="C46" s="30"/>
      <c r="D46" s="18"/>
      <c r="E46" s="21"/>
      <c r="G46" s="27"/>
      <c r="H46" s="21"/>
    </row>
    <row r="47" spans="1:10" s="4" customFormat="1" ht="12" customHeight="1" thickBot="1">
      <c r="B47" s="30"/>
      <c r="C47" s="31" t="s">
        <v>11</v>
      </c>
      <c r="D47" s="18"/>
      <c r="E47" s="25">
        <f t="shared" ref="E47" si="9">SUM(E29:E46)</f>
        <v>9974.619999999999</v>
      </c>
      <c r="G47" s="64">
        <f>SUM(G29:G37)</f>
        <v>231.50004154549231</v>
      </c>
      <c r="H47" s="64">
        <f>SUM(H29:H37)</f>
        <v>19.291670128791026</v>
      </c>
      <c r="I47" s="20"/>
      <c r="J47" s="64">
        <f>SUM(J29:J37)</f>
        <v>19.291670128791026</v>
      </c>
    </row>
    <row r="48" spans="1:10" ht="3.75" customHeight="1">
      <c r="B48" s="2"/>
      <c r="C48" s="2"/>
    </row>
    <row r="49" spans="2:7" ht="3.75" customHeight="1">
      <c r="B49" s="23"/>
      <c r="C49" s="33"/>
    </row>
    <row r="50" spans="2:7" ht="12" customHeight="1">
      <c r="B50" s="6"/>
      <c r="C50" s="31" t="s">
        <v>21</v>
      </c>
      <c r="E50" s="25">
        <f>E47+E24</f>
        <v>52039.31</v>
      </c>
    </row>
    <row r="51" spans="2:7">
      <c r="B51" s="6"/>
      <c r="C51" s="6"/>
    </row>
    <row r="52" spans="2:7">
      <c r="D52" s="58" t="s">
        <v>295</v>
      </c>
      <c r="E52" s="52">
        <v>52039.31</v>
      </c>
    </row>
    <row r="53" spans="2:7">
      <c r="D53" s="58" t="s">
        <v>312</v>
      </c>
      <c r="E53" s="47">
        <f>E52-E50</f>
        <v>0</v>
      </c>
    </row>
    <row r="55" spans="2:7">
      <c r="E55" s="47">
        <f>E50-E45</f>
        <v>59137.95</v>
      </c>
      <c r="F55" s="81" t="s">
        <v>332</v>
      </c>
      <c r="G55" s="61"/>
    </row>
  </sheetData>
  <pageMargins left="0.25" right="0.25" top="0.75" bottom="0.75" header="0.3" footer="0.3"/>
  <pageSetup scale="8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0.39997558519241921"/>
    <pageSetUpPr fitToPage="1"/>
  </sheetPr>
  <dimension ref="A1:M65"/>
  <sheetViews>
    <sheetView showGridLines="0" view="pageBreakPreview" zoomScale="115" zoomScaleNormal="100" zoomScaleSheetLayoutView="115" workbookViewId="0">
      <pane xSplit="3" ySplit="6" topLeftCell="D16" activePane="bottomRight" state="frozen"/>
      <selection activeCell="J59" sqref="J59"/>
      <selection pane="topRight" activeCell="J59" sqref="J59"/>
      <selection pane="bottomLeft" activeCell="J59" sqref="J59"/>
      <selection pane="bottomRight" activeCell="J59" sqref="J59"/>
    </sheetView>
  </sheetViews>
  <sheetFormatPr defaultRowHeight="12.75"/>
  <cols>
    <col min="1" max="1" width="0.140625" style="5" customWidth="1"/>
    <col min="2" max="2" width="21" style="14" customWidth="1"/>
    <col min="3" max="3" width="27" style="14" customWidth="1"/>
    <col min="4" max="5" width="12.85546875" style="5" customWidth="1"/>
    <col min="6" max="6" width="1.140625" style="5" customWidth="1"/>
    <col min="7" max="8" width="12.85546875" style="5" customWidth="1"/>
    <col min="9" max="9" width="1.140625" style="5" customWidth="1"/>
    <col min="10" max="10" width="12.85546875" style="5" customWidth="1"/>
    <col min="11" max="11" width="1.28515625" style="5" customWidth="1"/>
    <col min="12" max="12" width="22.42578125" style="5" customWidth="1"/>
    <col min="13" max="13" width="5" style="5" customWidth="1"/>
    <col min="14" max="14" width="9.140625" style="5"/>
    <col min="15" max="17" width="10.7109375" style="5" customWidth="1"/>
    <col min="18" max="18" width="17.7109375" style="5" customWidth="1"/>
    <col min="19" max="16384" width="9.140625" style="5"/>
  </cols>
  <sheetData>
    <row r="1" spans="1:13" ht="12" customHeight="1" thickBot="1">
      <c r="B1" s="1" t="s">
        <v>22</v>
      </c>
      <c r="C1" s="2"/>
      <c r="D1" s="3"/>
      <c r="E1" s="4"/>
      <c r="F1" s="4"/>
      <c r="G1" s="4"/>
    </row>
    <row r="2" spans="1:13" ht="12" customHeight="1">
      <c r="B2" s="1" t="s">
        <v>243</v>
      </c>
      <c r="C2" s="2"/>
      <c r="D2" s="51" t="s">
        <v>294</v>
      </c>
      <c r="E2" s="4"/>
      <c r="F2" s="4"/>
      <c r="G2" s="4"/>
      <c r="L2" s="66" t="s">
        <v>292</v>
      </c>
      <c r="M2" s="69">
        <f>SUM(J12:J13,J27:J28)</f>
        <v>128.33378715862989</v>
      </c>
    </row>
    <row r="3" spans="1:13" ht="12" customHeight="1">
      <c r="B3" s="105">
        <v>2017</v>
      </c>
      <c r="C3" s="2"/>
      <c r="D3" s="3"/>
      <c r="E3" s="4"/>
      <c r="F3" s="4"/>
      <c r="G3" s="4"/>
      <c r="L3" s="67" t="s">
        <v>293</v>
      </c>
      <c r="M3" s="70">
        <v>0</v>
      </c>
    </row>
    <row r="4" spans="1:13" ht="12" customHeight="1">
      <c r="B4" s="2"/>
      <c r="C4" s="8"/>
      <c r="D4" s="9" t="s">
        <v>317</v>
      </c>
      <c r="E4" s="10">
        <v>2017</v>
      </c>
      <c r="F4" s="4"/>
      <c r="G4" s="54">
        <v>2017</v>
      </c>
      <c r="H4" s="54" t="s">
        <v>331</v>
      </c>
      <c r="J4" s="82">
        <v>2017</v>
      </c>
      <c r="L4" s="67" t="s">
        <v>291</v>
      </c>
      <c r="M4" s="70">
        <f>SUM(J24:J26)</f>
        <v>5.12366379345419</v>
      </c>
    </row>
    <row r="5" spans="1:13" ht="12" customHeight="1" thickBot="1">
      <c r="B5" s="11" t="s">
        <v>1</v>
      </c>
      <c r="C5" s="8" t="s">
        <v>2</v>
      </c>
      <c r="D5" s="12" t="s">
        <v>3</v>
      </c>
      <c r="E5" s="10" t="s">
        <v>4</v>
      </c>
      <c r="F5" s="4"/>
      <c r="G5" s="13" t="s">
        <v>5</v>
      </c>
      <c r="H5" s="13" t="s">
        <v>330</v>
      </c>
      <c r="J5" s="82" t="s">
        <v>333</v>
      </c>
      <c r="L5" s="68" t="s">
        <v>246</v>
      </c>
      <c r="M5" s="71">
        <v>0</v>
      </c>
    </row>
    <row r="6" spans="1:13" ht="4.5" customHeight="1"/>
    <row r="7" spans="1:13" s="4" customFormat="1" ht="4.5" customHeight="1">
      <c r="C7" s="2"/>
      <c r="D7" s="3"/>
    </row>
    <row r="8" spans="1:13" s="4" customFormat="1" ht="4.5" customHeight="1">
      <c r="D8" s="3"/>
      <c r="I8" s="49"/>
    </row>
    <row r="9" spans="1:13" s="4" customFormat="1" ht="12" customHeight="1">
      <c r="B9" s="16" t="s">
        <v>6</v>
      </c>
      <c r="C9" s="16" t="s">
        <v>6</v>
      </c>
      <c r="D9" s="3"/>
      <c r="I9" s="49"/>
    </row>
    <row r="10" spans="1:13" s="4" customFormat="1" ht="4.5" customHeight="1">
      <c r="B10" s="16"/>
      <c r="C10" s="16"/>
      <c r="D10" s="3"/>
    </row>
    <row r="11" spans="1:13" s="4" customFormat="1" ht="12" customHeight="1">
      <c r="B11" s="17" t="s">
        <v>7</v>
      </c>
      <c r="C11" s="17" t="s">
        <v>7</v>
      </c>
      <c r="D11" s="18"/>
      <c r="E11" s="21"/>
      <c r="G11" s="20"/>
      <c r="H11" s="20"/>
      <c r="I11" s="20"/>
      <c r="J11" s="20"/>
    </row>
    <row r="12" spans="1:13" s="4" customFormat="1" ht="12" customHeight="1">
      <c r="A12" s="4" t="str">
        <f t="shared" ref="A12:A17" si="0">"SPANGLE"&amp;"RESIDENTIAL"&amp;B12</f>
        <v>SPANGLERESIDENTIALRL090.0G1W001</v>
      </c>
      <c r="B12" s="5" t="s">
        <v>37</v>
      </c>
      <c r="C12" s="5" t="s">
        <v>38</v>
      </c>
      <c r="D12" s="18">
        <v>23.65</v>
      </c>
      <c r="E12" s="21">
        <v>31807.460000000003</v>
      </c>
      <c r="G12" s="20">
        <f>IFERROR((E12/D12),0)</f>
        <v>1344.924312896406</v>
      </c>
      <c r="H12" s="20">
        <f>G12/12</f>
        <v>112.0770260747005</v>
      </c>
      <c r="I12" s="20"/>
      <c r="J12" s="20">
        <f>H12*1</f>
        <v>112.0770260747005</v>
      </c>
    </row>
    <row r="13" spans="1:13" s="4" customFormat="1" ht="12" customHeight="1">
      <c r="A13" s="4" t="str">
        <f t="shared" si="0"/>
        <v>SPANGLERESIDENTIALRL090.0G1W002</v>
      </c>
      <c r="B13" s="5" t="s">
        <v>39</v>
      </c>
      <c r="C13" s="5" t="s">
        <v>40</v>
      </c>
      <c r="D13" s="59">
        <v>47.3</v>
      </c>
      <c r="E13" s="21">
        <v>694.61999999999989</v>
      </c>
      <c r="G13" s="20">
        <f t="shared" ref="G13" si="1">IFERROR((E13/D13),0)</f>
        <v>14.685412262156447</v>
      </c>
      <c r="H13" s="20">
        <f t="shared" ref="H13" si="2">G13/12</f>
        <v>1.2237843551797039</v>
      </c>
      <c r="I13" s="20"/>
      <c r="J13" s="20">
        <f>H13*2</f>
        <v>2.4475687103594077</v>
      </c>
    </row>
    <row r="14" spans="1:13" s="4" customFormat="1" ht="12" customHeight="1">
      <c r="A14" s="4" t="str">
        <f t="shared" si="0"/>
        <v>SPANGLERESIDENTIALEXTRA-RES</v>
      </c>
      <c r="B14" s="5" t="s">
        <v>45</v>
      </c>
      <c r="C14" s="5" t="s">
        <v>46</v>
      </c>
      <c r="D14" s="59">
        <v>4.6399999999999997</v>
      </c>
      <c r="E14" s="21">
        <v>387.21</v>
      </c>
      <c r="G14" s="20"/>
      <c r="H14" s="20"/>
      <c r="I14" s="20"/>
      <c r="J14" s="20"/>
    </row>
    <row r="15" spans="1:13" s="4" customFormat="1" ht="12" customHeight="1">
      <c r="B15" s="61" t="s">
        <v>47</v>
      </c>
      <c r="C15" s="61" t="s">
        <v>48</v>
      </c>
      <c r="D15" s="60">
        <v>28.02</v>
      </c>
      <c r="E15" s="21">
        <v>28.02</v>
      </c>
      <c r="G15" s="20"/>
      <c r="H15" s="20"/>
      <c r="I15" s="20"/>
      <c r="J15" s="20"/>
    </row>
    <row r="16" spans="1:13" s="4" customFormat="1" ht="12" customHeight="1">
      <c r="B16" s="61" t="s">
        <v>49</v>
      </c>
      <c r="C16" s="61" t="s">
        <v>50</v>
      </c>
      <c r="D16" s="60">
        <v>28.02</v>
      </c>
      <c r="E16" s="21">
        <v>28.02</v>
      </c>
      <c r="G16" s="20"/>
      <c r="H16" s="20"/>
      <c r="I16" s="20"/>
      <c r="J16" s="20"/>
    </row>
    <row r="17" spans="1:10" s="2" customFormat="1" ht="12" customHeight="1">
      <c r="A17" s="4" t="str">
        <f t="shared" si="0"/>
        <v>SPANGLERESIDENTIALADJ-RES</v>
      </c>
      <c r="B17" s="5" t="s">
        <v>289</v>
      </c>
      <c r="C17" s="5" t="s">
        <v>290</v>
      </c>
      <c r="D17" s="60">
        <v>0</v>
      </c>
      <c r="E17" s="21">
        <v>0</v>
      </c>
      <c r="G17" s="20"/>
      <c r="H17" s="20"/>
      <c r="I17" s="19"/>
      <c r="J17" s="19"/>
    </row>
    <row r="18" spans="1:10" s="4" customFormat="1" ht="4.5" customHeight="1" thickBot="1">
      <c r="B18" s="22"/>
      <c r="C18" s="22"/>
      <c r="D18" s="18"/>
      <c r="E18" s="21"/>
      <c r="G18" s="20"/>
      <c r="H18" s="20"/>
      <c r="I18" s="20"/>
      <c r="J18" s="20"/>
    </row>
    <row r="19" spans="1:10" s="2" customFormat="1" ht="12" customHeight="1" thickBot="1">
      <c r="B19" s="23"/>
      <c r="C19" s="24" t="s">
        <v>8</v>
      </c>
      <c r="D19" s="18"/>
      <c r="E19" s="25">
        <f t="shared" ref="E19" si="3">SUM(E12:E18)</f>
        <v>32945.329999999994</v>
      </c>
      <c r="G19" s="64">
        <f>SUM(G12:G13)</f>
        <v>1359.6097251585625</v>
      </c>
      <c r="H19" s="64">
        <f>SUM(H12:H13)</f>
        <v>113.3008104298802</v>
      </c>
      <c r="I19" s="19"/>
      <c r="J19" s="64">
        <f>SUM(J12:J13)</f>
        <v>114.5245947850599</v>
      </c>
    </row>
    <row r="20" spans="1:10" s="4" customFormat="1" ht="4.5" customHeight="1">
      <c r="D20" s="18"/>
      <c r="E20" s="21"/>
      <c r="G20" s="20"/>
      <c r="H20" s="20"/>
      <c r="I20" s="20"/>
      <c r="J20" s="20"/>
    </row>
    <row r="21" spans="1:10" ht="12" customHeight="1">
      <c r="B21" s="29" t="s">
        <v>9</v>
      </c>
      <c r="C21" s="29" t="s">
        <v>9</v>
      </c>
      <c r="G21" s="91"/>
      <c r="H21" s="91"/>
      <c r="I21" s="91"/>
      <c r="J21" s="91"/>
    </row>
    <row r="22" spans="1:10" ht="4.5" customHeight="1">
      <c r="B22" s="29"/>
      <c r="C22" s="29"/>
      <c r="G22" s="91"/>
      <c r="H22" s="91"/>
      <c r="I22" s="91"/>
      <c r="J22" s="91"/>
    </row>
    <row r="23" spans="1:10" s="4" customFormat="1" ht="12" customHeight="1">
      <c r="B23" s="17" t="s">
        <v>10</v>
      </c>
      <c r="C23" s="17" t="s">
        <v>10</v>
      </c>
      <c r="D23" s="18"/>
      <c r="E23" s="21"/>
      <c r="G23" s="20"/>
      <c r="H23" s="20"/>
      <c r="I23" s="20"/>
      <c r="J23" s="20"/>
    </row>
    <row r="24" spans="1:10" s="4" customFormat="1" ht="12" customHeight="1">
      <c r="A24" s="4" t="str">
        <f t="shared" ref="A24:A34" si="4">"SPANGLE"&amp;"COMMERCIAL"&amp;B24</f>
        <v>SPANGLECOMMERCIALRL001.5Y1W001</v>
      </c>
      <c r="B24" s="5" t="s">
        <v>63</v>
      </c>
      <c r="C24" s="5" t="s">
        <v>64</v>
      </c>
      <c r="D24" s="87">
        <v>123.61</v>
      </c>
      <c r="E24" s="21">
        <v>1519.9500000000005</v>
      </c>
      <c r="G24" s="20">
        <f>IFERROR((E24/D24),0)</f>
        <v>12.296335247957289</v>
      </c>
      <c r="H24" s="20">
        <f t="shared" ref="H24:H28" si="5">G24/12</f>
        <v>1.0246946039964409</v>
      </c>
      <c r="I24" s="20"/>
      <c r="J24" s="20">
        <f>H24*1</f>
        <v>1.0246946039964409</v>
      </c>
    </row>
    <row r="25" spans="1:10" s="4" customFormat="1" ht="12" customHeight="1">
      <c r="A25" s="4" t="str">
        <f t="shared" si="4"/>
        <v>SPANGLECOMMERCIALRL002.0Y1W001</v>
      </c>
      <c r="B25" s="5" t="s">
        <v>67</v>
      </c>
      <c r="C25" s="5" t="s">
        <v>68</v>
      </c>
      <c r="D25" s="87">
        <v>164.81</v>
      </c>
      <c r="E25" s="21">
        <v>6080.04</v>
      </c>
      <c r="G25" s="20">
        <f t="shared" ref="G25:G28" si="6">IFERROR((E25/D25),0)</f>
        <v>36.891208057763485</v>
      </c>
      <c r="H25" s="20">
        <f t="shared" si="5"/>
        <v>3.074267338146957</v>
      </c>
      <c r="I25" s="20"/>
      <c r="J25" s="20">
        <f t="shared" ref="J25:J27" si="7">H25*1</f>
        <v>3.074267338146957</v>
      </c>
    </row>
    <row r="26" spans="1:10" s="4" customFormat="1" ht="12" customHeight="1">
      <c r="A26" s="4" t="str">
        <f t="shared" si="4"/>
        <v>SPANGLECOMMERCIALRL006.0Y1W001</v>
      </c>
      <c r="B26" s="5" t="s">
        <v>77</v>
      </c>
      <c r="C26" s="5" t="s">
        <v>78</v>
      </c>
      <c r="D26" s="87">
        <v>376.49</v>
      </c>
      <c r="E26" s="21">
        <v>4629.4799999999996</v>
      </c>
      <c r="G26" s="20">
        <f t="shared" si="6"/>
        <v>12.2964222157295</v>
      </c>
      <c r="H26" s="20">
        <f t="shared" si="5"/>
        <v>1.0247018513107917</v>
      </c>
      <c r="I26" s="20"/>
      <c r="J26" s="20">
        <f t="shared" si="7"/>
        <v>1.0247018513107917</v>
      </c>
    </row>
    <row r="27" spans="1:10" s="4" customFormat="1" ht="12" customHeight="1">
      <c r="A27" s="4" t="str">
        <f t="shared" si="4"/>
        <v>SPANGLECOMMERCIALRL090.0G1W001COMM</v>
      </c>
      <c r="B27" s="5" t="s">
        <v>87</v>
      </c>
      <c r="C27" s="5" t="s">
        <v>88</v>
      </c>
      <c r="D27" s="87">
        <v>22.9</v>
      </c>
      <c r="E27" s="21">
        <v>2649.9499999999994</v>
      </c>
      <c r="G27" s="20">
        <f t="shared" si="6"/>
        <v>115.7183406113537</v>
      </c>
      <c r="H27" s="20">
        <f t="shared" si="5"/>
        <v>9.6431950509461419</v>
      </c>
      <c r="I27" s="20"/>
      <c r="J27" s="20">
        <f t="shared" si="7"/>
        <v>9.6431950509461419</v>
      </c>
    </row>
    <row r="28" spans="1:10" s="4" customFormat="1" ht="12" customHeight="1">
      <c r="A28" s="4" t="str">
        <f t="shared" si="4"/>
        <v>SPANGLECOMMERCIALRL090.0G1W002COMM</v>
      </c>
      <c r="B28" s="5" t="s">
        <v>89</v>
      </c>
      <c r="C28" s="5" t="s">
        <v>90</v>
      </c>
      <c r="D28" s="87">
        <v>44.82</v>
      </c>
      <c r="E28" s="21">
        <v>1120.32</v>
      </c>
      <c r="G28" s="20">
        <f t="shared" si="6"/>
        <v>24.99598393574297</v>
      </c>
      <c r="H28" s="20">
        <f t="shared" si="5"/>
        <v>2.082998661311914</v>
      </c>
      <c r="I28" s="20"/>
      <c r="J28" s="20">
        <f>H28*2</f>
        <v>4.165997322623828</v>
      </c>
    </row>
    <row r="29" spans="1:10" s="2" customFormat="1" ht="12" customHeight="1">
      <c r="A29" s="2" t="str">
        <f>"SPANGLE"&amp;"COMMERCIAL"&amp;B29</f>
        <v>SPANGLECOMMERCIALRL4TC-COMM</v>
      </c>
      <c r="B29" s="86" t="s">
        <v>103</v>
      </c>
      <c r="C29" s="86" t="s">
        <v>104</v>
      </c>
      <c r="D29" s="87">
        <v>0</v>
      </c>
      <c r="E29" s="92">
        <v>234</v>
      </c>
      <c r="G29" s="19">
        <f t="shared" ref="G29" si="8">IFERROR((E29/D29),0)</f>
        <v>0</v>
      </c>
      <c r="H29" s="19">
        <f t="shared" ref="H29" si="9">G29/12</f>
        <v>0</v>
      </c>
      <c r="I29" s="19"/>
      <c r="J29" s="19">
        <f>H29*2</f>
        <v>0</v>
      </c>
    </row>
    <row r="30" spans="1:10" s="4" customFormat="1" ht="12" customHeight="1">
      <c r="A30" s="4" t="str">
        <f t="shared" si="4"/>
        <v>SPANGLECOMMERCIALEXTRA-COMM</v>
      </c>
      <c r="B30" s="5" t="s">
        <v>105</v>
      </c>
      <c r="C30" s="5" t="s">
        <v>106</v>
      </c>
      <c r="D30" s="87">
        <v>4.49</v>
      </c>
      <c r="E30" s="21">
        <v>275.84000000000003</v>
      </c>
      <c r="G30" s="20"/>
      <c r="H30" s="20"/>
      <c r="I30" s="20"/>
      <c r="J30" s="20"/>
    </row>
    <row r="31" spans="1:10" s="4" customFormat="1" ht="12" customHeight="1">
      <c r="B31" s="61" t="s">
        <v>123</v>
      </c>
      <c r="C31" s="61" t="s">
        <v>124</v>
      </c>
      <c r="D31" s="87">
        <v>0</v>
      </c>
      <c r="E31" s="21">
        <v>126.92</v>
      </c>
      <c r="G31" s="20"/>
      <c r="H31" s="20"/>
      <c r="I31" s="20"/>
      <c r="J31" s="20"/>
    </row>
    <row r="32" spans="1:10" s="4" customFormat="1" ht="12" customHeight="1">
      <c r="A32" s="4" t="str">
        <f t="shared" si="4"/>
        <v>SPANGLECOMMERCIALEXTRAYDG-COMM</v>
      </c>
      <c r="B32" s="5" t="s">
        <v>107</v>
      </c>
      <c r="C32" s="5" t="s">
        <v>108</v>
      </c>
      <c r="D32" s="87">
        <v>27.13</v>
      </c>
      <c r="E32" s="21">
        <v>82.28</v>
      </c>
      <c r="G32" s="20"/>
      <c r="H32" s="20"/>
      <c r="I32" s="20"/>
      <c r="J32" s="20"/>
    </row>
    <row r="33" spans="1:10" s="4" customFormat="1" ht="12" customHeight="1">
      <c r="A33" s="4" t="str">
        <f t="shared" si="4"/>
        <v>SPANGLECOMMERCIALDELTEMP-COMM</v>
      </c>
      <c r="B33" s="5" t="s">
        <v>127</v>
      </c>
      <c r="C33" s="5" t="s">
        <v>128</v>
      </c>
      <c r="D33" s="87">
        <v>0</v>
      </c>
      <c r="E33" s="21">
        <v>109.3</v>
      </c>
      <c r="G33" s="20"/>
      <c r="H33" s="20"/>
      <c r="I33" s="20"/>
      <c r="J33" s="20"/>
    </row>
    <row r="34" spans="1:10" s="2" customFormat="1" ht="12" customHeight="1">
      <c r="A34" s="4" t="str">
        <f t="shared" si="4"/>
        <v>SPANGLECOMMERCIALADMINFEE-COMM</v>
      </c>
      <c r="B34" s="78" t="s">
        <v>270</v>
      </c>
      <c r="C34" s="78" t="s">
        <v>271</v>
      </c>
      <c r="D34" s="79">
        <v>0</v>
      </c>
      <c r="E34" s="80">
        <v>-4967.01</v>
      </c>
      <c r="G34" s="20"/>
      <c r="H34" s="20"/>
      <c r="I34" s="19"/>
      <c r="J34" s="19"/>
    </row>
    <row r="35" spans="1:10" s="4" customFormat="1" ht="4.5" customHeight="1" thickBot="1">
      <c r="B35" s="30"/>
      <c r="C35" s="30"/>
      <c r="D35" s="18"/>
      <c r="E35" s="21"/>
      <c r="G35" s="20"/>
      <c r="H35" s="20"/>
      <c r="I35" s="20"/>
      <c r="J35" s="20"/>
    </row>
    <row r="36" spans="1:10" s="4" customFormat="1" ht="12" customHeight="1" thickBot="1">
      <c r="B36" s="30"/>
      <c r="C36" s="31" t="s">
        <v>11</v>
      </c>
      <c r="D36" s="18"/>
      <c r="E36" s="25">
        <f>SUM(E24:E35)</f>
        <v>11861.069999999994</v>
      </c>
      <c r="G36" s="64">
        <f>SUM(G24:G29)</f>
        <v>202.19829006854695</v>
      </c>
      <c r="H36" s="64">
        <f>SUM(H24:H29)</f>
        <v>16.849857505712247</v>
      </c>
      <c r="I36" s="20"/>
      <c r="J36" s="64">
        <f>SUM(J24:J29)</f>
        <v>18.932856167024159</v>
      </c>
    </row>
    <row r="37" spans="1:10" ht="4.5" customHeight="1">
      <c r="B37" s="2"/>
      <c r="C37" s="2"/>
      <c r="G37" s="91"/>
      <c r="H37" s="91"/>
      <c r="I37" s="91"/>
      <c r="J37" s="91"/>
    </row>
    <row r="38" spans="1:10" ht="12" customHeight="1">
      <c r="B38" s="29" t="s">
        <v>12</v>
      </c>
      <c r="C38" s="29" t="s">
        <v>12</v>
      </c>
    </row>
    <row r="39" spans="1:10" ht="4.5" customHeight="1">
      <c r="B39" s="34"/>
      <c r="C39" s="34"/>
    </row>
    <row r="40" spans="1:10" ht="12" customHeight="1">
      <c r="B40" s="35" t="s">
        <v>13</v>
      </c>
      <c r="C40" s="35" t="s">
        <v>13</v>
      </c>
    </row>
    <row r="41" spans="1:10" ht="12" customHeight="1">
      <c r="A41" s="4" t="str">
        <f t="shared" ref="A41:A45" si="10">"SPANGLE"&amp;"ROLL OFF"&amp;B41</f>
        <v>SPANGLEROLL OFFHAUL25TEMP-RO</v>
      </c>
      <c r="B41" s="5" t="s">
        <v>135</v>
      </c>
      <c r="C41" s="5" t="s">
        <v>136</v>
      </c>
      <c r="D41" s="18"/>
      <c r="E41" s="21">
        <v>0</v>
      </c>
      <c r="G41" s="20">
        <f>IFERROR((E41/D41),0)</f>
        <v>0</v>
      </c>
      <c r="H41" s="20">
        <f t="shared" ref="H41" si="11">G41/12</f>
        <v>0</v>
      </c>
      <c r="I41" s="20"/>
      <c r="J41" s="20">
        <f>H41*1</f>
        <v>0</v>
      </c>
    </row>
    <row r="42" spans="1:10" ht="12" customHeight="1">
      <c r="A42" s="4" t="str">
        <f t="shared" si="10"/>
        <v>SPANGLEROLL OFFRENT25MO-RO</v>
      </c>
      <c r="B42" s="5" t="s">
        <v>141</v>
      </c>
      <c r="C42" s="5" t="s">
        <v>142</v>
      </c>
      <c r="D42" s="18"/>
      <c r="E42" s="21">
        <v>0</v>
      </c>
      <c r="G42" s="20"/>
    </row>
    <row r="43" spans="1:10" ht="12" customHeight="1">
      <c r="A43" s="4" t="str">
        <f t="shared" si="10"/>
        <v>SPANGLEROLL OFFRENT40MO-RO</v>
      </c>
      <c r="B43" s="5" t="s">
        <v>143</v>
      </c>
      <c r="C43" s="5" t="s">
        <v>144</v>
      </c>
      <c r="D43" s="18"/>
      <c r="E43" s="21">
        <v>0</v>
      </c>
      <c r="G43" s="20"/>
    </row>
    <row r="44" spans="1:10" ht="12" customHeight="1">
      <c r="A44" s="4" t="str">
        <f t="shared" si="10"/>
        <v>SPANGLEROLL OFFDEL-RO</v>
      </c>
      <c r="B44" s="5" t="s">
        <v>145</v>
      </c>
      <c r="C44" s="5" t="s">
        <v>146</v>
      </c>
      <c r="D44" s="18"/>
      <c r="E44" s="21">
        <v>0</v>
      </c>
      <c r="G44" s="20"/>
    </row>
    <row r="45" spans="1:10" ht="12" customHeight="1">
      <c r="A45" s="4" t="str">
        <f t="shared" si="10"/>
        <v>SPANGLEROLL OFFMILE-RO</v>
      </c>
      <c r="B45" s="5" t="s">
        <v>147</v>
      </c>
      <c r="C45" s="5" t="s">
        <v>148</v>
      </c>
      <c r="D45" s="18"/>
      <c r="E45" s="21">
        <v>0</v>
      </c>
      <c r="G45" s="20"/>
    </row>
    <row r="46" spans="1:10" ht="4.5" customHeight="1" thickBot="1">
      <c r="B46" s="23"/>
      <c r="C46" s="23"/>
    </row>
    <row r="47" spans="1:10" ht="12" customHeight="1" thickBot="1">
      <c r="B47" s="23"/>
      <c r="C47" s="33" t="s">
        <v>14</v>
      </c>
      <c r="E47" s="25">
        <f t="shared" ref="E47" si="12">SUM(E41:E46)</f>
        <v>0</v>
      </c>
      <c r="G47" s="64">
        <f>SUM(G41)</f>
        <v>0</v>
      </c>
      <c r="H47" s="64">
        <f>SUM(H41)</f>
        <v>0</v>
      </c>
      <c r="I47" s="20"/>
      <c r="J47" s="64">
        <f>SUM(J41)</f>
        <v>0</v>
      </c>
    </row>
    <row r="48" spans="1:10" ht="4.5" customHeight="1">
      <c r="B48" s="23"/>
      <c r="C48" s="23"/>
    </row>
    <row r="49" spans="1:7" ht="12" customHeight="1">
      <c r="B49" s="35" t="s">
        <v>15</v>
      </c>
      <c r="C49" s="35" t="s">
        <v>15</v>
      </c>
    </row>
    <row r="50" spans="1:7" ht="12" customHeight="1">
      <c r="A50" s="4" t="str">
        <f t="shared" ref="A50" si="13">"SPANGLE"&amp;"ROLL OFF"&amp;B50</f>
        <v>SPANGLEROLL OFFDISP-RO</v>
      </c>
      <c r="B50" s="14" t="s">
        <v>151</v>
      </c>
      <c r="C50" s="14" t="s">
        <v>152</v>
      </c>
      <c r="E50" s="21">
        <v>0</v>
      </c>
    </row>
    <row r="51" spans="1:7" ht="4.5" customHeight="1">
      <c r="E51" s="32"/>
    </row>
    <row r="52" spans="1:7" ht="12" customHeight="1">
      <c r="B52" s="23"/>
      <c r="C52" s="33" t="s">
        <v>16</v>
      </c>
      <c r="E52" s="25">
        <f t="shared" ref="E52" si="14">SUM(E50:E51)</f>
        <v>0</v>
      </c>
    </row>
    <row r="53" spans="1:7" ht="4.5" customHeight="1">
      <c r="B53" s="23"/>
      <c r="C53" s="33"/>
      <c r="E53" s="36"/>
    </row>
    <row r="54" spans="1:7" s="4" customFormat="1" ht="12" customHeight="1">
      <c r="B54" s="26" t="s">
        <v>17</v>
      </c>
      <c r="C54" s="26" t="s">
        <v>17</v>
      </c>
      <c r="D54" s="18"/>
      <c r="E54" s="21"/>
      <c r="G54" s="20"/>
    </row>
    <row r="55" spans="1:7" s="4" customFormat="1" ht="12" customHeight="1">
      <c r="A55" s="4" t="str">
        <f>"SPANGLE"&amp;"ACCOUNTING"&amp;B55</f>
        <v>SPANGLEACCOUNTINGFINCHG</v>
      </c>
      <c r="B55" s="5" t="s">
        <v>18</v>
      </c>
      <c r="C55" s="5" t="s">
        <v>19</v>
      </c>
      <c r="D55" s="18"/>
      <c r="E55" s="21">
        <v>0</v>
      </c>
      <c r="G55" s="20"/>
    </row>
    <row r="56" spans="1:7" s="4" customFormat="1" ht="12" customHeight="1">
      <c r="A56" s="4" t="str">
        <f>"SPANGLE"&amp;"ACCOUNTING"&amp;B56</f>
        <v>SPANGLEACCOUNTINGRETCKC</v>
      </c>
      <c r="B56" s="5" t="s">
        <v>153</v>
      </c>
      <c r="C56" s="5" t="s">
        <v>154</v>
      </c>
      <c r="D56" s="18"/>
      <c r="E56" s="21">
        <v>0</v>
      </c>
      <c r="G56" s="20"/>
    </row>
    <row r="57" spans="1:7" s="4" customFormat="1" ht="4.5" customHeight="1">
      <c r="B57" s="22"/>
      <c r="C57" s="22"/>
      <c r="D57" s="18"/>
      <c r="E57" s="21"/>
      <c r="G57" s="20"/>
    </row>
    <row r="58" spans="1:7" s="4" customFormat="1" ht="12" customHeight="1">
      <c r="B58" s="28"/>
      <c r="C58" s="24" t="s">
        <v>20</v>
      </c>
      <c r="D58" s="18"/>
      <c r="E58" s="25">
        <f>SUM(E55:E56)</f>
        <v>0</v>
      </c>
      <c r="G58" s="20"/>
    </row>
    <row r="59" spans="1:7" ht="4.5" customHeight="1">
      <c r="B59" s="23"/>
      <c r="C59" s="33"/>
    </row>
    <row r="60" spans="1:7" ht="12" customHeight="1">
      <c r="B60" s="6"/>
      <c r="C60" s="31" t="s">
        <v>21</v>
      </c>
      <c r="E60" s="25">
        <f>SUM(E19,E36,E47,E52,E58)</f>
        <v>44806.399999999987</v>
      </c>
    </row>
    <row r="61" spans="1:7" ht="4.5" customHeight="1">
      <c r="B61" s="6"/>
      <c r="C61" s="6"/>
    </row>
    <row r="62" spans="1:7">
      <c r="D62" s="58" t="s">
        <v>295</v>
      </c>
      <c r="E62" s="52">
        <v>44806.400000000001</v>
      </c>
    </row>
    <row r="63" spans="1:7">
      <c r="D63" s="58" t="s">
        <v>312</v>
      </c>
      <c r="E63" s="47">
        <f>E62-E60</f>
        <v>0</v>
      </c>
    </row>
    <row r="65" spans="5:7">
      <c r="E65" s="47">
        <f>E60-E34</f>
        <v>49773.409999999989</v>
      </c>
      <c r="F65" s="81" t="s">
        <v>332</v>
      </c>
      <c r="G65" s="61"/>
    </row>
  </sheetData>
  <pageMargins left="0.25" right="0.25" top="0.75" bottom="0.75" header="0.3" footer="0.3"/>
  <pageSetup scale="93" fitToHeight="0" orientation="landscape" r:id="rId1"/>
  <rowBreaks count="1" manualBreakCount="1">
    <brk id="36" min="1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6" tint="0.39997558519241921"/>
    <pageSetUpPr fitToPage="1"/>
  </sheetPr>
  <dimension ref="A1:N41"/>
  <sheetViews>
    <sheetView showGridLines="0" view="pageBreakPreview" topLeftCell="B1" zoomScale="115" zoomScaleNormal="100" zoomScaleSheetLayoutView="115" workbookViewId="0">
      <pane ySplit="6" topLeftCell="A7" activePane="bottomLeft" state="frozen"/>
      <selection activeCell="J59" sqref="J59"/>
      <selection pane="bottomLeft" activeCell="J59" sqref="J59"/>
    </sheetView>
  </sheetViews>
  <sheetFormatPr defaultRowHeight="12.75"/>
  <cols>
    <col min="1" max="1" width="21.28515625" style="5" customWidth="1"/>
    <col min="2" max="2" width="24.5703125" style="14" customWidth="1"/>
    <col min="3" max="3" width="26.140625" style="14" customWidth="1"/>
    <col min="4" max="5" width="13.42578125" style="5" customWidth="1"/>
    <col min="6" max="6" width="0.85546875" style="5" customWidth="1"/>
    <col min="7" max="8" width="13.42578125" style="5" customWidth="1"/>
    <col min="9" max="9" width="0.85546875" style="5" customWidth="1"/>
    <col min="10" max="10" width="13.42578125" style="5" customWidth="1"/>
    <col min="11" max="11" width="1" style="5" customWidth="1"/>
    <col min="12" max="12" width="0.7109375" style="5" hidden="1" customWidth="1"/>
    <col min="13" max="13" width="20.5703125" style="5" customWidth="1"/>
    <col min="14" max="14" width="6" style="5" customWidth="1"/>
    <col min="15" max="17" width="10.7109375" style="5" customWidth="1"/>
    <col min="18" max="18" width="17.7109375" style="5" customWidth="1"/>
    <col min="19" max="16384" width="9.140625" style="5"/>
  </cols>
  <sheetData>
    <row r="1" spans="1:14" ht="12" customHeight="1" thickBot="1">
      <c r="B1" s="1" t="s">
        <v>22</v>
      </c>
      <c r="C1" s="2"/>
      <c r="D1" s="3"/>
      <c r="E1" s="4"/>
      <c r="F1" s="4"/>
      <c r="G1" s="4"/>
    </row>
    <row r="2" spans="1:14" ht="12" customHeight="1">
      <c r="B2" s="1" t="s">
        <v>244</v>
      </c>
      <c r="C2" s="2"/>
      <c r="D2" s="51" t="s">
        <v>294</v>
      </c>
      <c r="E2" s="4"/>
      <c r="F2" s="4"/>
      <c r="G2" s="4"/>
      <c r="M2" s="66" t="s">
        <v>292</v>
      </c>
      <c r="N2" s="69">
        <f>SUM(J12:J17,J27,J28)</f>
        <v>35.516887885422371</v>
      </c>
    </row>
    <row r="3" spans="1:14" ht="12" customHeight="1">
      <c r="B3" s="105">
        <v>2017</v>
      </c>
      <c r="C3" s="2"/>
      <c r="D3" s="3"/>
      <c r="E3" s="4"/>
      <c r="F3" s="4"/>
      <c r="G3" s="4"/>
      <c r="M3" s="67" t="s">
        <v>293</v>
      </c>
      <c r="N3" s="70">
        <v>0</v>
      </c>
    </row>
    <row r="4" spans="1:14" ht="12" customHeight="1">
      <c r="B4" s="2"/>
      <c r="C4" s="8"/>
      <c r="D4" s="9" t="s">
        <v>317</v>
      </c>
      <c r="E4" s="10">
        <v>2017</v>
      </c>
      <c r="F4" s="4"/>
      <c r="G4" s="54">
        <v>2017</v>
      </c>
      <c r="H4" s="54" t="s">
        <v>331</v>
      </c>
      <c r="J4" s="82">
        <v>2017</v>
      </c>
      <c r="M4" s="67" t="s">
        <v>291</v>
      </c>
      <c r="N4" s="70">
        <f>SUM(J26)</f>
        <v>1</v>
      </c>
    </row>
    <row r="5" spans="1:14" ht="12" customHeight="1" thickBot="1">
      <c r="B5" s="11" t="s">
        <v>1</v>
      </c>
      <c r="C5" s="8" t="s">
        <v>2</v>
      </c>
      <c r="D5" s="12" t="s">
        <v>3</v>
      </c>
      <c r="E5" s="10" t="s">
        <v>4</v>
      </c>
      <c r="F5" s="4"/>
      <c r="G5" s="13" t="s">
        <v>5</v>
      </c>
      <c r="H5" s="13" t="s">
        <v>330</v>
      </c>
      <c r="J5" s="82" t="s">
        <v>333</v>
      </c>
      <c r="M5" s="68" t="s">
        <v>246</v>
      </c>
      <c r="N5" s="71">
        <v>0</v>
      </c>
    </row>
    <row r="6" spans="1:14" ht="6.75" customHeight="1"/>
    <row r="7" spans="1:14" s="4" customFormat="1" ht="6.75" customHeight="1">
      <c r="C7" s="2"/>
      <c r="D7" s="3"/>
    </row>
    <row r="8" spans="1:14" s="4" customFormat="1" ht="6.75" customHeight="1">
      <c r="D8" s="3"/>
      <c r="J8" s="49"/>
    </row>
    <row r="9" spans="1:14" s="4" customFormat="1" ht="12" customHeight="1">
      <c r="B9" s="16" t="s">
        <v>6</v>
      </c>
      <c r="C9" s="16" t="s">
        <v>6</v>
      </c>
      <c r="D9" s="3"/>
      <c r="J9" s="49"/>
    </row>
    <row r="10" spans="1:14" s="4" customFormat="1" ht="6.75" customHeight="1">
      <c r="B10" s="16"/>
      <c r="C10" s="16"/>
      <c r="D10" s="3"/>
    </row>
    <row r="11" spans="1:14" s="4" customFormat="1" ht="12" customHeight="1">
      <c r="B11" s="17" t="s">
        <v>7</v>
      </c>
      <c r="C11" s="17" t="s">
        <v>7</v>
      </c>
      <c r="D11" s="18"/>
      <c r="E11" s="21"/>
      <c r="G11" s="20"/>
    </row>
    <row r="12" spans="1:14" s="4" customFormat="1" ht="12" customHeight="1">
      <c r="A12" s="4" t="str">
        <f t="shared" ref="A12:A19" si="0">"STARBUCK"&amp;"RESIDENTIAL"&amp;B12</f>
        <v>STARBUCKRESIDENTIALRL032.0G1M001</v>
      </c>
      <c r="B12" s="5" t="s">
        <v>25</v>
      </c>
      <c r="C12" s="5" t="s">
        <v>26</v>
      </c>
      <c r="D12" s="18">
        <v>6.94</v>
      </c>
      <c r="E12" s="21">
        <v>201.25999999999996</v>
      </c>
      <c r="G12" s="20">
        <f>IFERROR(E12/D12,0)</f>
        <v>28.999999999999993</v>
      </c>
      <c r="H12" s="20">
        <f>G12/12</f>
        <v>2.4166666666666661</v>
      </c>
      <c r="I12" s="20"/>
      <c r="J12" s="20">
        <v>0</v>
      </c>
    </row>
    <row r="13" spans="1:14" s="4" customFormat="1" ht="12" customHeight="1">
      <c r="A13" s="4" t="str">
        <f t="shared" si="0"/>
        <v>STARBUCKRESIDENTIALRL032.0G1W001</v>
      </c>
      <c r="B13" s="5" t="s">
        <v>27</v>
      </c>
      <c r="C13" s="5" t="s">
        <v>28</v>
      </c>
      <c r="D13" s="59">
        <v>11.82</v>
      </c>
      <c r="E13" s="21">
        <v>3752.86</v>
      </c>
      <c r="G13" s="20">
        <f t="shared" ref="G13:G17" si="1">IFERROR(E13/D13,0)</f>
        <v>317.50084602368867</v>
      </c>
      <c r="H13" s="20">
        <f t="shared" ref="H13:H17" si="2">G13/12</f>
        <v>26.45840383530739</v>
      </c>
      <c r="I13" s="20"/>
      <c r="J13" s="20">
        <v>0</v>
      </c>
    </row>
    <row r="14" spans="1:14" s="4" customFormat="1" ht="12" customHeight="1">
      <c r="A14" s="4" t="str">
        <f t="shared" si="0"/>
        <v>STARBUCKRESIDENTIALRL032.0G1W002</v>
      </c>
      <c r="B14" s="5" t="s">
        <v>29</v>
      </c>
      <c r="C14" s="5" t="s">
        <v>30</v>
      </c>
      <c r="D14" s="59">
        <v>15.92</v>
      </c>
      <c r="E14" s="21">
        <v>191.03999999999996</v>
      </c>
      <c r="G14" s="20">
        <f t="shared" si="1"/>
        <v>11.999999999999998</v>
      </c>
      <c r="H14" s="20">
        <f t="shared" si="2"/>
        <v>0.99999999999999989</v>
      </c>
      <c r="I14" s="20"/>
      <c r="J14" s="20">
        <v>0</v>
      </c>
    </row>
    <row r="15" spans="1:14" s="4" customFormat="1" ht="12" customHeight="1">
      <c r="A15" s="4" t="str">
        <f t="shared" si="0"/>
        <v>STARBUCKRESIDENTIALRL065.0G1W001</v>
      </c>
      <c r="B15" s="5" t="s">
        <v>33</v>
      </c>
      <c r="C15" s="5" t="s">
        <v>34</v>
      </c>
      <c r="D15" s="59">
        <v>18.27</v>
      </c>
      <c r="E15" s="21">
        <v>1451.6</v>
      </c>
      <c r="G15" s="20">
        <f t="shared" si="1"/>
        <v>79.452654625068419</v>
      </c>
      <c r="H15" s="20">
        <f t="shared" si="2"/>
        <v>6.6210545520890349</v>
      </c>
      <c r="I15" s="20"/>
      <c r="J15" s="20">
        <f t="shared" ref="J15:J16" si="3">H15*1</f>
        <v>6.6210545520890349</v>
      </c>
    </row>
    <row r="16" spans="1:14" s="4" customFormat="1" ht="12" customHeight="1">
      <c r="A16" s="4" t="str">
        <f t="shared" si="0"/>
        <v>STARBUCKRESIDENTIALRL090.0G1W001</v>
      </c>
      <c r="B16" s="5" t="s">
        <v>37</v>
      </c>
      <c r="C16" s="5" t="s">
        <v>38</v>
      </c>
      <c r="D16" s="59">
        <v>20.16</v>
      </c>
      <c r="E16" s="21">
        <v>5055.1200000000008</v>
      </c>
      <c r="G16" s="20">
        <f t="shared" si="1"/>
        <v>250.75000000000003</v>
      </c>
      <c r="H16" s="20">
        <f t="shared" si="2"/>
        <v>20.895833333333336</v>
      </c>
      <c r="I16" s="20"/>
      <c r="J16" s="20">
        <f t="shared" si="3"/>
        <v>20.895833333333336</v>
      </c>
    </row>
    <row r="17" spans="1:10" s="4" customFormat="1" ht="12" customHeight="1">
      <c r="A17" s="4" t="str">
        <f t="shared" si="0"/>
        <v>STARBUCKRESIDENTIALRL090.0G1W002</v>
      </c>
      <c r="B17" s="5" t="s">
        <v>39</v>
      </c>
      <c r="C17" s="5" t="s">
        <v>40</v>
      </c>
      <c r="D17" s="59">
        <v>40.32</v>
      </c>
      <c r="E17" s="21">
        <v>483.84</v>
      </c>
      <c r="G17" s="20">
        <f t="shared" si="1"/>
        <v>12</v>
      </c>
      <c r="H17" s="20">
        <f t="shared" si="2"/>
        <v>1</v>
      </c>
      <c r="I17" s="20"/>
      <c r="J17" s="20">
        <f>H17*2</f>
        <v>2</v>
      </c>
    </row>
    <row r="18" spans="1:10" s="4" customFormat="1" ht="12" customHeight="1">
      <c r="A18" s="4" t="str">
        <f t="shared" si="0"/>
        <v>STARBUCKRESIDENTIALEXTRA-RES</v>
      </c>
      <c r="B18" s="5" t="s">
        <v>45</v>
      </c>
      <c r="C18" s="5" t="s">
        <v>46</v>
      </c>
      <c r="D18" s="59">
        <v>2.74</v>
      </c>
      <c r="E18" s="21">
        <v>195.69</v>
      </c>
      <c r="G18" s="20"/>
      <c r="H18" s="20"/>
      <c r="I18" s="20"/>
      <c r="J18" s="20"/>
    </row>
    <row r="19" spans="1:10" s="4" customFormat="1" ht="12" customHeight="1">
      <c r="A19" s="4" t="str">
        <f t="shared" si="0"/>
        <v>STARBUCKRESIDENTIALEXTRYDG-RES</v>
      </c>
      <c r="B19" s="5" t="s">
        <v>47</v>
      </c>
      <c r="C19" s="5" t="s">
        <v>48</v>
      </c>
      <c r="D19" s="59">
        <v>13.79</v>
      </c>
      <c r="E19" s="21">
        <v>0</v>
      </c>
      <c r="G19" s="20"/>
      <c r="H19" s="20"/>
      <c r="I19" s="20"/>
      <c r="J19" s="20"/>
    </row>
    <row r="20" spans="1:10" s="4" customFormat="1" ht="6.75" customHeight="1" thickBot="1">
      <c r="B20" s="22"/>
      <c r="C20" s="22"/>
      <c r="D20" s="18"/>
      <c r="E20" s="21"/>
      <c r="G20" s="20"/>
      <c r="H20" s="20"/>
      <c r="I20" s="20"/>
      <c r="J20" s="20"/>
    </row>
    <row r="21" spans="1:10" s="2" customFormat="1" ht="12" customHeight="1" thickBot="1">
      <c r="B21" s="23"/>
      <c r="C21" s="24" t="s">
        <v>8</v>
      </c>
      <c r="D21" s="18"/>
      <c r="E21" s="25">
        <f t="shared" ref="E21" si="4">SUM(E12:E20)</f>
        <v>11331.410000000002</v>
      </c>
      <c r="G21" s="64">
        <f>SUM(G12:G17)</f>
        <v>700.70350064875709</v>
      </c>
      <c r="H21" s="64">
        <f>SUM(H12:H17)</f>
        <v>58.391958387396429</v>
      </c>
      <c r="I21" s="19"/>
      <c r="J21" s="64">
        <f>SUM(J12:J17)</f>
        <v>29.516887885422371</v>
      </c>
    </row>
    <row r="22" spans="1:10" s="4" customFormat="1" ht="6.75" customHeight="1">
      <c r="D22" s="18"/>
      <c r="E22" s="21"/>
      <c r="G22" s="20"/>
      <c r="H22" s="20"/>
      <c r="I22" s="20"/>
      <c r="J22" s="20"/>
    </row>
    <row r="23" spans="1:10" ht="12" customHeight="1">
      <c r="B23" s="29" t="s">
        <v>9</v>
      </c>
      <c r="C23" s="29" t="s">
        <v>9</v>
      </c>
      <c r="G23" s="91"/>
      <c r="H23" s="91"/>
      <c r="I23" s="91"/>
      <c r="J23" s="91"/>
    </row>
    <row r="24" spans="1:10" ht="6.75" customHeight="1">
      <c r="B24" s="29"/>
      <c r="C24" s="29"/>
      <c r="G24" s="91"/>
      <c r="H24" s="91"/>
      <c r="I24" s="91"/>
      <c r="J24" s="91"/>
    </row>
    <row r="25" spans="1:10" s="4" customFormat="1" ht="12" customHeight="1">
      <c r="B25" s="17" t="s">
        <v>10</v>
      </c>
      <c r="C25" s="17" t="s">
        <v>10</v>
      </c>
      <c r="D25" s="18"/>
      <c r="E25" s="21"/>
      <c r="G25" s="20"/>
      <c r="H25" s="20"/>
      <c r="I25" s="20"/>
      <c r="J25" s="20"/>
    </row>
    <row r="26" spans="1:10" s="4" customFormat="1" ht="12" customHeight="1">
      <c r="A26" s="4" t="str">
        <f t="shared" ref="A26:A31" si="5">"STARBUCK"&amp;"COMMERCIAL"&amp;B26</f>
        <v>STARBUCKCOMMERCIALRL001.5Y1W001</v>
      </c>
      <c r="B26" s="5" t="s">
        <v>63</v>
      </c>
      <c r="C26" s="5" t="s">
        <v>64</v>
      </c>
      <c r="D26" s="59">
        <v>77.37</v>
      </c>
      <c r="E26" s="21">
        <v>928.44</v>
      </c>
      <c r="G26" s="20">
        <f t="shared" ref="G26:G27" si="6">IFERROR(E26/D26,0)</f>
        <v>12</v>
      </c>
      <c r="H26" s="20">
        <f t="shared" ref="H26:H28" si="7">G26/12</f>
        <v>1</v>
      </c>
      <c r="I26" s="20"/>
      <c r="J26" s="20">
        <f t="shared" ref="J26:J28" si="8">H26*1</f>
        <v>1</v>
      </c>
    </row>
    <row r="27" spans="1:10" s="4" customFormat="1" ht="12" customHeight="1">
      <c r="A27" s="4" t="str">
        <f t="shared" si="5"/>
        <v>STARBUCKCOMMERCIALRL065.0G1W001COMM</v>
      </c>
      <c r="B27" s="5" t="s">
        <v>85</v>
      </c>
      <c r="C27" s="5" t="s">
        <v>86</v>
      </c>
      <c r="D27" s="59">
        <v>18.27</v>
      </c>
      <c r="E27" s="21">
        <v>219.24000000000004</v>
      </c>
      <c r="G27" s="20">
        <f t="shared" si="6"/>
        <v>12.000000000000002</v>
      </c>
      <c r="H27" s="20">
        <f t="shared" si="7"/>
        <v>1.0000000000000002</v>
      </c>
      <c r="I27" s="20"/>
      <c r="J27" s="20">
        <f t="shared" si="8"/>
        <v>1.0000000000000002</v>
      </c>
    </row>
    <row r="28" spans="1:10" s="4" customFormat="1" ht="12" customHeight="1">
      <c r="A28" s="4" t="str">
        <f t="shared" si="5"/>
        <v>STARBUCKCOMMERCIALRL090.0G1W001COMM</v>
      </c>
      <c r="B28" s="5" t="s">
        <v>87</v>
      </c>
      <c r="C28" s="5" t="s">
        <v>88</v>
      </c>
      <c r="D28" s="59">
        <v>21.15</v>
      </c>
      <c r="E28" s="21">
        <v>1269</v>
      </c>
      <c r="G28" s="20">
        <f>IFERROR(E28/D28,0)</f>
        <v>60.000000000000007</v>
      </c>
      <c r="H28" s="20">
        <f t="shared" si="7"/>
        <v>5.0000000000000009</v>
      </c>
      <c r="I28" s="20"/>
      <c r="J28" s="20">
        <f t="shared" si="8"/>
        <v>5.0000000000000009</v>
      </c>
    </row>
    <row r="29" spans="1:10" s="4" customFormat="1" ht="12" customHeight="1">
      <c r="A29" s="4" t="str">
        <f t="shared" si="5"/>
        <v>STARBUCKCOMMERCIALEXTRA-COMM</v>
      </c>
      <c r="B29" s="5" t="s">
        <v>105</v>
      </c>
      <c r="C29" s="5" t="s">
        <v>106</v>
      </c>
      <c r="D29" s="59">
        <v>2.74</v>
      </c>
      <c r="E29" s="21">
        <v>16.440000000000001</v>
      </c>
      <c r="G29" s="20"/>
      <c r="H29" s="20"/>
      <c r="I29" s="20"/>
      <c r="J29" s="20"/>
    </row>
    <row r="30" spans="1:10" s="4" customFormat="1" ht="12" customHeight="1">
      <c r="B30" s="61" t="s">
        <v>107</v>
      </c>
      <c r="C30" s="61" t="s">
        <v>108</v>
      </c>
      <c r="D30" s="60">
        <v>13.79</v>
      </c>
      <c r="E30" s="21">
        <v>6.89</v>
      </c>
      <c r="G30" s="20"/>
      <c r="H30" s="20"/>
      <c r="I30" s="20"/>
      <c r="J30" s="20"/>
    </row>
    <row r="31" spans="1:10" s="2" customFormat="1" ht="12" customHeight="1">
      <c r="A31" s="4" t="str">
        <f t="shared" si="5"/>
        <v>STARBUCKCOMMERCIALADMINFEE-COMM</v>
      </c>
      <c r="B31" s="85" t="s">
        <v>270</v>
      </c>
      <c r="C31" s="85" t="s">
        <v>271</v>
      </c>
      <c r="D31" s="79">
        <v>0</v>
      </c>
      <c r="E31" s="80">
        <v>-1371.8400000000001</v>
      </c>
      <c r="G31" s="20"/>
      <c r="H31" s="20"/>
      <c r="I31" s="19"/>
      <c r="J31" s="19"/>
    </row>
    <row r="32" spans="1:10" s="4" customFormat="1" ht="6.75" customHeight="1" thickBot="1">
      <c r="B32" s="30"/>
      <c r="C32" s="30"/>
      <c r="D32" s="18"/>
      <c r="E32" s="21"/>
      <c r="G32" s="20"/>
      <c r="H32" s="20"/>
      <c r="I32" s="20"/>
      <c r="J32" s="20"/>
    </row>
    <row r="33" spans="2:10" s="4" customFormat="1" ht="12" customHeight="1" thickBot="1">
      <c r="B33" s="30"/>
      <c r="C33" s="31" t="s">
        <v>11</v>
      </c>
      <c r="D33" s="18"/>
      <c r="E33" s="25">
        <f t="shared" ref="E33" si="9">SUM(E26:E32)</f>
        <v>1068.17</v>
      </c>
      <c r="G33" s="64">
        <f>SUM(G26:G28)</f>
        <v>84</v>
      </c>
      <c r="H33" s="64">
        <f>SUM(H26:H28)</f>
        <v>7.0000000000000009</v>
      </c>
      <c r="I33" s="20"/>
      <c r="J33" s="64">
        <f>SUM(J26:J28)</f>
        <v>7.0000000000000009</v>
      </c>
    </row>
    <row r="34" spans="2:10" ht="6.75" customHeight="1">
      <c r="B34" s="2"/>
      <c r="C34" s="2"/>
    </row>
    <row r="35" spans="2:10" ht="6.75" customHeight="1">
      <c r="B35" s="23"/>
      <c r="C35" s="33"/>
    </row>
    <row r="36" spans="2:10" ht="12" customHeight="1">
      <c r="B36" s="6"/>
      <c r="C36" s="31" t="s">
        <v>21</v>
      </c>
      <c r="E36" s="25">
        <f t="shared" ref="E36" si="10">SUM(E21,E33)</f>
        <v>12399.580000000002</v>
      </c>
    </row>
    <row r="37" spans="2:10" ht="6.75" customHeight="1">
      <c r="B37" s="6"/>
      <c r="C37" s="6"/>
    </row>
    <row r="38" spans="2:10">
      <c r="D38" s="58" t="s">
        <v>295</v>
      </c>
      <c r="E38" s="52">
        <v>12399.580000000002</v>
      </c>
    </row>
    <row r="39" spans="2:10">
      <c r="D39" s="58" t="s">
        <v>312</v>
      </c>
      <c r="E39" s="47">
        <f>E38-E36</f>
        <v>0</v>
      </c>
    </row>
    <row r="41" spans="2:10">
      <c r="E41" s="47">
        <f>E36-E31</f>
        <v>13771.420000000002</v>
      </c>
      <c r="F41" s="81" t="s">
        <v>332</v>
      </c>
      <c r="G41" s="61"/>
    </row>
  </sheetData>
  <pageMargins left="0.25" right="0.25" top="0.75" bottom="0.75" header="0.3" footer="0.3"/>
  <pageSetup scale="9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2B8D58CC5AF254A96613606D8590740" ma:contentTypeVersion="76" ma:contentTypeDescription="" ma:contentTypeScope="" ma:versionID="1549edb702239468212a096ffcb5caf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2018-02-14T08:00:00+00:00</OpenedDate>
    <SignificantOrder xmlns="dc463f71-b30c-4ab2-9473-d307f9d35888">false</SignificantOrder>
    <Date1 xmlns="dc463f71-b30c-4ab2-9473-d307f9d35888">2018-02-14T08:00:00+00:00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EMPIRE DISPOSAL INC</CaseCompanyNames>
    <Nickname xmlns="http://schemas.microsoft.com/sharepoint/v3" xsi:nil="true"/>
    <DocketNumber xmlns="dc463f71-b30c-4ab2-9473-d307f9d35888">180153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A04D54B-4354-4DB7-9EC9-CBAABA25C887}"/>
</file>

<file path=customXml/itemProps2.xml><?xml version="1.0" encoding="utf-8"?>
<ds:datastoreItem xmlns:ds="http://schemas.openxmlformats.org/officeDocument/2006/customXml" ds:itemID="{F89578F9-0163-46E6-8F30-745BC78BE3EE}"/>
</file>

<file path=customXml/itemProps3.xml><?xml version="1.0" encoding="utf-8"?>
<ds:datastoreItem xmlns:ds="http://schemas.openxmlformats.org/officeDocument/2006/customXml" ds:itemID="{28ED0A14-2BF6-4405-A157-4E61FDD0D612}"/>
</file>

<file path=customXml/itemProps4.xml><?xml version="1.0" encoding="utf-8"?>
<ds:datastoreItem xmlns:ds="http://schemas.openxmlformats.org/officeDocument/2006/customXml" ds:itemID="{33519CF7-8551-432A-909C-F632FAF9E5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13</vt:i4>
      </vt:variant>
    </vt:vector>
  </HeadingPairs>
  <TitlesOfParts>
    <vt:vector size="23" baseType="lpstr">
      <vt:lpstr>Revenue Summary</vt:lpstr>
      <vt:lpstr>Spokane Reg - Price out</vt:lpstr>
      <vt:lpstr>Whitman Reg - Price Out</vt:lpstr>
      <vt:lpstr>Army Non-Reg - Price Out</vt:lpstr>
      <vt:lpstr>Harrington Non-Reg - Price Out</vt:lpstr>
      <vt:lpstr>Latah Co Non-Reg - Price Out</vt:lpstr>
      <vt:lpstr>Rockford Non-Reg - Price Out</vt:lpstr>
      <vt:lpstr>Spangle Non-Reg - Price Out</vt:lpstr>
      <vt:lpstr>Starbuck Non-Reg - Price Out</vt:lpstr>
      <vt:lpstr>Tekoa Non-Reg - Price Out</vt:lpstr>
      <vt:lpstr>'Army Non-Reg - Price Out'!Print_Area</vt:lpstr>
      <vt:lpstr>'Harrington Non-Reg - Price Out'!Print_Area</vt:lpstr>
      <vt:lpstr>'Latah Co Non-Reg - Price Out'!Print_Area</vt:lpstr>
      <vt:lpstr>'Rockford Non-Reg - Price Out'!Print_Area</vt:lpstr>
      <vt:lpstr>'Spangle Non-Reg - Price Out'!Print_Area</vt:lpstr>
      <vt:lpstr>'Spokane Reg - Price out'!Print_Area</vt:lpstr>
      <vt:lpstr>'Starbuck Non-Reg - Price Out'!Print_Area</vt:lpstr>
      <vt:lpstr>'Tekoa Non-Reg - Price Out'!Print_Area</vt:lpstr>
      <vt:lpstr>'Whitman Reg - Price Out'!Print_Area</vt:lpstr>
      <vt:lpstr>'Spangle Non-Reg - Price Out'!Print_Titles</vt:lpstr>
      <vt:lpstr>'Spokane Reg - Price out'!Print_Titles</vt:lpstr>
      <vt:lpstr>'Tekoa Non-Reg - Price Out'!Print_Titles</vt:lpstr>
      <vt:lpstr>'Whitman Reg - Price Out'!Print_Titles</vt:lpstr>
    </vt:vector>
  </TitlesOfParts>
  <Company>Waste Connections,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PatrickSa</dc:creator>
  <cp:lastModifiedBy>Chelsea Paschke</cp:lastModifiedBy>
  <cp:lastPrinted>2018-02-14T22:57:07Z</cp:lastPrinted>
  <dcterms:created xsi:type="dcterms:W3CDTF">2013-01-08T16:28:12Z</dcterms:created>
  <dcterms:modified xsi:type="dcterms:W3CDTF">2018-02-14T22:57:24Z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0x0101006E56B4D1795A2E4DB2F0B01679ED314A0052B8D58CC5AF254A96613606D8590740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