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2\Arrow Tariff Revision\"/>
    </mc:Choice>
  </mc:AlternateContent>
  <bookViews>
    <workbookView xWindow="2925" yWindow="-165" windowWidth="21810" windowHeight="12030" tabRatio="887" firstSheet="1" activeTab="10"/>
  </bookViews>
  <sheets>
    <sheet name="Semi Annual " sheetId="2" r:id="rId1"/>
    <sheet name="Pro Forma" sheetId="3" r:id="rId2"/>
    <sheet name="Allocation Statistics" sheetId="4" r:id="rId3"/>
    <sheet name="Restaing Adjustments" sheetId="5" r:id="rId4"/>
    <sheet name="Accounting" sheetId="6" r:id="rId5"/>
    <sheet name="Legal " sheetId="7" r:id="rId6"/>
    <sheet name="Prior Rate Case Costs" sheetId="9" r:id="rId7"/>
    <sheet name="Depreciation" sheetId="8" r:id="rId8"/>
    <sheet name="Bad Debts" sheetId="10" r:id="rId9"/>
    <sheet name="Payroll" sheetId="12" r:id="rId10"/>
    <sheet name="Price Out" sheetId="13" r:id="rId11"/>
    <sheet name="Sheet7" sheetId="11" r:id="rId12"/>
  </sheets>
  <externalReferences>
    <externalReference r:id="rId13"/>
  </externalReferences>
  <definedNames>
    <definedName name="_xlnm.Print_Area" localSheetId="4">Accounting!$A$2:$K$37</definedName>
    <definedName name="_xlnm.Print_Area" localSheetId="2">'Allocation Statistics'!$A$1:$H$26</definedName>
    <definedName name="_xlnm.Print_Area" localSheetId="8">'Bad Debts'!$A$1:$L$42</definedName>
    <definedName name="_xlnm.Print_Area" localSheetId="7">Depreciation!$A$13:$Z$267</definedName>
    <definedName name="_xlnm.Print_Area" localSheetId="5">'Legal '!$A$2:$K$38</definedName>
    <definedName name="_xlnm.Print_Area" localSheetId="9">Payroll!$A$6:$M$67</definedName>
    <definedName name="_xlnm.Print_Area" localSheetId="10">'Price Out'!$A$1:$N$27</definedName>
    <definedName name="_xlnm.Print_Area" localSheetId="6">'Prior Rate Case Costs'!$A$1:$J$21</definedName>
    <definedName name="_xlnm.Print_Area" localSheetId="1">'Pro Forma'!$A$8:$I$65</definedName>
    <definedName name="_xlnm.Print_Area" localSheetId="3">'Restaing Adjustments'!$A$8:$S$60</definedName>
    <definedName name="_xlnm.Print_Area" localSheetId="0">'Semi Annual '!$A$5:$I$196</definedName>
    <definedName name="_xlnm.Print_Titles" localSheetId="4">Accounting!$1:$1</definedName>
    <definedName name="_xlnm.Print_Titles" localSheetId="7">Depreciation!$1:$12</definedName>
    <definedName name="_xlnm.Print_Titles" localSheetId="5">'Legal '!$1:$1</definedName>
    <definedName name="_xlnm.Print_Titles" localSheetId="9">Payroll!$1:$5</definedName>
    <definedName name="_xlnm.Print_Titles" localSheetId="1">'Pro Forma'!$1:$5</definedName>
    <definedName name="_xlnm.Print_Titles" localSheetId="3">'Restaing Adjustments'!$1:$7</definedName>
    <definedName name="_xlnm.Print_Titles" localSheetId="0">'Semi Annual '!$1:$4</definedName>
  </definedNames>
  <calcPr calcId="162913"/>
</workbook>
</file>

<file path=xl/calcChain.xml><?xml version="1.0" encoding="utf-8"?>
<calcChain xmlns="http://schemas.openxmlformats.org/spreadsheetml/2006/main">
  <c r="Q31" i="5" l="1"/>
  <c r="O67" i="12"/>
  <c r="N67" i="12"/>
  <c r="Q27" i="5" s="1"/>
  <c r="N62" i="12"/>
  <c r="N61" i="12"/>
  <c r="N59" i="12"/>
  <c r="N58" i="12"/>
  <c r="N57" i="12"/>
  <c r="N56" i="12"/>
  <c r="N53" i="12"/>
  <c r="N52" i="12"/>
  <c r="N51" i="12"/>
  <c r="N44" i="12"/>
  <c r="N43" i="12"/>
  <c r="N42" i="12"/>
  <c r="N41" i="12"/>
  <c r="N39" i="12"/>
  <c r="O37" i="12"/>
  <c r="O36" i="12"/>
  <c r="N35" i="12"/>
  <c r="N34" i="12"/>
  <c r="N33" i="12"/>
  <c r="N32" i="12"/>
  <c r="N31" i="12"/>
  <c r="N30" i="12"/>
  <c r="O27" i="12"/>
  <c r="N22" i="12"/>
  <c r="O21" i="12"/>
  <c r="N20" i="12"/>
  <c r="N19" i="12"/>
  <c r="N17" i="12"/>
  <c r="N15" i="12"/>
  <c r="N13" i="12"/>
  <c r="O11" i="12"/>
  <c r="O10" i="12"/>
  <c r="Q59" i="5" l="1"/>
  <c r="F37" i="5"/>
  <c r="F59" i="5" s="1"/>
  <c r="H37" i="3"/>
  <c r="H30" i="10"/>
  <c r="H40" i="10"/>
  <c r="H39" i="10"/>
  <c r="D14" i="4" l="1"/>
  <c r="H24" i="13"/>
  <c r="H21" i="13"/>
  <c r="H15" i="13"/>
  <c r="H11" i="13"/>
  <c r="H5" i="13"/>
  <c r="E24" i="13"/>
  <c r="D24" i="13"/>
  <c r="E15" i="13" l="1"/>
  <c r="E11" i="13"/>
  <c r="M24" i="13" l="1"/>
  <c r="K24" i="13"/>
  <c r="E23" i="13"/>
  <c r="M23" i="13" s="1"/>
  <c r="D23" i="13"/>
  <c r="E22" i="13"/>
  <c r="M22" i="13" s="1"/>
  <c r="D22" i="13"/>
  <c r="H22" i="13" s="1"/>
  <c r="M21" i="13"/>
  <c r="K21" i="13"/>
  <c r="E18" i="13"/>
  <c r="M18" i="13" s="1"/>
  <c r="D18" i="13"/>
  <c r="H18" i="13" s="1"/>
  <c r="E17" i="13"/>
  <c r="M17" i="13" s="1"/>
  <c r="D17" i="13"/>
  <c r="K16" i="13"/>
  <c r="E16" i="13"/>
  <c r="M16" i="13" s="1"/>
  <c r="D16" i="13"/>
  <c r="H16" i="13" s="1"/>
  <c r="M15" i="13"/>
  <c r="K15" i="13"/>
  <c r="E14" i="13"/>
  <c r="M14" i="13" s="1"/>
  <c r="D14" i="13"/>
  <c r="E13" i="13"/>
  <c r="M13" i="13" s="1"/>
  <c r="D13" i="13"/>
  <c r="E12" i="13"/>
  <c r="M12" i="13" s="1"/>
  <c r="D12" i="13"/>
  <c r="M11" i="13"/>
  <c r="K11" i="13"/>
  <c r="E8" i="13"/>
  <c r="M8" i="13" s="1"/>
  <c r="D8" i="13"/>
  <c r="E7" i="13"/>
  <c r="M7" i="13" s="1"/>
  <c r="D7" i="13"/>
  <c r="H7" i="13" s="1"/>
  <c r="E6" i="13"/>
  <c r="M6" i="13" s="1"/>
  <c r="D6" i="13"/>
  <c r="M5" i="13"/>
  <c r="K5" i="13"/>
  <c r="K67" i="12"/>
  <c r="I67" i="12"/>
  <c r="G67" i="12"/>
  <c r="E67" i="12"/>
  <c r="M66" i="12"/>
  <c r="L66" i="12"/>
  <c r="M65" i="12"/>
  <c r="L65" i="12"/>
  <c r="M64" i="12"/>
  <c r="L64" i="12"/>
  <c r="M63" i="12"/>
  <c r="L63" i="12"/>
  <c r="M62" i="12"/>
  <c r="L62" i="12"/>
  <c r="M61" i="12"/>
  <c r="L61" i="12"/>
  <c r="M60" i="12"/>
  <c r="L60" i="12"/>
  <c r="M59" i="12"/>
  <c r="L59" i="12"/>
  <c r="M58" i="12"/>
  <c r="L58" i="12"/>
  <c r="M57" i="12"/>
  <c r="L57" i="12"/>
  <c r="M56" i="12"/>
  <c r="L56" i="12"/>
  <c r="M55" i="12"/>
  <c r="L55" i="12"/>
  <c r="M54" i="12"/>
  <c r="L54" i="12"/>
  <c r="M53" i="12"/>
  <c r="L53" i="12"/>
  <c r="M52" i="12"/>
  <c r="L52" i="12"/>
  <c r="M51" i="12"/>
  <c r="L51" i="12"/>
  <c r="M50" i="12"/>
  <c r="L50" i="12"/>
  <c r="M49" i="12"/>
  <c r="L49" i="12"/>
  <c r="M48" i="12"/>
  <c r="F48" i="12"/>
  <c r="L48" i="12" s="1"/>
  <c r="M47" i="12"/>
  <c r="L47" i="12"/>
  <c r="M46" i="12"/>
  <c r="L46" i="12"/>
  <c r="M45" i="12"/>
  <c r="L45" i="12"/>
  <c r="M44" i="12"/>
  <c r="L44" i="12"/>
  <c r="M43" i="12"/>
  <c r="L43" i="12"/>
  <c r="M42" i="12"/>
  <c r="L42" i="12"/>
  <c r="M41" i="12"/>
  <c r="L41" i="12"/>
  <c r="M40" i="12"/>
  <c r="L40" i="12"/>
  <c r="M39" i="12"/>
  <c r="L39" i="12"/>
  <c r="M38" i="12"/>
  <c r="L38" i="12"/>
  <c r="M37" i="12"/>
  <c r="L37" i="12"/>
  <c r="M36" i="12"/>
  <c r="L36" i="12"/>
  <c r="M35" i="12"/>
  <c r="L35" i="12"/>
  <c r="M34" i="12"/>
  <c r="L34" i="12"/>
  <c r="M33" i="12"/>
  <c r="L33" i="12"/>
  <c r="M32" i="12"/>
  <c r="L32" i="12"/>
  <c r="M31" i="12"/>
  <c r="L31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D24" i="12"/>
  <c r="L24" i="12" s="1"/>
  <c r="M23" i="12"/>
  <c r="L23" i="12"/>
  <c r="M22" i="12"/>
  <c r="L22" i="12"/>
  <c r="M21" i="12"/>
  <c r="L21" i="12"/>
  <c r="M20" i="12"/>
  <c r="L20" i="12"/>
  <c r="M19" i="12"/>
  <c r="L19" i="12"/>
  <c r="M18" i="12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M7" i="12"/>
  <c r="L7" i="12"/>
  <c r="C7" i="12"/>
  <c r="M6" i="12"/>
  <c r="M67" i="12" s="1"/>
  <c r="L6" i="12"/>
  <c r="K13" i="13" l="1"/>
  <c r="H13" i="13"/>
  <c r="I25" i="13"/>
  <c r="K7" i="13"/>
  <c r="K17" i="13"/>
  <c r="H17" i="13"/>
  <c r="K8" i="13"/>
  <c r="H8" i="13"/>
  <c r="K14" i="13"/>
  <c r="H14" i="13"/>
  <c r="K22" i="13"/>
  <c r="I19" i="13"/>
  <c r="K23" i="13"/>
  <c r="H23" i="13"/>
  <c r="K6" i="13"/>
  <c r="H6" i="13"/>
  <c r="I9" i="13" s="1"/>
  <c r="K18" i="13"/>
  <c r="K12" i="13"/>
  <c r="H12" i="13"/>
  <c r="K26" i="13"/>
  <c r="M26" i="13"/>
  <c r="H32" i="10"/>
  <c r="H29" i="10"/>
  <c r="R37" i="5" s="1"/>
  <c r="R59" i="5" s="1"/>
  <c r="F29" i="10"/>
  <c r="E29" i="10"/>
  <c r="D29" i="10"/>
  <c r="H18" i="10"/>
  <c r="H34" i="10" s="1"/>
  <c r="I26" i="13" l="1"/>
  <c r="N26" i="13"/>
  <c r="H33" i="10"/>
  <c r="H35" i="10" s="1"/>
  <c r="H41" i="10" l="1"/>
  <c r="P39" i="5" l="1"/>
  <c r="W265" i="8"/>
  <c r="U265" i="8"/>
  <c r="K265" i="8"/>
  <c r="AH264" i="8"/>
  <c r="AG264" i="8"/>
  <c r="AE264" i="8"/>
  <c r="AD264" i="8"/>
  <c r="AC264" i="8"/>
  <c r="AB264" i="8"/>
  <c r="AA264" i="8"/>
  <c r="P264" i="8"/>
  <c r="N264" i="8"/>
  <c r="H264" i="8"/>
  <c r="AF264" i="8" s="1"/>
  <c r="AH263" i="8"/>
  <c r="AG263" i="8"/>
  <c r="AF263" i="8"/>
  <c r="AE263" i="8"/>
  <c r="AD263" i="8"/>
  <c r="AB263" i="8"/>
  <c r="AA263" i="8"/>
  <c r="X263" i="8"/>
  <c r="V263" i="8"/>
  <c r="V265" i="8" s="1"/>
  <c r="P263" i="8"/>
  <c r="N263" i="8"/>
  <c r="M263" i="8"/>
  <c r="M265" i="8" s="1"/>
  <c r="H263" i="8"/>
  <c r="AC263" i="8" s="1"/>
  <c r="W261" i="8"/>
  <c r="T261" i="8"/>
  <c r="R261" i="8"/>
  <c r="L261" i="8"/>
  <c r="K261" i="8"/>
  <c r="AH260" i="8"/>
  <c r="AG260" i="8"/>
  <c r="AE260" i="8"/>
  <c r="AD260" i="8"/>
  <c r="AC260" i="8"/>
  <c r="AB260" i="8"/>
  <c r="AA260" i="8"/>
  <c r="P260" i="8"/>
  <c r="N260" i="8"/>
  <c r="M260" i="8"/>
  <c r="H260" i="8"/>
  <c r="AF260" i="8" s="1"/>
  <c r="AH259" i="8"/>
  <c r="AG259" i="8"/>
  <c r="AE259" i="8"/>
  <c r="AD259" i="8"/>
  <c r="AB259" i="8"/>
  <c r="AA259" i="8"/>
  <c r="P259" i="8"/>
  <c r="N259" i="8"/>
  <c r="M259" i="8"/>
  <c r="H259" i="8"/>
  <c r="AH258" i="8"/>
  <c r="AG258" i="8"/>
  <c r="AE258" i="8"/>
  <c r="AD258" i="8"/>
  <c r="AC258" i="8"/>
  <c r="AB258" i="8"/>
  <c r="AA258" i="8"/>
  <c r="P258" i="8"/>
  <c r="N258" i="8"/>
  <c r="M258" i="8"/>
  <c r="H258" i="8"/>
  <c r="AF258" i="8" s="1"/>
  <c r="AH257" i="8"/>
  <c r="AG257" i="8"/>
  <c r="AE257" i="8"/>
  <c r="AD257" i="8"/>
  <c r="AC257" i="8"/>
  <c r="U257" i="8" s="1"/>
  <c r="V257" i="8" s="1"/>
  <c r="X257" i="8" s="1"/>
  <c r="AB257" i="8"/>
  <c r="AA257" i="8"/>
  <c r="P257" i="8"/>
  <c r="M257" i="8"/>
  <c r="N257" i="8" s="1"/>
  <c r="H257" i="8"/>
  <c r="AF257" i="8" s="1"/>
  <c r="AH256" i="8"/>
  <c r="AG256" i="8"/>
  <c r="AE256" i="8"/>
  <c r="AD256" i="8"/>
  <c r="AC256" i="8"/>
  <c r="AB256" i="8"/>
  <c r="AA256" i="8"/>
  <c r="P256" i="8"/>
  <c r="O256" i="8"/>
  <c r="Q256" i="8" s="1"/>
  <c r="N256" i="8"/>
  <c r="M256" i="8"/>
  <c r="H256" i="8"/>
  <c r="AF256" i="8" s="1"/>
  <c r="AH255" i="8"/>
  <c r="AG255" i="8"/>
  <c r="AE255" i="8"/>
  <c r="AD255" i="8"/>
  <c r="AC255" i="8"/>
  <c r="U255" i="8" s="1"/>
  <c r="V255" i="8" s="1"/>
  <c r="X255" i="8" s="1"/>
  <c r="AB255" i="8"/>
  <c r="AA255" i="8"/>
  <c r="P255" i="8"/>
  <c r="M255" i="8"/>
  <c r="N255" i="8" s="1"/>
  <c r="H255" i="8"/>
  <c r="AF255" i="8" s="1"/>
  <c r="AH254" i="8"/>
  <c r="AG254" i="8"/>
  <c r="AE254" i="8"/>
  <c r="AD254" i="8"/>
  <c r="AC254" i="8"/>
  <c r="AB254" i="8"/>
  <c r="AA254" i="8"/>
  <c r="P254" i="8"/>
  <c r="N254" i="8"/>
  <c r="M254" i="8"/>
  <c r="H254" i="8"/>
  <c r="AF254" i="8" s="1"/>
  <c r="AH253" i="8"/>
  <c r="AG253" i="8"/>
  <c r="AE253" i="8"/>
  <c r="AD253" i="8"/>
  <c r="U253" i="8" s="1"/>
  <c r="V253" i="8" s="1"/>
  <c r="X253" i="8" s="1"/>
  <c r="AC253" i="8"/>
  <c r="AB253" i="8"/>
  <c r="AA253" i="8"/>
  <c r="P253" i="8"/>
  <c r="N253" i="8"/>
  <c r="M253" i="8"/>
  <c r="H253" i="8"/>
  <c r="AF253" i="8" s="1"/>
  <c r="AH252" i="8"/>
  <c r="AG252" i="8"/>
  <c r="AE252" i="8"/>
  <c r="AD252" i="8"/>
  <c r="AC252" i="8"/>
  <c r="AB252" i="8"/>
  <c r="O252" i="8" s="1"/>
  <c r="S252" i="8" s="1"/>
  <c r="AA252" i="8"/>
  <c r="Q252" i="8"/>
  <c r="P252" i="8"/>
  <c r="N252" i="8"/>
  <c r="M252" i="8"/>
  <c r="H252" i="8"/>
  <c r="AF252" i="8" s="1"/>
  <c r="AH251" i="8"/>
  <c r="AG251" i="8"/>
  <c r="AF251" i="8"/>
  <c r="AE251" i="8"/>
  <c r="AD251" i="8"/>
  <c r="AC251" i="8"/>
  <c r="AB251" i="8"/>
  <c r="AA251" i="8"/>
  <c r="P251" i="8"/>
  <c r="M251" i="8"/>
  <c r="H251" i="8"/>
  <c r="AH250" i="8"/>
  <c r="AG250" i="8"/>
  <c r="AE250" i="8"/>
  <c r="AD250" i="8"/>
  <c r="AC250" i="8"/>
  <c r="AB250" i="8"/>
  <c r="AA250" i="8"/>
  <c r="P250" i="8"/>
  <c r="N250" i="8"/>
  <c r="M250" i="8"/>
  <c r="H250" i="8"/>
  <c r="AF250" i="8" s="1"/>
  <c r="W247" i="8"/>
  <c r="T247" i="8"/>
  <c r="R247" i="8"/>
  <c r="L247" i="8"/>
  <c r="K247" i="8"/>
  <c r="AH246" i="8"/>
  <c r="AG246" i="8"/>
  <c r="AE246" i="8"/>
  <c r="AD246" i="8"/>
  <c r="AC246" i="8"/>
  <c r="U246" i="8" s="1"/>
  <c r="V246" i="8" s="1"/>
  <c r="X246" i="8" s="1"/>
  <c r="AB246" i="8"/>
  <c r="AA246" i="8"/>
  <c r="P246" i="8"/>
  <c r="N246" i="8"/>
  <c r="M246" i="8"/>
  <c r="H246" i="8"/>
  <c r="AF246" i="8" s="1"/>
  <c r="AH245" i="8"/>
  <c r="AG245" i="8"/>
  <c r="AE245" i="8"/>
  <c r="AD245" i="8"/>
  <c r="AC245" i="8"/>
  <c r="AB245" i="8"/>
  <c r="O245" i="8" s="1"/>
  <c r="S245" i="8" s="1"/>
  <c r="AA245" i="8"/>
  <c r="P245" i="8"/>
  <c r="N245" i="8"/>
  <c r="M245" i="8"/>
  <c r="H245" i="8"/>
  <c r="AF245" i="8" s="1"/>
  <c r="AH244" i="8"/>
  <c r="AG244" i="8"/>
  <c r="AF244" i="8"/>
  <c r="AE244" i="8"/>
  <c r="AD244" i="8"/>
  <c r="AC244" i="8"/>
  <c r="AB244" i="8"/>
  <c r="AA244" i="8"/>
  <c r="U244" i="8"/>
  <c r="V244" i="8" s="1"/>
  <c r="X244" i="8" s="1"/>
  <c r="P244" i="8"/>
  <c r="N244" i="8"/>
  <c r="M244" i="8"/>
  <c r="H244" i="8"/>
  <c r="AH243" i="8"/>
  <c r="AG243" i="8"/>
  <c r="AE243" i="8"/>
  <c r="AD243" i="8"/>
  <c r="AC243" i="8"/>
  <c r="AB243" i="8"/>
  <c r="O243" i="8" s="1"/>
  <c r="AA243" i="8"/>
  <c r="P243" i="8"/>
  <c r="N243" i="8"/>
  <c r="M243" i="8"/>
  <c r="H243" i="8"/>
  <c r="AF243" i="8" s="1"/>
  <c r="AH242" i="8"/>
  <c r="AG242" i="8"/>
  <c r="AF242" i="8"/>
  <c r="AE242" i="8"/>
  <c r="AD242" i="8"/>
  <c r="AC242" i="8"/>
  <c r="U242" i="8" s="1"/>
  <c r="AB242" i="8"/>
  <c r="AA242" i="8"/>
  <c r="V242" i="8"/>
  <c r="X242" i="8" s="1"/>
  <c r="P242" i="8"/>
  <c r="N242" i="8"/>
  <c r="M242" i="8"/>
  <c r="H242" i="8"/>
  <c r="AH241" i="8"/>
  <c r="AG241" i="8"/>
  <c r="AE241" i="8"/>
  <c r="AD241" i="8"/>
  <c r="AC241" i="8"/>
  <c r="AB241" i="8"/>
  <c r="O241" i="8" s="1"/>
  <c r="S241" i="8" s="1"/>
  <c r="AA241" i="8"/>
  <c r="Q241" i="8"/>
  <c r="P241" i="8"/>
  <c r="N241" i="8"/>
  <c r="M241" i="8"/>
  <c r="H241" i="8"/>
  <c r="AF241" i="8" s="1"/>
  <c r="AH240" i="8"/>
  <c r="AG240" i="8"/>
  <c r="AF240" i="8"/>
  <c r="AE240" i="8"/>
  <c r="AD240" i="8"/>
  <c r="AC240" i="8"/>
  <c r="U240" i="8" s="1"/>
  <c r="V240" i="8" s="1"/>
  <c r="X240" i="8" s="1"/>
  <c r="AB240" i="8"/>
  <c r="AA240" i="8"/>
  <c r="P240" i="8"/>
  <c r="N240" i="8"/>
  <c r="M240" i="8"/>
  <c r="H240" i="8"/>
  <c r="AH239" i="8"/>
  <c r="AG239" i="8"/>
  <c r="AE239" i="8"/>
  <c r="AD239" i="8"/>
  <c r="AC239" i="8"/>
  <c r="AB239" i="8"/>
  <c r="AA239" i="8"/>
  <c r="P239" i="8"/>
  <c r="Q239" i="8" s="1"/>
  <c r="O239" i="8"/>
  <c r="N239" i="8"/>
  <c r="M239" i="8"/>
  <c r="H239" i="8"/>
  <c r="AF239" i="8" s="1"/>
  <c r="AH238" i="8"/>
  <c r="AG238" i="8"/>
  <c r="AF238" i="8"/>
  <c r="AE238" i="8"/>
  <c r="AD238" i="8"/>
  <c r="AB238" i="8"/>
  <c r="AA238" i="8"/>
  <c r="P238" i="8"/>
  <c r="M238" i="8"/>
  <c r="N238" i="8" s="1"/>
  <c r="H238" i="8"/>
  <c r="AC238" i="8" s="1"/>
  <c r="AH237" i="8"/>
  <c r="AG237" i="8"/>
  <c r="AE237" i="8"/>
  <c r="AD237" i="8"/>
  <c r="AC237" i="8"/>
  <c r="AB237" i="8"/>
  <c r="AA237" i="8"/>
  <c r="P237" i="8"/>
  <c r="N237" i="8"/>
  <c r="M237" i="8"/>
  <c r="H237" i="8"/>
  <c r="AF237" i="8" s="1"/>
  <c r="AH236" i="8"/>
  <c r="AG236" i="8"/>
  <c r="AE236" i="8"/>
  <c r="AD236" i="8"/>
  <c r="AB236" i="8"/>
  <c r="AA236" i="8"/>
  <c r="P236" i="8"/>
  <c r="N236" i="8"/>
  <c r="M236" i="8"/>
  <c r="H236" i="8"/>
  <c r="AH235" i="8"/>
  <c r="AG235" i="8"/>
  <c r="AE235" i="8"/>
  <c r="AD235" i="8"/>
  <c r="AC235" i="8"/>
  <c r="AB235" i="8"/>
  <c r="AA235" i="8"/>
  <c r="P235" i="8"/>
  <c r="N235" i="8"/>
  <c r="M235" i="8"/>
  <c r="H235" i="8"/>
  <c r="AF235" i="8" s="1"/>
  <c r="AH234" i="8"/>
  <c r="AG234" i="8"/>
  <c r="AF234" i="8"/>
  <c r="AE234" i="8"/>
  <c r="AD234" i="8"/>
  <c r="AB234" i="8"/>
  <c r="AA234" i="8"/>
  <c r="P234" i="8"/>
  <c r="M234" i="8"/>
  <c r="H234" i="8"/>
  <c r="AC234" i="8" s="1"/>
  <c r="AH233" i="8"/>
  <c r="AG233" i="8"/>
  <c r="AE233" i="8"/>
  <c r="AD233" i="8"/>
  <c r="AC233" i="8"/>
  <c r="AB233" i="8"/>
  <c r="AA233" i="8"/>
  <c r="P233" i="8"/>
  <c r="N233" i="8"/>
  <c r="M233" i="8"/>
  <c r="H233" i="8"/>
  <c r="AF233" i="8" s="1"/>
  <c r="W229" i="8"/>
  <c r="T229" i="8"/>
  <c r="R229" i="8"/>
  <c r="L229" i="8"/>
  <c r="K229" i="8"/>
  <c r="AH228" i="8"/>
  <c r="AG228" i="8"/>
  <c r="AE228" i="8"/>
  <c r="AD228" i="8"/>
  <c r="AB228" i="8"/>
  <c r="AA228" i="8"/>
  <c r="S228" i="8"/>
  <c r="P228" i="8"/>
  <c r="Q228" i="8" s="1"/>
  <c r="M228" i="8"/>
  <c r="H228" i="8"/>
  <c r="AH227" i="8"/>
  <c r="AG227" i="8"/>
  <c r="AF227" i="8"/>
  <c r="AE227" i="8"/>
  <c r="AD227" i="8"/>
  <c r="AB227" i="8"/>
  <c r="AA227" i="8"/>
  <c r="U227" i="8" s="1"/>
  <c r="V227" i="8" s="1"/>
  <c r="X227" i="8" s="1"/>
  <c r="Z227" i="8"/>
  <c r="Y227" i="8"/>
  <c r="Q227" i="8"/>
  <c r="P227" i="8"/>
  <c r="S227" i="8" s="1"/>
  <c r="N227" i="8"/>
  <c r="M227" i="8"/>
  <c r="H227" i="8"/>
  <c r="AC227" i="8" s="1"/>
  <c r="AH226" i="8"/>
  <c r="AG226" i="8"/>
  <c r="AE226" i="8"/>
  <c r="AD226" i="8"/>
  <c r="AC226" i="8"/>
  <c r="AB226" i="8"/>
  <c r="AA226" i="8"/>
  <c r="U226" i="8"/>
  <c r="V226" i="8" s="1"/>
  <c r="X226" i="8" s="1"/>
  <c r="P226" i="8"/>
  <c r="N226" i="8"/>
  <c r="M226" i="8"/>
  <c r="H226" i="8"/>
  <c r="AF226" i="8" s="1"/>
  <c r="AH225" i="8"/>
  <c r="AG225" i="8"/>
  <c r="AF225" i="8"/>
  <c r="AE225" i="8"/>
  <c r="AD225" i="8"/>
  <c r="AB225" i="8"/>
  <c r="AA225" i="8"/>
  <c r="P225" i="8"/>
  <c r="M225" i="8"/>
  <c r="H225" i="8"/>
  <c r="AC225" i="8" s="1"/>
  <c r="AH224" i="8"/>
  <c r="AG224" i="8"/>
  <c r="AE224" i="8"/>
  <c r="AD224" i="8"/>
  <c r="AC224" i="8"/>
  <c r="AB224" i="8"/>
  <c r="AA224" i="8"/>
  <c r="P224" i="8"/>
  <c r="N224" i="8"/>
  <c r="M224" i="8"/>
  <c r="H224" i="8"/>
  <c r="AF224" i="8" s="1"/>
  <c r="AH223" i="8"/>
  <c r="AG223" i="8"/>
  <c r="AF223" i="8"/>
  <c r="AE223" i="8"/>
  <c r="AD223" i="8"/>
  <c r="AC223" i="8"/>
  <c r="AB223" i="8"/>
  <c r="AA223" i="8"/>
  <c r="P223" i="8"/>
  <c r="M223" i="8"/>
  <c r="N223" i="8" s="1"/>
  <c r="H223" i="8"/>
  <c r="AH222" i="8"/>
  <c r="AG222" i="8"/>
  <c r="AE222" i="8"/>
  <c r="AD222" i="8"/>
  <c r="AC222" i="8"/>
  <c r="AB222" i="8"/>
  <c r="AA222" i="8"/>
  <c r="P222" i="8"/>
  <c r="N222" i="8"/>
  <c r="M222" i="8"/>
  <c r="H222" i="8"/>
  <c r="AF222" i="8" s="1"/>
  <c r="AH221" i="8"/>
  <c r="AG221" i="8"/>
  <c r="AF221" i="8"/>
  <c r="AE221" i="8"/>
  <c r="AD221" i="8"/>
  <c r="AC221" i="8"/>
  <c r="AB221" i="8"/>
  <c r="AA221" i="8"/>
  <c r="P221" i="8"/>
  <c r="N221" i="8"/>
  <c r="M221" i="8"/>
  <c r="H221" i="8"/>
  <c r="AH220" i="8"/>
  <c r="AG220" i="8"/>
  <c r="AE220" i="8"/>
  <c r="AD220" i="8"/>
  <c r="AC220" i="8"/>
  <c r="AB220" i="8"/>
  <c r="AA220" i="8"/>
  <c r="P220" i="8"/>
  <c r="O220" i="8"/>
  <c r="N220" i="8"/>
  <c r="M220" i="8"/>
  <c r="H220" i="8"/>
  <c r="AF220" i="8" s="1"/>
  <c r="AH219" i="8"/>
  <c r="AG219" i="8"/>
  <c r="AE219" i="8"/>
  <c r="AD219" i="8"/>
  <c r="AB219" i="8"/>
  <c r="AA219" i="8"/>
  <c r="P219" i="8"/>
  <c r="N219" i="8"/>
  <c r="M219" i="8"/>
  <c r="H219" i="8"/>
  <c r="AC219" i="8" s="1"/>
  <c r="AH218" i="8"/>
  <c r="AG218" i="8"/>
  <c r="AE218" i="8"/>
  <c r="AD218" i="8"/>
  <c r="AC218" i="8"/>
  <c r="AB218" i="8"/>
  <c r="AA218" i="8"/>
  <c r="S218" i="8"/>
  <c r="Q218" i="8"/>
  <c r="P218" i="8"/>
  <c r="O218" i="8"/>
  <c r="N218" i="8"/>
  <c r="M218" i="8"/>
  <c r="H218" i="8"/>
  <c r="AF218" i="8" s="1"/>
  <c r="AH217" i="8"/>
  <c r="AG217" i="8"/>
  <c r="AF217" i="8"/>
  <c r="AE217" i="8"/>
  <c r="AD217" i="8"/>
  <c r="AB217" i="8"/>
  <c r="AA217" i="8"/>
  <c r="X217" i="8"/>
  <c r="U217" i="8"/>
  <c r="V217" i="8" s="1"/>
  <c r="P217" i="8"/>
  <c r="M217" i="8"/>
  <c r="N217" i="8" s="1"/>
  <c r="H217" i="8"/>
  <c r="AC217" i="8" s="1"/>
  <c r="AH216" i="8"/>
  <c r="AG216" i="8"/>
  <c r="AE216" i="8"/>
  <c r="AD216" i="8"/>
  <c r="AC216" i="8"/>
  <c r="AB216" i="8"/>
  <c r="AA216" i="8"/>
  <c r="P216" i="8"/>
  <c r="N216" i="8"/>
  <c r="M216" i="8"/>
  <c r="H216" i="8"/>
  <c r="AF216" i="8" s="1"/>
  <c r="AH215" i="8"/>
  <c r="AG215" i="8"/>
  <c r="AE215" i="8"/>
  <c r="AD215" i="8"/>
  <c r="AB215" i="8"/>
  <c r="AA215" i="8"/>
  <c r="P215" i="8"/>
  <c r="N215" i="8"/>
  <c r="M215" i="8"/>
  <c r="H215" i="8"/>
  <c r="AC215" i="8" s="1"/>
  <c r="AH214" i="8"/>
  <c r="AG214" i="8"/>
  <c r="AE214" i="8"/>
  <c r="AD214" i="8"/>
  <c r="AC214" i="8"/>
  <c r="AB214" i="8"/>
  <c r="AA214" i="8"/>
  <c r="P214" i="8"/>
  <c r="N214" i="8"/>
  <c r="M214" i="8"/>
  <c r="H214" i="8"/>
  <c r="AF214" i="8" s="1"/>
  <c r="AH213" i="8"/>
  <c r="AG213" i="8"/>
  <c r="AE213" i="8"/>
  <c r="AD213" i="8"/>
  <c r="AB213" i="8"/>
  <c r="AA213" i="8"/>
  <c r="P213" i="8"/>
  <c r="N213" i="8"/>
  <c r="M213" i="8"/>
  <c r="H213" i="8"/>
  <c r="AF213" i="8" s="1"/>
  <c r="AH212" i="8"/>
  <c r="AG212" i="8"/>
  <c r="AE212" i="8"/>
  <c r="AD212" i="8"/>
  <c r="AC212" i="8"/>
  <c r="AB212" i="8"/>
  <c r="AA212" i="8"/>
  <c r="P212" i="8"/>
  <c r="N212" i="8"/>
  <c r="M212" i="8"/>
  <c r="H212" i="8"/>
  <c r="AF212" i="8" s="1"/>
  <c r="AH211" i="8"/>
  <c r="AG211" i="8"/>
  <c r="AE211" i="8"/>
  <c r="AD211" i="8"/>
  <c r="AB211" i="8"/>
  <c r="AA211" i="8"/>
  <c r="P211" i="8"/>
  <c r="N211" i="8"/>
  <c r="M211" i="8"/>
  <c r="H211" i="8"/>
  <c r="AH210" i="8"/>
  <c r="AG210" i="8"/>
  <c r="AE210" i="8"/>
  <c r="AD210" i="8"/>
  <c r="AC210" i="8"/>
  <c r="O210" i="8" s="1"/>
  <c r="S210" i="8" s="1"/>
  <c r="AB210" i="8"/>
  <c r="AA210" i="8"/>
  <c r="P210" i="8"/>
  <c r="N210" i="8"/>
  <c r="M210" i="8"/>
  <c r="H210" i="8"/>
  <c r="AF210" i="8" s="1"/>
  <c r="AH209" i="8"/>
  <c r="AG209" i="8"/>
  <c r="AE209" i="8"/>
  <c r="AD209" i="8"/>
  <c r="AB209" i="8"/>
  <c r="AA209" i="8"/>
  <c r="P209" i="8"/>
  <c r="N209" i="8"/>
  <c r="M209" i="8"/>
  <c r="H209" i="8"/>
  <c r="AF209" i="8" s="1"/>
  <c r="AH208" i="8"/>
  <c r="AG208" i="8"/>
  <c r="AE208" i="8"/>
  <c r="AD208" i="8"/>
  <c r="AC208" i="8"/>
  <c r="AB208" i="8"/>
  <c r="AA208" i="8"/>
  <c r="P208" i="8"/>
  <c r="N208" i="8"/>
  <c r="M208" i="8"/>
  <c r="H208" i="8"/>
  <c r="AF208" i="8" s="1"/>
  <c r="AH207" i="8"/>
  <c r="AG207" i="8"/>
  <c r="AF207" i="8"/>
  <c r="AE207" i="8"/>
  <c r="AD207" i="8"/>
  <c r="AC207" i="8"/>
  <c r="AB207" i="8"/>
  <c r="AA207" i="8"/>
  <c r="P207" i="8"/>
  <c r="M207" i="8"/>
  <c r="N207" i="8" s="1"/>
  <c r="U207" i="8" s="1"/>
  <c r="V207" i="8" s="1"/>
  <c r="X207" i="8" s="1"/>
  <c r="H207" i="8"/>
  <c r="AH206" i="8"/>
  <c r="AG206" i="8"/>
  <c r="AE206" i="8"/>
  <c r="AD206" i="8"/>
  <c r="AC206" i="8"/>
  <c r="AB206" i="8"/>
  <c r="AA206" i="8"/>
  <c r="P206" i="8"/>
  <c r="N206" i="8"/>
  <c r="M206" i="8"/>
  <c r="H206" i="8"/>
  <c r="AF206" i="8" s="1"/>
  <c r="AH205" i="8"/>
  <c r="AG205" i="8"/>
  <c r="AF205" i="8"/>
  <c r="AE205" i="8"/>
  <c r="AD205" i="8"/>
  <c r="AC205" i="8"/>
  <c r="AB205" i="8"/>
  <c r="AA205" i="8"/>
  <c r="U205" i="8"/>
  <c r="V205" i="8" s="1"/>
  <c r="X205" i="8" s="1"/>
  <c r="P205" i="8"/>
  <c r="N205" i="8"/>
  <c r="M205" i="8"/>
  <c r="H205" i="8"/>
  <c r="AH204" i="8"/>
  <c r="AG204" i="8"/>
  <c r="AE204" i="8"/>
  <c r="AD204" i="8"/>
  <c r="AC204" i="8"/>
  <c r="AB204" i="8"/>
  <c r="AA204" i="8"/>
  <c r="P204" i="8"/>
  <c r="N204" i="8"/>
  <c r="O204" i="8" s="1"/>
  <c r="M204" i="8"/>
  <c r="H204" i="8"/>
  <c r="AF204" i="8" s="1"/>
  <c r="AH203" i="8"/>
  <c r="AG203" i="8"/>
  <c r="AF203" i="8"/>
  <c r="AE203" i="8"/>
  <c r="AD203" i="8"/>
  <c r="AC203" i="8"/>
  <c r="AB203" i="8"/>
  <c r="AA203" i="8"/>
  <c r="P203" i="8"/>
  <c r="N203" i="8"/>
  <c r="M203" i="8"/>
  <c r="H203" i="8"/>
  <c r="AH202" i="8"/>
  <c r="AG202" i="8"/>
  <c r="AF202" i="8"/>
  <c r="AE202" i="8"/>
  <c r="AD202" i="8"/>
  <c r="U202" i="8" s="1"/>
  <c r="V202" i="8" s="1"/>
  <c r="AC202" i="8"/>
  <c r="AB202" i="8"/>
  <c r="AA202" i="8"/>
  <c r="X202" i="8"/>
  <c r="S202" i="8"/>
  <c r="P202" i="8"/>
  <c r="O202" i="8"/>
  <c r="Q202" i="8" s="1"/>
  <c r="M202" i="8"/>
  <c r="N202" i="8" s="1"/>
  <c r="H202" i="8"/>
  <c r="AH201" i="8"/>
  <c r="AG201" i="8"/>
  <c r="AF201" i="8"/>
  <c r="AE201" i="8"/>
  <c r="AD201" i="8"/>
  <c r="AC201" i="8"/>
  <c r="AB201" i="8"/>
  <c r="AA201" i="8"/>
  <c r="S201" i="8"/>
  <c r="P201" i="8"/>
  <c r="N201" i="8"/>
  <c r="O201" i="8" s="1"/>
  <c r="Q201" i="8" s="1"/>
  <c r="M201" i="8"/>
  <c r="H201" i="8"/>
  <c r="AH200" i="8"/>
  <c r="AG200" i="8"/>
  <c r="AF200" i="8"/>
  <c r="AE200" i="8"/>
  <c r="AD200" i="8"/>
  <c r="AB200" i="8"/>
  <c r="AA200" i="8"/>
  <c r="P200" i="8"/>
  <c r="N200" i="8"/>
  <c r="M200" i="8"/>
  <c r="H200" i="8"/>
  <c r="AC200" i="8" s="1"/>
  <c r="O200" i="8" s="1"/>
  <c r="Q200" i="8" s="1"/>
  <c r="AH199" i="8"/>
  <c r="AG199" i="8"/>
  <c r="AF199" i="8"/>
  <c r="AE199" i="8"/>
  <c r="AD199" i="8"/>
  <c r="AC199" i="8"/>
  <c r="AB199" i="8"/>
  <c r="AA199" i="8"/>
  <c r="U199" i="8"/>
  <c r="V199" i="8" s="1"/>
  <c r="X199" i="8" s="1"/>
  <c r="P199" i="8"/>
  <c r="N199" i="8"/>
  <c r="M199" i="8"/>
  <c r="H199" i="8"/>
  <c r="AH198" i="8"/>
  <c r="AG198" i="8"/>
  <c r="AF198" i="8"/>
  <c r="AE198" i="8"/>
  <c r="AD198" i="8"/>
  <c r="AB198" i="8"/>
  <c r="AA198" i="8"/>
  <c r="U198" i="8"/>
  <c r="V198" i="8" s="1"/>
  <c r="X198" i="8" s="1"/>
  <c r="P198" i="8"/>
  <c r="O198" i="8"/>
  <c r="M198" i="8"/>
  <c r="N198" i="8" s="1"/>
  <c r="H198" i="8"/>
  <c r="AC198" i="8" s="1"/>
  <c r="AH197" i="8"/>
  <c r="AG197" i="8"/>
  <c r="AF197" i="8"/>
  <c r="AE197" i="8"/>
  <c r="AD197" i="8"/>
  <c r="AC197" i="8"/>
  <c r="AB197" i="8"/>
  <c r="AA197" i="8"/>
  <c r="P197" i="8"/>
  <c r="N197" i="8"/>
  <c r="M197" i="8"/>
  <c r="H197" i="8"/>
  <c r="AH196" i="8"/>
  <c r="AG196" i="8"/>
  <c r="AF196" i="8"/>
  <c r="AE196" i="8"/>
  <c r="AD196" i="8"/>
  <c r="AC196" i="8"/>
  <c r="U196" i="8" s="1"/>
  <c r="AB196" i="8"/>
  <c r="AA196" i="8"/>
  <c r="V196" i="8"/>
  <c r="X196" i="8" s="1"/>
  <c r="P196" i="8"/>
  <c r="N196" i="8"/>
  <c r="M196" i="8"/>
  <c r="H196" i="8"/>
  <c r="AH195" i="8"/>
  <c r="AG195" i="8"/>
  <c r="AF195" i="8"/>
  <c r="AE195" i="8"/>
  <c r="AD195" i="8"/>
  <c r="AC195" i="8"/>
  <c r="AB195" i="8"/>
  <c r="AA195" i="8"/>
  <c r="U195" i="8"/>
  <c r="V195" i="8" s="1"/>
  <c r="X195" i="8" s="1"/>
  <c r="P195" i="8"/>
  <c r="N195" i="8"/>
  <c r="M195" i="8"/>
  <c r="H195" i="8"/>
  <c r="AH194" i="8"/>
  <c r="AG194" i="8"/>
  <c r="AE194" i="8"/>
  <c r="AD194" i="8"/>
  <c r="AC194" i="8"/>
  <c r="AB194" i="8"/>
  <c r="AA194" i="8"/>
  <c r="P194" i="8"/>
  <c r="N194" i="8"/>
  <c r="M194" i="8"/>
  <c r="H194" i="8"/>
  <c r="AF194" i="8" s="1"/>
  <c r="AH193" i="8"/>
  <c r="AG193" i="8"/>
  <c r="AF193" i="8"/>
  <c r="AE193" i="8"/>
  <c r="AD193" i="8"/>
  <c r="AC193" i="8"/>
  <c r="AB193" i="8"/>
  <c r="AA193" i="8"/>
  <c r="P193" i="8"/>
  <c r="N193" i="8"/>
  <c r="M193" i="8"/>
  <c r="H193" i="8"/>
  <c r="AH192" i="8"/>
  <c r="AG192" i="8"/>
  <c r="AF192" i="8"/>
  <c r="AE192" i="8"/>
  <c r="AD192" i="8"/>
  <c r="AC192" i="8"/>
  <c r="AB192" i="8"/>
  <c r="AA192" i="8"/>
  <c r="P192" i="8"/>
  <c r="N192" i="8"/>
  <c r="M192" i="8"/>
  <c r="H192" i="8"/>
  <c r="AH191" i="8"/>
  <c r="AG191" i="8"/>
  <c r="AF191" i="8"/>
  <c r="AE191" i="8"/>
  <c r="AD191" i="8"/>
  <c r="AC191" i="8"/>
  <c r="AB191" i="8"/>
  <c r="AA191" i="8"/>
  <c r="U191" i="8"/>
  <c r="V191" i="8" s="1"/>
  <c r="X191" i="8" s="1"/>
  <c r="P191" i="8"/>
  <c r="N191" i="8"/>
  <c r="M191" i="8"/>
  <c r="H191" i="8"/>
  <c r="AH190" i="8"/>
  <c r="AG190" i="8"/>
  <c r="AE190" i="8"/>
  <c r="AD190" i="8"/>
  <c r="AC190" i="8"/>
  <c r="AB190" i="8"/>
  <c r="AA190" i="8"/>
  <c r="P190" i="8"/>
  <c r="M190" i="8"/>
  <c r="N190" i="8" s="1"/>
  <c r="H190" i="8"/>
  <c r="AF190" i="8" s="1"/>
  <c r="AH189" i="8"/>
  <c r="AG189" i="8"/>
  <c r="AF189" i="8"/>
  <c r="AE189" i="8"/>
  <c r="AD189" i="8"/>
  <c r="AC189" i="8"/>
  <c r="AB189" i="8"/>
  <c r="AA189" i="8"/>
  <c r="P189" i="8"/>
  <c r="N189" i="8"/>
  <c r="M189" i="8"/>
  <c r="H189" i="8"/>
  <c r="AH188" i="8"/>
  <c r="AG188" i="8"/>
  <c r="AE188" i="8"/>
  <c r="AD188" i="8"/>
  <c r="AB188" i="8"/>
  <c r="AA188" i="8"/>
  <c r="P188" i="8"/>
  <c r="N188" i="8"/>
  <c r="M188" i="8"/>
  <c r="H188" i="8"/>
  <c r="AH187" i="8"/>
  <c r="AG187" i="8"/>
  <c r="AF187" i="8"/>
  <c r="AE187" i="8"/>
  <c r="AD187" i="8"/>
  <c r="AC187" i="8"/>
  <c r="AB187" i="8"/>
  <c r="AA187" i="8"/>
  <c r="P187" i="8"/>
  <c r="N187" i="8"/>
  <c r="M187" i="8"/>
  <c r="H187" i="8"/>
  <c r="AH186" i="8"/>
  <c r="AG186" i="8"/>
  <c r="AE186" i="8"/>
  <c r="AD186" i="8"/>
  <c r="AB186" i="8"/>
  <c r="AA186" i="8"/>
  <c r="P186" i="8"/>
  <c r="M186" i="8"/>
  <c r="N186" i="8" s="1"/>
  <c r="H186" i="8"/>
  <c r="AH185" i="8"/>
  <c r="AG185" i="8"/>
  <c r="AF185" i="8"/>
  <c r="AE185" i="8"/>
  <c r="AD185" i="8"/>
  <c r="AC185" i="8"/>
  <c r="AB185" i="8"/>
  <c r="AA185" i="8"/>
  <c r="P185" i="8"/>
  <c r="O185" i="8"/>
  <c r="N185" i="8"/>
  <c r="M185" i="8"/>
  <c r="H185" i="8"/>
  <c r="AH184" i="8"/>
  <c r="AG184" i="8"/>
  <c r="AE184" i="8"/>
  <c r="AD184" i="8"/>
  <c r="AB184" i="8"/>
  <c r="AA184" i="8"/>
  <c r="P184" i="8"/>
  <c r="N184" i="8"/>
  <c r="M184" i="8"/>
  <c r="H184" i="8"/>
  <c r="AH183" i="8"/>
  <c r="AG183" i="8"/>
  <c r="AF183" i="8"/>
  <c r="AE183" i="8"/>
  <c r="AD183" i="8"/>
  <c r="AC183" i="8"/>
  <c r="AB183" i="8"/>
  <c r="AA183" i="8"/>
  <c r="U183" i="8"/>
  <c r="V183" i="8" s="1"/>
  <c r="X183" i="8" s="1"/>
  <c r="P183" i="8"/>
  <c r="N183" i="8"/>
  <c r="M183" i="8"/>
  <c r="H183" i="8"/>
  <c r="AH182" i="8"/>
  <c r="AG182" i="8"/>
  <c r="AE182" i="8"/>
  <c r="AD182" i="8"/>
  <c r="AB182" i="8"/>
  <c r="AA182" i="8"/>
  <c r="P182" i="8"/>
  <c r="N182" i="8"/>
  <c r="M182" i="8"/>
  <c r="H182" i="8"/>
  <c r="AH181" i="8"/>
  <c r="AG181" i="8"/>
  <c r="AF181" i="8"/>
  <c r="AE181" i="8"/>
  <c r="AD181" i="8"/>
  <c r="AC181" i="8"/>
  <c r="AB181" i="8"/>
  <c r="AA181" i="8"/>
  <c r="P181" i="8"/>
  <c r="N181" i="8"/>
  <c r="M181" i="8"/>
  <c r="H181" i="8"/>
  <c r="AH180" i="8"/>
  <c r="AG180" i="8"/>
  <c r="AF180" i="8"/>
  <c r="AE180" i="8"/>
  <c r="AD180" i="8"/>
  <c r="O180" i="8" s="1"/>
  <c r="AC180" i="8"/>
  <c r="AB180" i="8"/>
  <c r="AA180" i="8"/>
  <c r="U180" i="8"/>
  <c r="V180" i="8" s="1"/>
  <c r="X180" i="8" s="1"/>
  <c r="P180" i="8"/>
  <c r="N180" i="8"/>
  <c r="M180" i="8"/>
  <c r="H180" i="8"/>
  <c r="AH179" i="8"/>
  <c r="AG179" i="8"/>
  <c r="AF179" i="8"/>
  <c r="AE179" i="8"/>
  <c r="AD179" i="8"/>
  <c r="AC179" i="8"/>
  <c r="AB179" i="8"/>
  <c r="AA179" i="8"/>
  <c r="P179" i="8"/>
  <c r="N179" i="8"/>
  <c r="U179" i="8" s="1"/>
  <c r="V179" i="8" s="1"/>
  <c r="X179" i="8" s="1"/>
  <c r="M179" i="8"/>
  <c r="H179" i="8"/>
  <c r="AH178" i="8"/>
  <c r="AG178" i="8"/>
  <c r="AE178" i="8"/>
  <c r="AD178" i="8"/>
  <c r="AC178" i="8"/>
  <c r="AB178" i="8"/>
  <c r="AA178" i="8"/>
  <c r="P178" i="8"/>
  <c r="M178" i="8"/>
  <c r="N178" i="8" s="1"/>
  <c r="H178" i="8"/>
  <c r="AF178" i="8" s="1"/>
  <c r="AH177" i="8"/>
  <c r="AG177" i="8"/>
  <c r="AF177" i="8"/>
  <c r="AE177" i="8"/>
  <c r="AD177" i="8"/>
  <c r="AC177" i="8"/>
  <c r="AB177" i="8"/>
  <c r="AA177" i="8"/>
  <c r="P177" i="8"/>
  <c r="N177" i="8"/>
  <c r="M177" i="8"/>
  <c r="H177" i="8"/>
  <c r="AH176" i="8"/>
  <c r="AG176" i="8"/>
  <c r="AF176" i="8"/>
  <c r="AE176" i="8"/>
  <c r="AD176" i="8"/>
  <c r="AC176" i="8"/>
  <c r="AB176" i="8"/>
  <c r="AA176" i="8"/>
  <c r="P176" i="8"/>
  <c r="N176" i="8"/>
  <c r="U176" i="8" s="1"/>
  <c r="V176" i="8" s="1"/>
  <c r="X176" i="8" s="1"/>
  <c r="M176" i="8"/>
  <c r="H176" i="8"/>
  <c r="AH175" i="8"/>
  <c r="AG175" i="8"/>
  <c r="AF175" i="8"/>
  <c r="AE175" i="8"/>
  <c r="AD175" i="8"/>
  <c r="AC175" i="8"/>
  <c r="O175" i="8" s="1"/>
  <c r="S175" i="8" s="1"/>
  <c r="AB175" i="8"/>
  <c r="AA175" i="8"/>
  <c r="P175" i="8"/>
  <c r="N175" i="8"/>
  <c r="M175" i="8"/>
  <c r="H175" i="8"/>
  <c r="AH174" i="8"/>
  <c r="AG174" i="8"/>
  <c r="AE174" i="8"/>
  <c r="AD174" i="8"/>
  <c r="AC174" i="8"/>
  <c r="U174" i="8" s="1"/>
  <c r="AB174" i="8"/>
  <c r="AA174" i="8"/>
  <c r="V174" i="8"/>
  <c r="X174" i="8" s="1"/>
  <c r="P174" i="8"/>
  <c r="M174" i="8"/>
  <c r="N174" i="8" s="1"/>
  <c r="H174" i="8"/>
  <c r="AF174" i="8" s="1"/>
  <c r="AH173" i="8"/>
  <c r="AG173" i="8"/>
  <c r="AF173" i="8"/>
  <c r="AE173" i="8"/>
  <c r="AD173" i="8"/>
  <c r="AC173" i="8"/>
  <c r="AB173" i="8"/>
  <c r="U173" i="8" s="1"/>
  <c r="V173" i="8" s="1"/>
  <c r="X173" i="8" s="1"/>
  <c r="AA173" i="8"/>
  <c r="P173" i="8"/>
  <c r="O173" i="8"/>
  <c r="N173" i="8"/>
  <c r="M173" i="8"/>
  <c r="H173" i="8"/>
  <c r="AH172" i="8"/>
  <c r="AG172" i="8"/>
  <c r="AE172" i="8"/>
  <c r="AD172" i="8"/>
  <c r="AB172" i="8"/>
  <c r="AA172" i="8"/>
  <c r="P172" i="8"/>
  <c r="M172" i="8"/>
  <c r="N172" i="8" s="1"/>
  <c r="H172" i="8"/>
  <c r="AH171" i="8"/>
  <c r="AG171" i="8"/>
  <c r="AF171" i="8"/>
  <c r="AE171" i="8"/>
  <c r="AD171" i="8"/>
  <c r="AC171" i="8"/>
  <c r="AB171" i="8"/>
  <c r="O171" i="8" s="1"/>
  <c r="S171" i="8" s="1"/>
  <c r="AA171" i="8"/>
  <c r="Q171" i="8"/>
  <c r="P171" i="8"/>
  <c r="N171" i="8"/>
  <c r="M171" i="8"/>
  <c r="H171" i="8"/>
  <c r="AH170" i="8"/>
  <c r="AG170" i="8"/>
  <c r="AF170" i="8"/>
  <c r="AE170" i="8"/>
  <c r="AD170" i="8"/>
  <c r="AC170" i="8"/>
  <c r="AB170" i="8"/>
  <c r="AA170" i="8"/>
  <c r="P170" i="8"/>
  <c r="M170" i="8"/>
  <c r="N170" i="8" s="1"/>
  <c r="O170" i="8" s="1"/>
  <c r="H170" i="8"/>
  <c r="AH169" i="8"/>
  <c r="AG169" i="8"/>
  <c r="AF169" i="8"/>
  <c r="AE169" i="8"/>
  <c r="AD169" i="8"/>
  <c r="AC169" i="8"/>
  <c r="AB169" i="8"/>
  <c r="AA169" i="8"/>
  <c r="P169" i="8"/>
  <c r="N169" i="8"/>
  <c r="M169" i="8"/>
  <c r="H169" i="8"/>
  <c r="AH168" i="8"/>
  <c r="AG168" i="8"/>
  <c r="AF168" i="8"/>
  <c r="AE168" i="8"/>
  <c r="AD168" i="8"/>
  <c r="AC168" i="8"/>
  <c r="AB168" i="8"/>
  <c r="AA168" i="8"/>
  <c r="P168" i="8"/>
  <c r="M168" i="8"/>
  <c r="N168" i="8" s="1"/>
  <c r="H168" i="8"/>
  <c r="AH167" i="8"/>
  <c r="AG167" i="8"/>
  <c r="AF167" i="8"/>
  <c r="AE167" i="8"/>
  <c r="AD167" i="8"/>
  <c r="AC167" i="8"/>
  <c r="AB167" i="8"/>
  <c r="AA167" i="8"/>
  <c r="P167" i="8"/>
  <c r="M167" i="8"/>
  <c r="N167" i="8" s="1"/>
  <c r="H167" i="8"/>
  <c r="AH166" i="8"/>
  <c r="AG166" i="8"/>
  <c r="AE166" i="8"/>
  <c r="AD166" i="8"/>
  <c r="AB166" i="8"/>
  <c r="AA166" i="8"/>
  <c r="P166" i="8"/>
  <c r="N166" i="8"/>
  <c r="M166" i="8"/>
  <c r="H166" i="8"/>
  <c r="AH165" i="8"/>
  <c r="AG165" i="8"/>
  <c r="AF165" i="8"/>
  <c r="AE165" i="8"/>
  <c r="AD165" i="8"/>
  <c r="AC165" i="8"/>
  <c r="AB165" i="8"/>
  <c r="AA165" i="8"/>
  <c r="P165" i="8"/>
  <c r="M165" i="8"/>
  <c r="N165" i="8" s="1"/>
  <c r="H165" i="8"/>
  <c r="AH164" i="8"/>
  <c r="AG164" i="8"/>
  <c r="AE164" i="8"/>
  <c r="AD164" i="8"/>
  <c r="AB164" i="8"/>
  <c r="AA164" i="8"/>
  <c r="P164" i="8"/>
  <c r="M164" i="8"/>
  <c r="N164" i="8" s="1"/>
  <c r="H164" i="8"/>
  <c r="AH163" i="8"/>
  <c r="AG163" i="8"/>
  <c r="AF163" i="8"/>
  <c r="AE163" i="8"/>
  <c r="AD163" i="8"/>
  <c r="AB163" i="8"/>
  <c r="AA163" i="8"/>
  <c r="P163" i="8"/>
  <c r="M163" i="8"/>
  <c r="N163" i="8" s="1"/>
  <c r="H163" i="8"/>
  <c r="AC163" i="8" s="1"/>
  <c r="AH162" i="8"/>
  <c r="AG162" i="8"/>
  <c r="AF162" i="8"/>
  <c r="AE162" i="8"/>
  <c r="AD162" i="8"/>
  <c r="AB162" i="8"/>
  <c r="AA162" i="8"/>
  <c r="P162" i="8"/>
  <c r="N162" i="8"/>
  <c r="M162" i="8"/>
  <c r="H162" i="8"/>
  <c r="AC162" i="8" s="1"/>
  <c r="AH161" i="8"/>
  <c r="AG161" i="8"/>
  <c r="AF161" i="8"/>
  <c r="AE161" i="8"/>
  <c r="AD161" i="8"/>
  <c r="AC161" i="8"/>
  <c r="AB161" i="8"/>
  <c r="AA161" i="8"/>
  <c r="P161" i="8"/>
  <c r="M161" i="8"/>
  <c r="N161" i="8" s="1"/>
  <c r="H161" i="8"/>
  <c r="AH160" i="8"/>
  <c r="AG160" i="8"/>
  <c r="AE160" i="8"/>
  <c r="AD160" i="8"/>
  <c r="AB160" i="8"/>
  <c r="AA160" i="8"/>
  <c r="P160" i="8"/>
  <c r="M160" i="8"/>
  <c r="N160" i="8" s="1"/>
  <c r="H160" i="8"/>
  <c r="AH159" i="8"/>
  <c r="AG159" i="8"/>
  <c r="AE159" i="8"/>
  <c r="AD159" i="8"/>
  <c r="AB159" i="8"/>
  <c r="AA159" i="8"/>
  <c r="P159" i="8"/>
  <c r="M159" i="8"/>
  <c r="N159" i="8" s="1"/>
  <c r="H159" i="8"/>
  <c r="AH158" i="8"/>
  <c r="AG158" i="8"/>
  <c r="AF158" i="8"/>
  <c r="AE158" i="8"/>
  <c r="AD158" i="8"/>
  <c r="AB158" i="8"/>
  <c r="AA158" i="8"/>
  <c r="P158" i="8"/>
  <c r="O158" i="8"/>
  <c r="S158" i="8" s="1"/>
  <c r="M158" i="8"/>
  <c r="N158" i="8" s="1"/>
  <c r="H158" i="8"/>
  <c r="AC158" i="8" s="1"/>
  <c r="AH157" i="8"/>
  <c r="AG157" i="8"/>
  <c r="AF157" i="8"/>
  <c r="AE157" i="8"/>
  <c r="AD157" i="8"/>
  <c r="AC157" i="8"/>
  <c r="AB157" i="8"/>
  <c r="AA157" i="8"/>
  <c r="P157" i="8"/>
  <c r="M157" i="8"/>
  <c r="N157" i="8" s="1"/>
  <c r="H157" i="8"/>
  <c r="AH156" i="8"/>
  <c r="AG156" i="8"/>
  <c r="AE156" i="8"/>
  <c r="AD156" i="8"/>
  <c r="AB156" i="8"/>
  <c r="AA156" i="8"/>
  <c r="P156" i="8"/>
  <c r="M156" i="8"/>
  <c r="N156" i="8" s="1"/>
  <c r="H156" i="8"/>
  <c r="AC156" i="8" s="1"/>
  <c r="AH155" i="8"/>
  <c r="AG155" i="8"/>
  <c r="AF155" i="8"/>
  <c r="AE155" i="8"/>
  <c r="AD155" i="8"/>
  <c r="AB155" i="8"/>
  <c r="AA155" i="8"/>
  <c r="S155" i="8"/>
  <c r="P155" i="8"/>
  <c r="O155" i="8"/>
  <c r="M155" i="8"/>
  <c r="N155" i="8" s="1"/>
  <c r="H155" i="8"/>
  <c r="AC155" i="8" s="1"/>
  <c r="AH154" i="8"/>
  <c r="AG154" i="8"/>
  <c r="AF154" i="8"/>
  <c r="AE154" i="8"/>
  <c r="AD154" i="8"/>
  <c r="AB154" i="8"/>
  <c r="O154" i="8" s="1"/>
  <c r="AA154" i="8"/>
  <c r="Q154" i="8"/>
  <c r="P154" i="8"/>
  <c r="N154" i="8"/>
  <c r="M154" i="8"/>
  <c r="H154" i="8"/>
  <c r="AC154" i="8" s="1"/>
  <c r="AH153" i="8"/>
  <c r="AG153" i="8"/>
  <c r="AF153" i="8"/>
  <c r="AE153" i="8"/>
  <c r="AD153" i="8"/>
  <c r="AC153" i="8"/>
  <c r="AB153" i="8"/>
  <c r="AA153" i="8"/>
  <c r="U153" i="8"/>
  <c r="V153" i="8" s="1"/>
  <c r="X153" i="8" s="1"/>
  <c r="P153" i="8"/>
  <c r="M153" i="8"/>
  <c r="N153" i="8" s="1"/>
  <c r="H153" i="8"/>
  <c r="AH152" i="8"/>
  <c r="AG152" i="8"/>
  <c r="AE152" i="8"/>
  <c r="AD152" i="8"/>
  <c r="AB152" i="8"/>
  <c r="AA152" i="8"/>
  <c r="P152" i="8"/>
  <c r="M152" i="8"/>
  <c r="N152" i="8" s="1"/>
  <c r="H152" i="8"/>
  <c r="AH151" i="8"/>
  <c r="AG151" i="8"/>
  <c r="AF151" i="8"/>
  <c r="AE151" i="8"/>
  <c r="AD151" i="8"/>
  <c r="AB151" i="8"/>
  <c r="O151" i="8" s="1"/>
  <c r="S151" i="8" s="1"/>
  <c r="AA151" i="8"/>
  <c r="P151" i="8"/>
  <c r="M151" i="8"/>
  <c r="N151" i="8" s="1"/>
  <c r="H151" i="8"/>
  <c r="AC151" i="8" s="1"/>
  <c r="AH150" i="8"/>
  <c r="AG150" i="8"/>
  <c r="AF150" i="8"/>
  <c r="AE150" i="8"/>
  <c r="AD150" i="8"/>
  <c r="AB150" i="8"/>
  <c r="AA150" i="8"/>
  <c r="P150" i="8"/>
  <c r="O150" i="8"/>
  <c r="S150" i="8" s="1"/>
  <c r="M150" i="8"/>
  <c r="N150" i="8" s="1"/>
  <c r="H150" i="8"/>
  <c r="AC150" i="8" s="1"/>
  <c r="AH149" i="8"/>
  <c r="AG149" i="8"/>
  <c r="AE149" i="8"/>
  <c r="AD149" i="8"/>
  <c r="AB149" i="8"/>
  <c r="AA149" i="8"/>
  <c r="P149" i="8"/>
  <c r="M149" i="8"/>
  <c r="N149" i="8" s="1"/>
  <c r="H149" i="8"/>
  <c r="AH148" i="8"/>
  <c r="AG148" i="8"/>
  <c r="AE148" i="8"/>
  <c r="AD148" i="8"/>
  <c r="AB148" i="8"/>
  <c r="AA148" i="8"/>
  <c r="P148" i="8"/>
  <c r="M148" i="8"/>
  <c r="N148" i="8" s="1"/>
  <c r="H148" i="8"/>
  <c r="AH147" i="8"/>
  <c r="AG147" i="8"/>
  <c r="AF147" i="8"/>
  <c r="AE147" i="8"/>
  <c r="AD147" i="8"/>
  <c r="AC147" i="8"/>
  <c r="AB147" i="8"/>
  <c r="AA147" i="8"/>
  <c r="P147" i="8"/>
  <c r="M147" i="8"/>
  <c r="N147" i="8" s="1"/>
  <c r="H147" i="8"/>
  <c r="AH146" i="8"/>
  <c r="AG146" i="8"/>
  <c r="AF146" i="8"/>
  <c r="AE146" i="8"/>
  <c r="AD146" i="8"/>
  <c r="AB146" i="8"/>
  <c r="AA146" i="8"/>
  <c r="U146" i="8"/>
  <c r="V146" i="8" s="1"/>
  <c r="X146" i="8" s="1"/>
  <c r="P146" i="8"/>
  <c r="M146" i="8"/>
  <c r="N146" i="8" s="1"/>
  <c r="H146" i="8"/>
  <c r="AC146" i="8" s="1"/>
  <c r="AH145" i="8"/>
  <c r="AG145" i="8"/>
  <c r="AE145" i="8"/>
  <c r="AD145" i="8"/>
  <c r="AB145" i="8"/>
  <c r="AA145" i="8"/>
  <c r="P145" i="8"/>
  <c r="M145" i="8"/>
  <c r="N145" i="8" s="1"/>
  <c r="H145" i="8"/>
  <c r="AH144" i="8"/>
  <c r="AG144" i="8"/>
  <c r="AE144" i="8"/>
  <c r="AD144" i="8"/>
  <c r="AB144" i="8"/>
  <c r="AA144" i="8"/>
  <c r="P144" i="8"/>
  <c r="M144" i="8"/>
  <c r="N144" i="8" s="1"/>
  <c r="H144" i="8"/>
  <c r="AH143" i="8"/>
  <c r="AG143" i="8"/>
  <c r="AF143" i="8"/>
  <c r="AE143" i="8"/>
  <c r="AD143" i="8"/>
  <c r="AC143" i="8"/>
  <c r="AB143" i="8"/>
  <c r="AA143" i="8"/>
  <c r="P143" i="8"/>
  <c r="M143" i="8"/>
  <c r="N143" i="8" s="1"/>
  <c r="H143" i="8"/>
  <c r="AH142" i="8"/>
  <c r="AG142" i="8"/>
  <c r="AF142" i="8"/>
  <c r="AE142" i="8"/>
  <c r="AD142" i="8"/>
  <c r="AB142" i="8"/>
  <c r="AA142" i="8"/>
  <c r="O142" i="8" s="1"/>
  <c r="U142" i="8"/>
  <c r="V142" i="8" s="1"/>
  <c r="X142" i="8" s="1"/>
  <c r="P142" i="8"/>
  <c r="M142" i="8"/>
  <c r="N142" i="8" s="1"/>
  <c r="H142" i="8"/>
  <c r="AC142" i="8" s="1"/>
  <c r="AH141" i="8"/>
  <c r="AG141" i="8"/>
  <c r="AF141" i="8"/>
  <c r="AE141" i="8"/>
  <c r="AD141" i="8"/>
  <c r="AB141" i="8"/>
  <c r="AA141" i="8"/>
  <c r="U141" i="8"/>
  <c r="V141" i="8" s="1"/>
  <c r="X141" i="8" s="1"/>
  <c r="P141" i="8"/>
  <c r="M141" i="8"/>
  <c r="N141" i="8" s="1"/>
  <c r="H141" i="8"/>
  <c r="AC141" i="8" s="1"/>
  <c r="AH140" i="8"/>
  <c r="AG140" i="8"/>
  <c r="AF140" i="8"/>
  <c r="AE140" i="8"/>
  <c r="AD140" i="8"/>
  <c r="AB140" i="8"/>
  <c r="AA140" i="8"/>
  <c r="P140" i="8"/>
  <c r="N140" i="8"/>
  <c r="M140" i="8"/>
  <c r="H140" i="8"/>
  <c r="AC140" i="8" s="1"/>
  <c r="AH139" i="8"/>
  <c r="AG139" i="8"/>
  <c r="AF139" i="8"/>
  <c r="AE139" i="8"/>
  <c r="AD139" i="8"/>
  <c r="AC139" i="8"/>
  <c r="AB139" i="8"/>
  <c r="AA139" i="8"/>
  <c r="U139" i="8" s="1"/>
  <c r="V139" i="8"/>
  <c r="X139" i="8" s="1"/>
  <c r="P139" i="8"/>
  <c r="M139" i="8"/>
  <c r="N139" i="8" s="1"/>
  <c r="H139" i="8"/>
  <c r="AH138" i="8"/>
  <c r="AG138" i="8"/>
  <c r="AF138" i="8"/>
  <c r="AE138" i="8"/>
  <c r="AD138" i="8"/>
  <c r="AB138" i="8"/>
  <c r="AA138" i="8"/>
  <c r="P138" i="8"/>
  <c r="M138" i="8"/>
  <c r="N138" i="8" s="1"/>
  <c r="U138" i="8" s="1"/>
  <c r="V138" i="8" s="1"/>
  <c r="X138" i="8" s="1"/>
  <c r="H138" i="8"/>
  <c r="AC138" i="8" s="1"/>
  <c r="AH137" i="8"/>
  <c r="AG137" i="8"/>
  <c r="AE137" i="8"/>
  <c r="AD137" i="8"/>
  <c r="AB137" i="8"/>
  <c r="AA137" i="8"/>
  <c r="P137" i="8"/>
  <c r="M137" i="8"/>
  <c r="N137" i="8" s="1"/>
  <c r="H137" i="8"/>
  <c r="AH136" i="8"/>
  <c r="AG136" i="8"/>
  <c r="AF136" i="8"/>
  <c r="AE136" i="8"/>
  <c r="AD136" i="8"/>
  <c r="AB136" i="8"/>
  <c r="AA136" i="8"/>
  <c r="P136" i="8"/>
  <c r="O136" i="8"/>
  <c r="S136" i="8" s="1"/>
  <c r="M136" i="8"/>
  <c r="N136" i="8" s="1"/>
  <c r="H136" i="8"/>
  <c r="AC136" i="8" s="1"/>
  <c r="AH135" i="8"/>
  <c r="AG135" i="8"/>
  <c r="AF135" i="8"/>
  <c r="AE135" i="8"/>
  <c r="AD135" i="8"/>
  <c r="AC135" i="8"/>
  <c r="AB135" i="8"/>
  <c r="O135" i="8" s="1"/>
  <c r="S135" i="8" s="1"/>
  <c r="AA135" i="8"/>
  <c r="P135" i="8"/>
  <c r="M135" i="8"/>
  <c r="N135" i="8" s="1"/>
  <c r="H135" i="8"/>
  <c r="AH134" i="8"/>
  <c r="AG134" i="8"/>
  <c r="AF134" i="8"/>
  <c r="AE134" i="8"/>
  <c r="AD134" i="8"/>
  <c r="AB134" i="8"/>
  <c r="AA134" i="8"/>
  <c r="U134" i="8"/>
  <c r="V134" i="8" s="1"/>
  <c r="X134" i="8" s="1"/>
  <c r="P134" i="8"/>
  <c r="M134" i="8"/>
  <c r="N134" i="8" s="1"/>
  <c r="H134" i="8"/>
  <c r="AC134" i="8" s="1"/>
  <c r="AH133" i="8"/>
  <c r="AG133" i="8"/>
  <c r="AF133" i="8"/>
  <c r="AE133" i="8"/>
  <c r="AD133" i="8"/>
  <c r="AB133" i="8"/>
  <c r="AA133" i="8"/>
  <c r="P133" i="8"/>
  <c r="M133" i="8"/>
  <c r="N133" i="8" s="1"/>
  <c r="H133" i="8"/>
  <c r="AC133" i="8" s="1"/>
  <c r="AH132" i="8"/>
  <c r="AG132" i="8"/>
  <c r="AE132" i="8"/>
  <c r="AD132" i="8"/>
  <c r="AB132" i="8"/>
  <c r="AA132" i="8"/>
  <c r="P132" i="8"/>
  <c r="N132" i="8"/>
  <c r="M132" i="8"/>
  <c r="H132" i="8"/>
  <c r="AH131" i="8"/>
  <c r="AG131" i="8"/>
  <c r="AF131" i="8"/>
  <c r="AE131" i="8"/>
  <c r="AD131" i="8"/>
  <c r="AC131" i="8"/>
  <c r="AB131" i="8"/>
  <c r="AA131" i="8"/>
  <c r="P131" i="8"/>
  <c r="M131" i="8"/>
  <c r="N131" i="8" s="1"/>
  <c r="H131" i="8"/>
  <c r="AH130" i="8"/>
  <c r="AG130" i="8"/>
  <c r="AF130" i="8"/>
  <c r="AE130" i="8"/>
  <c r="AD130" i="8"/>
  <c r="AB130" i="8"/>
  <c r="O130" i="8" s="1"/>
  <c r="S130" i="8" s="1"/>
  <c r="AA130" i="8"/>
  <c r="U130" i="8"/>
  <c r="V130" i="8" s="1"/>
  <c r="X130" i="8" s="1"/>
  <c r="Y130" i="8" s="1"/>
  <c r="P130" i="8"/>
  <c r="Q130" i="8" s="1"/>
  <c r="M130" i="8"/>
  <c r="N130" i="8" s="1"/>
  <c r="H130" i="8"/>
  <c r="AC130" i="8" s="1"/>
  <c r="AH129" i="8"/>
  <c r="AG129" i="8"/>
  <c r="AF129" i="8"/>
  <c r="AE129" i="8"/>
  <c r="AD129" i="8"/>
  <c r="AB129" i="8"/>
  <c r="AA129" i="8"/>
  <c r="U129" i="8"/>
  <c r="V129" i="8" s="1"/>
  <c r="X129" i="8" s="1"/>
  <c r="P129" i="8"/>
  <c r="M129" i="8"/>
  <c r="N129" i="8" s="1"/>
  <c r="H129" i="8"/>
  <c r="AC129" i="8" s="1"/>
  <c r="AH128" i="8"/>
  <c r="AG128" i="8"/>
  <c r="AE128" i="8"/>
  <c r="AD128" i="8"/>
  <c r="AB128" i="8"/>
  <c r="AA128" i="8"/>
  <c r="P128" i="8"/>
  <c r="M128" i="8"/>
  <c r="N128" i="8" s="1"/>
  <c r="H128" i="8"/>
  <c r="AC128" i="8" s="1"/>
  <c r="AH127" i="8"/>
  <c r="AG127" i="8"/>
  <c r="AF127" i="8"/>
  <c r="AE127" i="8"/>
  <c r="AD127" i="8"/>
  <c r="AC127" i="8"/>
  <c r="AB127" i="8"/>
  <c r="O127" i="8" s="1"/>
  <c r="S127" i="8" s="1"/>
  <c r="AA127" i="8"/>
  <c r="P127" i="8"/>
  <c r="Q127" i="8" s="1"/>
  <c r="M127" i="8"/>
  <c r="N127" i="8" s="1"/>
  <c r="H127" i="8"/>
  <c r="AH126" i="8"/>
  <c r="AG126" i="8"/>
  <c r="AF126" i="8"/>
  <c r="AE126" i="8"/>
  <c r="AD126" i="8"/>
  <c r="AB126" i="8"/>
  <c r="AA126" i="8"/>
  <c r="P126" i="8"/>
  <c r="M126" i="8"/>
  <c r="N126" i="8" s="1"/>
  <c r="H126" i="8"/>
  <c r="AC126" i="8" s="1"/>
  <c r="AH125" i="8"/>
  <c r="AG125" i="8"/>
  <c r="AE125" i="8"/>
  <c r="AD125" i="8"/>
  <c r="AB125" i="8"/>
  <c r="AA125" i="8"/>
  <c r="P125" i="8"/>
  <c r="M125" i="8"/>
  <c r="N125" i="8" s="1"/>
  <c r="H125" i="8"/>
  <c r="AH124" i="8"/>
  <c r="AG124" i="8"/>
  <c r="AE124" i="8"/>
  <c r="AD124" i="8"/>
  <c r="AB124" i="8"/>
  <c r="AA124" i="8"/>
  <c r="P124" i="8"/>
  <c r="M124" i="8"/>
  <c r="N124" i="8" s="1"/>
  <c r="H124" i="8"/>
  <c r="AH123" i="8"/>
  <c r="AG123" i="8"/>
  <c r="AF123" i="8"/>
  <c r="AE123" i="8"/>
  <c r="AD123" i="8"/>
  <c r="AC123" i="8"/>
  <c r="AB123" i="8"/>
  <c r="AA123" i="8"/>
  <c r="P123" i="8"/>
  <c r="M123" i="8"/>
  <c r="N123" i="8" s="1"/>
  <c r="H123" i="8"/>
  <c r="AH122" i="8"/>
  <c r="AG122" i="8"/>
  <c r="AF122" i="8"/>
  <c r="AE122" i="8"/>
  <c r="AD122" i="8"/>
  <c r="AB122" i="8"/>
  <c r="AA122" i="8"/>
  <c r="U122" i="8"/>
  <c r="V122" i="8" s="1"/>
  <c r="X122" i="8" s="1"/>
  <c r="P122" i="8"/>
  <c r="O122" i="8"/>
  <c r="S122" i="8" s="1"/>
  <c r="M122" i="8"/>
  <c r="N122" i="8" s="1"/>
  <c r="H122" i="8"/>
  <c r="AC122" i="8" s="1"/>
  <c r="AH121" i="8"/>
  <c r="AG121" i="8"/>
  <c r="AE121" i="8"/>
  <c r="AD121" i="8"/>
  <c r="AB121" i="8"/>
  <c r="AA121" i="8"/>
  <c r="P121" i="8"/>
  <c r="M121" i="8"/>
  <c r="N121" i="8" s="1"/>
  <c r="H121" i="8"/>
  <c r="AH120" i="8"/>
  <c r="AG120" i="8"/>
  <c r="AE120" i="8"/>
  <c r="AD120" i="8"/>
  <c r="AB120" i="8"/>
  <c r="AA120" i="8"/>
  <c r="P120" i="8"/>
  <c r="M120" i="8"/>
  <c r="N120" i="8" s="1"/>
  <c r="H120" i="8"/>
  <c r="AH119" i="8"/>
  <c r="AG119" i="8"/>
  <c r="AF119" i="8"/>
  <c r="AE119" i="8"/>
  <c r="AD119" i="8"/>
  <c r="AC119" i="8"/>
  <c r="AB119" i="8"/>
  <c r="AA119" i="8"/>
  <c r="P119" i="8"/>
  <c r="M119" i="8"/>
  <c r="N119" i="8" s="1"/>
  <c r="H119" i="8"/>
  <c r="AH118" i="8"/>
  <c r="AG118" i="8"/>
  <c r="AF118" i="8"/>
  <c r="AE118" i="8"/>
  <c r="AD118" i="8"/>
  <c r="AC118" i="8"/>
  <c r="AB118" i="8"/>
  <c r="AA118" i="8"/>
  <c r="S118" i="8"/>
  <c r="Q118" i="8"/>
  <c r="P118" i="8"/>
  <c r="O118" i="8"/>
  <c r="M118" i="8"/>
  <c r="N118" i="8" s="1"/>
  <c r="H118" i="8"/>
  <c r="AH117" i="8"/>
  <c r="AG117" i="8"/>
  <c r="AF117" i="8"/>
  <c r="AE117" i="8"/>
  <c r="AD117" i="8"/>
  <c r="AB117" i="8"/>
  <c r="AA117" i="8"/>
  <c r="P117" i="8"/>
  <c r="O117" i="8"/>
  <c r="S117" i="8" s="1"/>
  <c r="N117" i="8"/>
  <c r="M117" i="8"/>
  <c r="H117" i="8"/>
  <c r="AC117" i="8" s="1"/>
  <c r="AH116" i="8"/>
  <c r="AG116" i="8"/>
  <c r="AF116" i="8"/>
  <c r="AE116" i="8"/>
  <c r="AD116" i="8"/>
  <c r="AB116" i="8"/>
  <c r="AA116" i="8"/>
  <c r="S116" i="8"/>
  <c r="P116" i="8"/>
  <c r="M116" i="8"/>
  <c r="N116" i="8" s="1"/>
  <c r="H116" i="8"/>
  <c r="AC116" i="8" s="1"/>
  <c r="O116" i="8" s="1"/>
  <c r="Q116" i="8" s="1"/>
  <c r="U116" i="8" s="1"/>
  <c r="V116" i="8" s="1"/>
  <c r="X116" i="8" s="1"/>
  <c r="Y116" i="8" s="1"/>
  <c r="AH115" i="8"/>
  <c r="AG115" i="8"/>
  <c r="AF115" i="8"/>
  <c r="AE115" i="8"/>
  <c r="AD115" i="8"/>
  <c r="AB115" i="8"/>
  <c r="AA115" i="8"/>
  <c r="Q115" i="8"/>
  <c r="U115" i="8" s="1"/>
  <c r="V115" i="8" s="1"/>
  <c r="X115" i="8" s="1"/>
  <c r="P115" i="8"/>
  <c r="M115" i="8"/>
  <c r="N115" i="8" s="1"/>
  <c r="H115" i="8"/>
  <c r="AC115" i="8" s="1"/>
  <c r="O115" i="8" s="1"/>
  <c r="S115" i="8" s="1"/>
  <c r="AH114" i="8"/>
  <c r="AG114" i="8"/>
  <c r="AF114" i="8"/>
  <c r="AE114" i="8"/>
  <c r="AD114" i="8"/>
  <c r="AB114" i="8"/>
  <c r="AA114" i="8"/>
  <c r="P114" i="8"/>
  <c r="M114" i="8"/>
  <c r="N114" i="8" s="1"/>
  <c r="H114" i="8"/>
  <c r="AC114" i="8" s="1"/>
  <c r="AH113" i="8"/>
  <c r="AG113" i="8"/>
  <c r="AF113" i="8"/>
  <c r="AE113" i="8"/>
  <c r="AD113" i="8"/>
  <c r="AB113" i="8"/>
  <c r="AA113" i="8"/>
  <c r="P113" i="8"/>
  <c r="N113" i="8"/>
  <c r="O113" i="8" s="1"/>
  <c r="S113" i="8" s="1"/>
  <c r="M113" i="8"/>
  <c r="H113" i="8"/>
  <c r="AC113" i="8" s="1"/>
  <c r="AH112" i="8"/>
  <c r="AG112" i="8"/>
  <c r="AE112" i="8"/>
  <c r="AD112" i="8"/>
  <c r="AC112" i="8"/>
  <c r="AB112" i="8"/>
  <c r="AA112" i="8"/>
  <c r="P112" i="8"/>
  <c r="M112" i="8"/>
  <c r="N112" i="8" s="1"/>
  <c r="H112" i="8"/>
  <c r="AF112" i="8" s="1"/>
  <c r="AH111" i="8"/>
  <c r="AG111" i="8"/>
  <c r="AF111" i="8"/>
  <c r="AE111" i="8"/>
  <c r="AD111" i="8"/>
  <c r="AB111" i="8"/>
  <c r="AA111" i="8"/>
  <c r="P111" i="8"/>
  <c r="M111" i="8"/>
  <c r="N111" i="8" s="1"/>
  <c r="O111" i="8" s="1"/>
  <c r="S111" i="8" s="1"/>
  <c r="H111" i="8"/>
  <c r="AC111" i="8" s="1"/>
  <c r="AH110" i="8"/>
  <c r="AG110" i="8"/>
  <c r="AE110" i="8"/>
  <c r="AD110" i="8"/>
  <c r="AB110" i="8"/>
  <c r="AA110" i="8"/>
  <c r="P110" i="8"/>
  <c r="M110" i="8"/>
  <c r="N110" i="8" s="1"/>
  <c r="H110" i="8"/>
  <c r="AH109" i="8"/>
  <c r="AG109" i="8"/>
  <c r="AF109" i="8"/>
  <c r="AE109" i="8"/>
  <c r="AD109" i="8"/>
  <c r="AB109" i="8"/>
  <c r="AA109" i="8"/>
  <c r="P109" i="8"/>
  <c r="M109" i="8"/>
  <c r="N109" i="8" s="1"/>
  <c r="H109" i="8"/>
  <c r="AC109" i="8" s="1"/>
  <c r="AH108" i="8"/>
  <c r="AG108" i="8"/>
  <c r="AE108" i="8"/>
  <c r="AD108" i="8"/>
  <c r="AB108" i="8"/>
  <c r="AA108" i="8"/>
  <c r="P108" i="8"/>
  <c r="M108" i="8"/>
  <c r="N108" i="8" s="1"/>
  <c r="H108" i="8"/>
  <c r="AF108" i="8" s="1"/>
  <c r="AH107" i="8"/>
  <c r="AG107" i="8"/>
  <c r="AF107" i="8"/>
  <c r="AE107" i="8"/>
  <c r="AD107" i="8"/>
  <c r="AB107" i="8"/>
  <c r="AA107" i="8"/>
  <c r="U107" i="8" s="1"/>
  <c r="V107" i="8" s="1"/>
  <c r="X107" i="8"/>
  <c r="P107" i="8"/>
  <c r="N107" i="8"/>
  <c r="M107" i="8"/>
  <c r="H107" i="8"/>
  <c r="AC107" i="8" s="1"/>
  <c r="AH106" i="8"/>
  <c r="AG106" i="8"/>
  <c r="AF106" i="8"/>
  <c r="AE106" i="8"/>
  <c r="AD106" i="8"/>
  <c r="AC106" i="8"/>
  <c r="AB106" i="8"/>
  <c r="AA106" i="8"/>
  <c r="U106" i="8"/>
  <c r="V106" i="8" s="1"/>
  <c r="X106" i="8" s="1"/>
  <c r="P106" i="8"/>
  <c r="M106" i="8"/>
  <c r="N106" i="8" s="1"/>
  <c r="H106" i="8"/>
  <c r="AH105" i="8"/>
  <c r="AG105" i="8"/>
  <c r="AF105" i="8"/>
  <c r="AE105" i="8"/>
  <c r="AD105" i="8"/>
  <c r="AB105" i="8"/>
  <c r="AA105" i="8"/>
  <c r="U105" i="8"/>
  <c r="V105" i="8" s="1"/>
  <c r="X105" i="8" s="1"/>
  <c r="P105" i="8"/>
  <c r="N105" i="8"/>
  <c r="M105" i="8"/>
  <c r="H105" i="8"/>
  <c r="AC105" i="8" s="1"/>
  <c r="AH104" i="8"/>
  <c r="AG104" i="8"/>
  <c r="AF104" i="8"/>
  <c r="AE104" i="8"/>
  <c r="AD104" i="8"/>
  <c r="AB104" i="8"/>
  <c r="AA104" i="8"/>
  <c r="P104" i="8"/>
  <c r="M104" i="8"/>
  <c r="N104" i="8" s="1"/>
  <c r="H104" i="8"/>
  <c r="AC104" i="8" s="1"/>
  <c r="O104" i="8" s="1"/>
  <c r="S104" i="8" s="1"/>
  <c r="AH103" i="8"/>
  <c r="AG103" i="8"/>
  <c r="AF103" i="8"/>
  <c r="AE103" i="8"/>
  <c r="AD103" i="8"/>
  <c r="AB103" i="8"/>
  <c r="AA103" i="8"/>
  <c r="P103" i="8"/>
  <c r="N103" i="8"/>
  <c r="M103" i="8"/>
  <c r="H103" i="8"/>
  <c r="AC103" i="8" s="1"/>
  <c r="AH102" i="8"/>
  <c r="AG102" i="8"/>
  <c r="AF102" i="8"/>
  <c r="AE102" i="8"/>
  <c r="AD102" i="8"/>
  <c r="AC102" i="8"/>
  <c r="AB102" i="8"/>
  <c r="AA102" i="8"/>
  <c r="S102" i="8"/>
  <c r="Q102" i="8"/>
  <c r="P102" i="8"/>
  <c r="O102" i="8"/>
  <c r="M102" i="8"/>
  <c r="N102" i="8" s="1"/>
  <c r="H102" i="8"/>
  <c r="AH101" i="8"/>
  <c r="AG101" i="8"/>
  <c r="AF101" i="8"/>
  <c r="AE101" i="8"/>
  <c r="AD101" i="8"/>
  <c r="AB101" i="8"/>
  <c r="AA101" i="8"/>
  <c r="P101" i="8"/>
  <c r="O101" i="8"/>
  <c r="S101" i="8" s="1"/>
  <c r="N101" i="8"/>
  <c r="M101" i="8"/>
  <c r="H101" i="8"/>
  <c r="AC101" i="8" s="1"/>
  <c r="AH100" i="8"/>
  <c r="AG100" i="8"/>
  <c r="AF100" i="8"/>
  <c r="AE100" i="8"/>
  <c r="AD100" i="8"/>
  <c r="AB100" i="8"/>
  <c r="AA100" i="8"/>
  <c r="S100" i="8"/>
  <c r="P100" i="8"/>
  <c r="M100" i="8"/>
  <c r="N100" i="8" s="1"/>
  <c r="H100" i="8"/>
  <c r="AC100" i="8" s="1"/>
  <c r="O100" i="8" s="1"/>
  <c r="Q100" i="8" s="1"/>
  <c r="U100" i="8" s="1"/>
  <c r="V100" i="8" s="1"/>
  <c r="X100" i="8" s="1"/>
  <c r="Y100" i="8" s="1"/>
  <c r="AH99" i="8"/>
  <c r="AG99" i="8"/>
  <c r="AF99" i="8"/>
  <c r="AE99" i="8"/>
  <c r="AD99" i="8"/>
  <c r="AB99" i="8"/>
  <c r="AA99" i="8"/>
  <c r="Q99" i="8"/>
  <c r="U99" i="8" s="1"/>
  <c r="V99" i="8" s="1"/>
  <c r="X99" i="8" s="1"/>
  <c r="P99" i="8"/>
  <c r="M99" i="8"/>
  <c r="N99" i="8" s="1"/>
  <c r="H99" i="8"/>
  <c r="AC99" i="8" s="1"/>
  <c r="O99" i="8" s="1"/>
  <c r="S99" i="8" s="1"/>
  <c r="AH98" i="8"/>
  <c r="AG98" i="8"/>
  <c r="AF98" i="8"/>
  <c r="AE98" i="8"/>
  <c r="AD98" i="8"/>
  <c r="AB98" i="8"/>
  <c r="AA98" i="8"/>
  <c r="P98" i="8"/>
  <c r="M98" i="8"/>
  <c r="N98" i="8" s="1"/>
  <c r="H98" i="8"/>
  <c r="AC98" i="8" s="1"/>
  <c r="AH97" i="8"/>
  <c r="AG97" i="8"/>
  <c r="AF97" i="8"/>
  <c r="AE97" i="8"/>
  <c r="AD97" i="8"/>
  <c r="AB97" i="8"/>
  <c r="AA97" i="8"/>
  <c r="P97" i="8"/>
  <c r="N97" i="8"/>
  <c r="O97" i="8" s="1"/>
  <c r="S97" i="8" s="1"/>
  <c r="M97" i="8"/>
  <c r="H97" i="8"/>
  <c r="AC97" i="8" s="1"/>
  <c r="AH96" i="8"/>
  <c r="AG96" i="8"/>
  <c r="AE96" i="8"/>
  <c r="AD96" i="8"/>
  <c r="AC96" i="8"/>
  <c r="AB96" i="8"/>
  <c r="U96" i="8" s="1"/>
  <c r="V96" i="8" s="1"/>
  <c r="X96" i="8" s="1"/>
  <c r="AA96" i="8"/>
  <c r="P96" i="8"/>
  <c r="M96" i="8"/>
  <c r="N96" i="8" s="1"/>
  <c r="H96" i="8"/>
  <c r="AF96" i="8" s="1"/>
  <c r="AH95" i="8"/>
  <c r="AG95" i="8"/>
  <c r="AF95" i="8"/>
  <c r="AE95" i="8"/>
  <c r="AD95" i="8"/>
  <c r="AB95" i="8"/>
  <c r="AA95" i="8"/>
  <c r="P95" i="8"/>
  <c r="O95" i="8"/>
  <c r="S95" i="8" s="1"/>
  <c r="M95" i="8"/>
  <c r="N95" i="8" s="1"/>
  <c r="H95" i="8"/>
  <c r="AC95" i="8" s="1"/>
  <c r="AH94" i="8"/>
  <c r="AG94" i="8"/>
  <c r="AE94" i="8"/>
  <c r="AD94" i="8"/>
  <c r="AB94" i="8"/>
  <c r="AA94" i="8"/>
  <c r="P94" i="8"/>
  <c r="M94" i="8"/>
  <c r="N94" i="8" s="1"/>
  <c r="H94" i="8"/>
  <c r="AH93" i="8"/>
  <c r="AG93" i="8"/>
  <c r="AF93" i="8"/>
  <c r="AE93" i="8"/>
  <c r="AD93" i="8"/>
  <c r="AB93" i="8"/>
  <c r="AA93" i="8"/>
  <c r="P93" i="8"/>
  <c r="M93" i="8"/>
  <c r="N93" i="8" s="1"/>
  <c r="H93" i="8"/>
  <c r="AC93" i="8" s="1"/>
  <c r="AH92" i="8"/>
  <c r="AG92" i="8"/>
  <c r="AE92" i="8"/>
  <c r="AD92" i="8"/>
  <c r="AB92" i="8"/>
  <c r="AA92" i="8"/>
  <c r="P92" i="8"/>
  <c r="M92" i="8"/>
  <c r="N92" i="8" s="1"/>
  <c r="H92" i="8"/>
  <c r="AF92" i="8" s="1"/>
  <c r="AH91" i="8"/>
  <c r="AG91" i="8"/>
  <c r="AF91" i="8"/>
  <c r="AE91" i="8"/>
  <c r="AD91" i="8"/>
  <c r="AB91" i="8"/>
  <c r="AA91" i="8"/>
  <c r="P91" i="8"/>
  <c r="N91" i="8"/>
  <c r="M91" i="8"/>
  <c r="H91" i="8"/>
  <c r="AC91" i="8" s="1"/>
  <c r="AH90" i="8"/>
  <c r="AG90" i="8"/>
  <c r="AF90" i="8"/>
  <c r="AE90" i="8"/>
  <c r="AD90" i="8"/>
  <c r="AC90" i="8"/>
  <c r="AB90" i="8"/>
  <c r="AA90" i="8"/>
  <c r="P90" i="8"/>
  <c r="M90" i="8"/>
  <c r="N90" i="8" s="1"/>
  <c r="H90" i="8"/>
  <c r="AH89" i="8"/>
  <c r="AG89" i="8"/>
  <c r="AF89" i="8"/>
  <c r="AE89" i="8"/>
  <c r="AD89" i="8"/>
  <c r="AB89" i="8"/>
  <c r="AA89" i="8"/>
  <c r="P89" i="8"/>
  <c r="N89" i="8"/>
  <c r="M89" i="8"/>
  <c r="H89" i="8"/>
  <c r="AC89" i="8" s="1"/>
  <c r="AH88" i="8"/>
  <c r="AG88" i="8"/>
  <c r="AF88" i="8"/>
  <c r="AE88" i="8"/>
  <c r="AD88" i="8"/>
  <c r="AB88" i="8"/>
  <c r="AA88" i="8"/>
  <c r="P88" i="8"/>
  <c r="M88" i="8"/>
  <c r="N88" i="8" s="1"/>
  <c r="H88" i="8"/>
  <c r="AC88" i="8" s="1"/>
  <c r="O88" i="8" s="1"/>
  <c r="S88" i="8" s="1"/>
  <c r="AH87" i="8"/>
  <c r="AG87" i="8"/>
  <c r="AF87" i="8"/>
  <c r="AE87" i="8"/>
  <c r="AD87" i="8"/>
  <c r="AB87" i="8"/>
  <c r="AA87" i="8"/>
  <c r="P87" i="8"/>
  <c r="N87" i="8"/>
  <c r="M87" i="8"/>
  <c r="H87" i="8"/>
  <c r="AC87" i="8" s="1"/>
  <c r="AH86" i="8"/>
  <c r="AG86" i="8"/>
  <c r="AF86" i="8"/>
  <c r="AE86" i="8"/>
  <c r="AD86" i="8"/>
  <c r="AC86" i="8"/>
  <c r="AB86" i="8"/>
  <c r="AA86" i="8"/>
  <c r="S86" i="8"/>
  <c r="Q86" i="8"/>
  <c r="P86" i="8"/>
  <c r="O86" i="8"/>
  <c r="M86" i="8"/>
  <c r="N86" i="8" s="1"/>
  <c r="H86" i="8"/>
  <c r="AH85" i="8"/>
  <c r="AG85" i="8"/>
  <c r="AF85" i="8"/>
  <c r="AE85" i="8"/>
  <c r="AD85" i="8"/>
  <c r="AB85" i="8"/>
  <c r="AA85" i="8"/>
  <c r="U85" i="8"/>
  <c r="V85" i="8" s="1"/>
  <c r="X85" i="8" s="1"/>
  <c r="P85" i="8"/>
  <c r="Q85" i="8" s="1"/>
  <c r="O85" i="8"/>
  <c r="S85" i="8" s="1"/>
  <c r="N85" i="8"/>
  <c r="M85" i="8"/>
  <c r="H85" i="8"/>
  <c r="AC85" i="8" s="1"/>
  <c r="AH84" i="8"/>
  <c r="AG84" i="8"/>
  <c r="AF84" i="8"/>
  <c r="AE84" i="8"/>
  <c r="AD84" i="8"/>
  <c r="AB84" i="8"/>
  <c r="AA84" i="8"/>
  <c r="P84" i="8"/>
  <c r="M84" i="8"/>
  <c r="N84" i="8" s="1"/>
  <c r="H84" i="8"/>
  <c r="AC84" i="8" s="1"/>
  <c r="O84" i="8" s="1"/>
  <c r="S84" i="8" s="1"/>
  <c r="AH83" i="8"/>
  <c r="AG83" i="8"/>
  <c r="AF83" i="8"/>
  <c r="AE83" i="8"/>
  <c r="AD83" i="8"/>
  <c r="AB83" i="8"/>
  <c r="AA83" i="8"/>
  <c r="U83" i="8"/>
  <c r="V83" i="8" s="1"/>
  <c r="X83" i="8" s="1"/>
  <c r="P83" i="8"/>
  <c r="M83" i="8"/>
  <c r="N83" i="8" s="1"/>
  <c r="H83" i="8"/>
  <c r="AC83" i="8" s="1"/>
  <c r="O83" i="8" s="1"/>
  <c r="S83" i="8" s="1"/>
  <c r="AH82" i="8"/>
  <c r="AG82" i="8"/>
  <c r="AF82" i="8"/>
  <c r="AE82" i="8"/>
  <c r="AD82" i="8"/>
  <c r="AB82" i="8"/>
  <c r="AA82" i="8"/>
  <c r="P82" i="8"/>
  <c r="M82" i="8"/>
  <c r="N82" i="8" s="1"/>
  <c r="H82" i="8"/>
  <c r="AC82" i="8" s="1"/>
  <c r="AH81" i="8"/>
  <c r="AG81" i="8"/>
  <c r="AF81" i="8"/>
  <c r="AE81" i="8"/>
  <c r="AD81" i="8"/>
  <c r="U81" i="8" s="1"/>
  <c r="V81" i="8" s="1"/>
  <c r="X81" i="8" s="1"/>
  <c r="AB81" i="8"/>
  <c r="AA81" i="8"/>
  <c r="P81" i="8"/>
  <c r="N81" i="8"/>
  <c r="M81" i="8"/>
  <c r="H81" i="8"/>
  <c r="AC81" i="8" s="1"/>
  <c r="AH80" i="8"/>
  <c r="AG80" i="8"/>
  <c r="AE80" i="8"/>
  <c r="AD80" i="8"/>
  <c r="AC80" i="8"/>
  <c r="AB80" i="8"/>
  <c r="U80" i="8" s="1"/>
  <c r="V80" i="8" s="1"/>
  <c r="X80" i="8" s="1"/>
  <c r="AA80" i="8"/>
  <c r="P80" i="8"/>
  <c r="O80" i="8"/>
  <c r="S80" i="8" s="1"/>
  <c r="M80" i="8"/>
  <c r="N80" i="8" s="1"/>
  <c r="H80" i="8"/>
  <c r="AF80" i="8" s="1"/>
  <c r="AH79" i="8"/>
  <c r="AG79" i="8"/>
  <c r="AF79" i="8"/>
  <c r="AE79" i="8"/>
  <c r="AD79" i="8"/>
  <c r="AB79" i="8"/>
  <c r="U79" i="8" s="1"/>
  <c r="V79" i="8" s="1"/>
  <c r="X79" i="8" s="1"/>
  <c r="AA79" i="8"/>
  <c r="P79" i="8"/>
  <c r="M79" i="8"/>
  <c r="N79" i="8" s="1"/>
  <c r="H79" i="8"/>
  <c r="AC79" i="8" s="1"/>
  <c r="AH78" i="8"/>
  <c r="AG78" i="8"/>
  <c r="AE78" i="8"/>
  <c r="AD78" i="8"/>
  <c r="AB78" i="8"/>
  <c r="AA78" i="8"/>
  <c r="P78" i="8"/>
  <c r="M78" i="8"/>
  <c r="N78" i="8" s="1"/>
  <c r="H78" i="8"/>
  <c r="AH77" i="8"/>
  <c r="AG77" i="8"/>
  <c r="AF77" i="8"/>
  <c r="AE77" i="8"/>
  <c r="AD77" i="8"/>
  <c r="AB77" i="8"/>
  <c r="AA77" i="8"/>
  <c r="P77" i="8"/>
  <c r="M77" i="8"/>
  <c r="N77" i="8" s="1"/>
  <c r="H77" i="8"/>
  <c r="AC77" i="8" s="1"/>
  <c r="AH76" i="8"/>
  <c r="AG76" i="8"/>
  <c r="AE76" i="8"/>
  <c r="AD76" i="8"/>
  <c r="AB76" i="8"/>
  <c r="AA76" i="8"/>
  <c r="P76" i="8"/>
  <c r="M76" i="8"/>
  <c r="N76" i="8" s="1"/>
  <c r="H76" i="8"/>
  <c r="AH75" i="8"/>
  <c r="AG75" i="8"/>
  <c r="AE75" i="8"/>
  <c r="AD75" i="8"/>
  <c r="AB75" i="8"/>
  <c r="AA75" i="8"/>
  <c r="P75" i="8"/>
  <c r="N75" i="8"/>
  <c r="M75" i="8"/>
  <c r="H75" i="8"/>
  <c r="AH74" i="8"/>
  <c r="AG74" i="8"/>
  <c r="AF74" i="8"/>
  <c r="AE74" i="8"/>
  <c r="AD74" i="8"/>
  <c r="AB74" i="8"/>
  <c r="AA74" i="8"/>
  <c r="U74" i="8"/>
  <c r="V74" i="8" s="1"/>
  <c r="X74" i="8" s="1"/>
  <c r="P74" i="8"/>
  <c r="M74" i="8"/>
  <c r="N74" i="8" s="1"/>
  <c r="H74" i="8"/>
  <c r="AC74" i="8" s="1"/>
  <c r="AH73" i="8"/>
  <c r="AG73" i="8"/>
  <c r="AE73" i="8"/>
  <c r="AD73" i="8"/>
  <c r="AB73" i="8"/>
  <c r="AA73" i="8"/>
  <c r="P73" i="8"/>
  <c r="M73" i="8"/>
  <c r="N73" i="8" s="1"/>
  <c r="H73" i="8"/>
  <c r="AC73" i="8" s="1"/>
  <c r="AH72" i="8"/>
  <c r="AG72" i="8"/>
  <c r="AE72" i="8"/>
  <c r="AD72" i="8"/>
  <c r="AB72" i="8"/>
  <c r="AA72" i="8"/>
  <c r="P72" i="8"/>
  <c r="N72" i="8"/>
  <c r="M72" i="8"/>
  <c r="H72" i="8"/>
  <c r="AH71" i="8"/>
  <c r="AG71" i="8"/>
  <c r="AE71" i="8"/>
  <c r="AD71" i="8"/>
  <c r="AB71" i="8"/>
  <c r="AA71" i="8"/>
  <c r="P71" i="8"/>
  <c r="N71" i="8"/>
  <c r="M71" i="8"/>
  <c r="H71" i="8"/>
  <c r="AH70" i="8"/>
  <c r="AG70" i="8"/>
  <c r="AE70" i="8"/>
  <c r="AD70" i="8"/>
  <c r="AB70" i="8"/>
  <c r="AA70" i="8"/>
  <c r="P70" i="8"/>
  <c r="N70" i="8"/>
  <c r="M70" i="8"/>
  <c r="H70" i="8"/>
  <c r="AH69" i="8"/>
  <c r="AG69" i="8"/>
  <c r="AF69" i="8"/>
  <c r="AE69" i="8"/>
  <c r="AD69" i="8"/>
  <c r="AC69" i="8"/>
  <c r="AB69" i="8"/>
  <c r="AA69" i="8"/>
  <c r="P69" i="8"/>
  <c r="N69" i="8"/>
  <c r="M69" i="8"/>
  <c r="H69" i="8"/>
  <c r="AH68" i="8"/>
  <c r="AG68" i="8"/>
  <c r="AE68" i="8"/>
  <c r="AD68" i="8"/>
  <c r="AC68" i="8"/>
  <c r="AB68" i="8"/>
  <c r="AA68" i="8"/>
  <c r="P68" i="8"/>
  <c r="Q68" i="8" s="1"/>
  <c r="O68" i="8"/>
  <c r="S68" i="8" s="1"/>
  <c r="N68" i="8"/>
  <c r="M68" i="8"/>
  <c r="H68" i="8"/>
  <c r="AF68" i="8" s="1"/>
  <c r="AH67" i="8"/>
  <c r="AG67" i="8"/>
  <c r="AF67" i="8"/>
  <c r="AE67" i="8"/>
  <c r="AD67" i="8"/>
  <c r="AC67" i="8"/>
  <c r="U67" i="8" s="1"/>
  <c r="V67" i="8" s="1"/>
  <c r="X67" i="8" s="1"/>
  <c r="AB67" i="8"/>
  <c r="AA67" i="8"/>
  <c r="P67" i="8"/>
  <c r="M67" i="8"/>
  <c r="N67" i="8" s="1"/>
  <c r="H67" i="8"/>
  <c r="AH66" i="8"/>
  <c r="AG66" i="8"/>
  <c r="AE66" i="8"/>
  <c r="AD66" i="8"/>
  <c r="AC66" i="8"/>
  <c r="AB66" i="8"/>
  <c r="AA66" i="8"/>
  <c r="P66" i="8"/>
  <c r="N66" i="8"/>
  <c r="M66" i="8"/>
  <c r="H66" i="8"/>
  <c r="AF66" i="8" s="1"/>
  <c r="AH65" i="8"/>
  <c r="AG65" i="8"/>
  <c r="AF65" i="8"/>
  <c r="AE65" i="8"/>
  <c r="AD65" i="8"/>
  <c r="AB65" i="8"/>
  <c r="AA65" i="8"/>
  <c r="U65" i="8"/>
  <c r="V65" i="8" s="1"/>
  <c r="X65" i="8" s="1"/>
  <c r="P65" i="8"/>
  <c r="M65" i="8"/>
  <c r="N65" i="8" s="1"/>
  <c r="H65" i="8"/>
  <c r="AC65" i="8" s="1"/>
  <c r="AH64" i="8"/>
  <c r="AG64" i="8"/>
  <c r="AE64" i="8"/>
  <c r="AD64" i="8"/>
  <c r="AB64" i="8"/>
  <c r="AA64" i="8"/>
  <c r="P64" i="8"/>
  <c r="N64" i="8"/>
  <c r="M64" i="8"/>
  <c r="H64" i="8"/>
  <c r="AH63" i="8"/>
  <c r="AG63" i="8"/>
  <c r="AE63" i="8"/>
  <c r="AD63" i="8"/>
  <c r="AB63" i="8"/>
  <c r="AA63" i="8"/>
  <c r="P63" i="8"/>
  <c r="M63" i="8"/>
  <c r="N63" i="8" s="1"/>
  <c r="H63" i="8"/>
  <c r="AH62" i="8"/>
  <c r="AG62" i="8"/>
  <c r="AE62" i="8"/>
  <c r="AD62" i="8"/>
  <c r="AB62" i="8"/>
  <c r="AA62" i="8"/>
  <c r="P62" i="8"/>
  <c r="N62" i="8"/>
  <c r="M62" i="8"/>
  <c r="H62" i="8"/>
  <c r="AH61" i="8"/>
  <c r="AG61" i="8"/>
  <c r="AF61" i="8"/>
  <c r="AE61" i="8"/>
  <c r="AD61" i="8"/>
  <c r="AC61" i="8"/>
  <c r="AB61" i="8"/>
  <c r="AA61" i="8"/>
  <c r="P61" i="8"/>
  <c r="M61" i="8"/>
  <c r="N61" i="8" s="1"/>
  <c r="H61" i="8"/>
  <c r="AH60" i="8"/>
  <c r="AG60" i="8"/>
  <c r="AE60" i="8"/>
  <c r="AD60" i="8"/>
  <c r="AC60" i="8"/>
  <c r="AB60" i="8"/>
  <c r="AA60" i="8"/>
  <c r="P60" i="8"/>
  <c r="N60" i="8"/>
  <c r="M60" i="8"/>
  <c r="H60" i="8"/>
  <c r="AF60" i="8" s="1"/>
  <c r="AH59" i="8"/>
  <c r="AG59" i="8"/>
  <c r="AF59" i="8"/>
  <c r="AE59" i="8"/>
  <c r="AD59" i="8"/>
  <c r="AC59" i="8"/>
  <c r="AB59" i="8"/>
  <c r="AA59" i="8"/>
  <c r="U59" i="8"/>
  <c r="V59" i="8" s="1"/>
  <c r="X59" i="8" s="1"/>
  <c r="P59" i="8"/>
  <c r="M59" i="8"/>
  <c r="N59" i="8" s="1"/>
  <c r="H59" i="8"/>
  <c r="AH58" i="8"/>
  <c r="AG58" i="8"/>
  <c r="AE58" i="8"/>
  <c r="AD58" i="8"/>
  <c r="AC58" i="8"/>
  <c r="AB58" i="8"/>
  <c r="AA58" i="8"/>
  <c r="P58" i="8"/>
  <c r="N58" i="8"/>
  <c r="M58" i="8"/>
  <c r="H58" i="8"/>
  <c r="AF58" i="8" s="1"/>
  <c r="AH57" i="8"/>
  <c r="AG57" i="8"/>
  <c r="AE57" i="8"/>
  <c r="AD57" i="8"/>
  <c r="AB57" i="8"/>
  <c r="AA57" i="8"/>
  <c r="P57" i="8"/>
  <c r="M57" i="8"/>
  <c r="N57" i="8" s="1"/>
  <c r="H57" i="8"/>
  <c r="AC57" i="8" s="1"/>
  <c r="U57" i="8" s="1"/>
  <c r="V57" i="8" s="1"/>
  <c r="X57" i="8" s="1"/>
  <c r="AH56" i="8"/>
  <c r="AG56" i="8"/>
  <c r="AE56" i="8"/>
  <c r="AD56" i="8"/>
  <c r="AB56" i="8"/>
  <c r="AA56" i="8"/>
  <c r="P56" i="8"/>
  <c r="N56" i="8"/>
  <c r="M56" i="8"/>
  <c r="H56" i="8"/>
  <c r="AH55" i="8"/>
  <c r="AG55" i="8"/>
  <c r="AE55" i="8"/>
  <c r="AD55" i="8"/>
  <c r="AB55" i="8"/>
  <c r="AA55" i="8"/>
  <c r="P55" i="8"/>
  <c r="M55" i="8"/>
  <c r="N55" i="8" s="1"/>
  <c r="H55" i="8"/>
  <c r="AH54" i="8"/>
  <c r="AG54" i="8"/>
  <c r="AE54" i="8"/>
  <c r="AD54" i="8"/>
  <c r="AB54" i="8"/>
  <c r="AA54" i="8"/>
  <c r="P54" i="8"/>
  <c r="N54" i="8"/>
  <c r="M54" i="8"/>
  <c r="H54" i="8"/>
  <c r="AH53" i="8"/>
  <c r="AG53" i="8"/>
  <c r="AF53" i="8"/>
  <c r="AE53" i="8"/>
  <c r="AD53" i="8"/>
  <c r="AC53" i="8"/>
  <c r="AB53" i="8"/>
  <c r="AA53" i="8"/>
  <c r="P53" i="8"/>
  <c r="N53" i="8"/>
  <c r="M53" i="8"/>
  <c r="H53" i="8"/>
  <c r="AH52" i="8"/>
  <c r="AG52" i="8"/>
  <c r="AE52" i="8"/>
  <c r="AD52" i="8"/>
  <c r="AC52" i="8"/>
  <c r="AB52" i="8"/>
  <c r="O52" i="8" s="1"/>
  <c r="AA52" i="8"/>
  <c r="P52" i="8"/>
  <c r="N52" i="8"/>
  <c r="M52" i="8"/>
  <c r="H52" i="8"/>
  <c r="AF52" i="8" s="1"/>
  <c r="AH51" i="8"/>
  <c r="AG51" i="8"/>
  <c r="AF51" i="8"/>
  <c r="AE51" i="8"/>
  <c r="AD51" i="8"/>
  <c r="AC51" i="8"/>
  <c r="U51" i="8" s="1"/>
  <c r="V51" i="8" s="1"/>
  <c r="X51" i="8" s="1"/>
  <c r="AB51" i="8"/>
  <c r="AA51" i="8"/>
  <c r="P51" i="8"/>
  <c r="M51" i="8"/>
  <c r="N51" i="8" s="1"/>
  <c r="H51" i="8"/>
  <c r="AH50" i="8"/>
  <c r="AG50" i="8"/>
  <c r="AE50" i="8"/>
  <c r="AD50" i="8"/>
  <c r="AC50" i="8"/>
  <c r="AB50" i="8"/>
  <c r="AA50" i="8"/>
  <c r="P50" i="8"/>
  <c r="N50" i="8"/>
  <c r="M50" i="8"/>
  <c r="H50" i="8"/>
  <c r="AF50" i="8" s="1"/>
  <c r="AH49" i="8"/>
  <c r="AG49" i="8"/>
  <c r="AF49" i="8"/>
  <c r="AE49" i="8"/>
  <c r="AD49" i="8"/>
  <c r="AB49" i="8"/>
  <c r="AA49" i="8"/>
  <c r="P49" i="8"/>
  <c r="M49" i="8"/>
  <c r="N49" i="8" s="1"/>
  <c r="U49" i="8" s="1"/>
  <c r="V49" i="8" s="1"/>
  <c r="X49" i="8" s="1"/>
  <c r="H49" i="8"/>
  <c r="AC49" i="8" s="1"/>
  <c r="AH48" i="8"/>
  <c r="AG48" i="8"/>
  <c r="AE48" i="8"/>
  <c r="AD48" i="8"/>
  <c r="AB48" i="8"/>
  <c r="AA48" i="8"/>
  <c r="P48" i="8"/>
  <c r="N48" i="8"/>
  <c r="M48" i="8"/>
  <c r="H48" i="8"/>
  <c r="AH47" i="8"/>
  <c r="AG47" i="8"/>
  <c r="AE47" i="8"/>
  <c r="AD47" i="8"/>
  <c r="AB47" i="8"/>
  <c r="AA47" i="8"/>
  <c r="P47" i="8"/>
  <c r="M47" i="8"/>
  <c r="N47" i="8" s="1"/>
  <c r="H47" i="8"/>
  <c r="AH46" i="8"/>
  <c r="AG46" i="8"/>
  <c r="AE46" i="8"/>
  <c r="AD46" i="8"/>
  <c r="AB46" i="8"/>
  <c r="AA46" i="8"/>
  <c r="P46" i="8"/>
  <c r="N46" i="8"/>
  <c r="M46" i="8"/>
  <c r="H46" i="8"/>
  <c r="AH45" i="8"/>
  <c r="AG45" i="8"/>
  <c r="AF45" i="8"/>
  <c r="AE45" i="8"/>
  <c r="AD45" i="8"/>
  <c r="AC45" i="8"/>
  <c r="AB45" i="8"/>
  <c r="AA45" i="8"/>
  <c r="P45" i="8"/>
  <c r="M45" i="8"/>
  <c r="N45" i="8" s="1"/>
  <c r="H45" i="8"/>
  <c r="AH44" i="8"/>
  <c r="AG44" i="8"/>
  <c r="AE44" i="8"/>
  <c r="AD44" i="8"/>
  <c r="AC44" i="8"/>
  <c r="AB44" i="8"/>
  <c r="AA44" i="8"/>
  <c r="P44" i="8"/>
  <c r="Q44" i="8" s="1"/>
  <c r="O44" i="8"/>
  <c r="S44" i="8" s="1"/>
  <c r="N44" i="8"/>
  <c r="M44" i="8"/>
  <c r="H44" i="8"/>
  <c r="AF44" i="8" s="1"/>
  <c r="AH43" i="8"/>
  <c r="AG43" i="8"/>
  <c r="AF43" i="8"/>
  <c r="AE43" i="8"/>
  <c r="AD43" i="8"/>
  <c r="AC43" i="8"/>
  <c r="U43" i="8" s="1"/>
  <c r="V43" i="8" s="1"/>
  <c r="X43" i="8" s="1"/>
  <c r="AB43" i="8"/>
  <c r="AA43" i="8"/>
  <c r="P43" i="8"/>
  <c r="M43" i="8"/>
  <c r="N43" i="8" s="1"/>
  <c r="H43" i="8"/>
  <c r="AH42" i="8"/>
  <c r="AG42" i="8"/>
  <c r="AE42" i="8"/>
  <c r="AD42" i="8"/>
  <c r="AC42" i="8"/>
  <c r="AB42" i="8"/>
  <c r="AA42" i="8"/>
  <c r="P42" i="8"/>
  <c r="N42" i="8"/>
  <c r="M42" i="8"/>
  <c r="H42" i="8"/>
  <c r="AF42" i="8" s="1"/>
  <c r="AH41" i="8"/>
  <c r="AG41" i="8"/>
  <c r="AE41" i="8"/>
  <c r="AD41" i="8"/>
  <c r="AB41" i="8"/>
  <c r="AA41" i="8"/>
  <c r="P41" i="8"/>
  <c r="M41" i="8"/>
  <c r="N41" i="8" s="1"/>
  <c r="H41" i="8"/>
  <c r="AC41" i="8" s="1"/>
  <c r="U41" i="8" s="1"/>
  <c r="V41" i="8" s="1"/>
  <c r="X41" i="8" s="1"/>
  <c r="AH40" i="8"/>
  <c r="AG40" i="8"/>
  <c r="AE40" i="8"/>
  <c r="AD40" i="8"/>
  <c r="AB40" i="8"/>
  <c r="AA40" i="8"/>
  <c r="P40" i="8"/>
  <c r="N40" i="8"/>
  <c r="M40" i="8"/>
  <c r="H40" i="8"/>
  <c r="AH39" i="8"/>
  <c r="AG39" i="8"/>
  <c r="AE39" i="8"/>
  <c r="AD39" i="8"/>
  <c r="AB39" i="8"/>
  <c r="AA39" i="8"/>
  <c r="P39" i="8"/>
  <c r="M39" i="8"/>
  <c r="N39" i="8" s="1"/>
  <c r="H39" i="8"/>
  <c r="AH38" i="8"/>
  <c r="AG38" i="8"/>
  <c r="AE38" i="8"/>
  <c r="AD38" i="8"/>
  <c r="AB38" i="8"/>
  <c r="AA38" i="8"/>
  <c r="P38" i="8"/>
  <c r="N38" i="8"/>
  <c r="M38" i="8"/>
  <c r="H38" i="8"/>
  <c r="AH37" i="8"/>
  <c r="AG37" i="8"/>
  <c r="AF37" i="8"/>
  <c r="AE37" i="8"/>
  <c r="AD37" i="8"/>
  <c r="AC37" i="8"/>
  <c r="AB37" i="8"/>
  <c r="AA37" i="8"/>
  <c r="P37" i="8"/>
  <c r="M37" i="8"/>
  <c r="N37" i="8" s="1"/>
  <c r="H37" i="8"/>
  <c r="AH36" i="8"/>
  <c r="AG36" i="8"/>
  <c r="AE36" i="8"/>
  <c r="AD36" i="8"/>
  <c r="AC36" i="8"/>
  <c r="AB36" i="8"/>
  <c r="O36" i="8" s="1"/>
  <c r="S36" i="8" s="1"/>
  <c r="AA36" i="8"/>
  <c r="P36" i="8"/>
  <c r="N36" i="8"/>
  <c r="M36" i="8"/>
  <c r="H36" i="8"/>
  <c r="AF36" i="8" s="1"/>
  <c r="AH35" i="8"/>
  <c r="AG35" i="8"/>
  <c r="AE35" i="8"/>
  <c r="AD35" i="8"/>
  <c r="AB35" i="8"/>
  <c r="AA35" i="8"/>
  <c r="P35" i="8"/>
  <c r="M35" i="8"/>
  <c r="N35" i="8" s="1"/>
  <c r="H35" i="8"/>
  <c r="AC35" i="8" s="1"/>
  <c r="U35" i="8" s="1"/>
  <c r="V35" i="8" s="1"/>
  <c r="X35" i="8" s="1"/>
  <c r="AH34" i="8"/>
  <c r="AG34" i="8"/>
  <c r="AE34" i="8"/>
  <c r="AD34" i="8"/>
  <c r="AC34" i="8"/>
  <c r="AB34" i="8"/>
  <c r="AA34" i="8"/>
  <c r="P34" i="8"/>
  <c r="O34" i="8"/>
  <c r="S34" i="8" s="1"/>
  <c r="N34" i="8"/>
  <c r="M34" i="8"/>
  <c r="H34" i="8"/>
  <c r="AF34" i="8" s="1"/>
  <c r="AH33" i="8"/>
  <c r="AG33" i="8"/>
  <c r="AF33" i="8"/>
  <c r="AE33" i="8"/>
  <c r="AD33" i="8"/>
  <c r="AC33" i="8"/>
  <c r="AB33" i="8"/>
  <c r="U33" i="8" s="1"/>
  <c r="AA33" i="8"/>
  <c r="P33" i="8"/>
  <c r="M33" i="8"/>
  <c r="H33" i="8"/>
  <c r="W31" i="8"/>
  <c r="W267" i="8" s="1"/>
  <c r="T31" i="8"/>
  <c r="R31" i="8"/>
  <c r="L31" i="8"/>
  <c r="K31" i="8"/>
  <c r="K267" i="8" s="1"/>
  <c r="AH30" i="8"/>
  <c r="AG30" i="8"/>
  <c r="AE30" i="8"/>
  <c r="AD30" i="8"/>
  <c r="AC30" i="8"/>
  <c r="AB30" i="8"/>
  <c r="AA30" i="8"/>
  <c r="P30" i="8"/>
  <c r="N30" i="8"/>
  <c r="M30" i="8"/>
  <c r="H30" i="8"/>
  <c r="AF30" i="8" s="1"/>
  <c r="AH29" i="8"/>
  <c r="AG29" i="8"/>
  <c r="AE29" i="8"/>
  <c r="AD29" i="8"/>
  <c r="AB29" i="8"/>
  <c r="AA29" i="8"/>
  <c r="P29" i="8"/>
  <c r="M29" i="8"/>
  <c r="N29" i="8" s="1"/>
  <c r="H29" i="8"/>
  <c r="AC29" i="8" s="1"/>
  <c r="U29" i="8" s="1"/>
  <c r="V29" i="8" s="1"/>
  <c r="X29" i="8" s="1"/>
  <c r="AH28" i="8"/>
  <c r="AG28" i="8"/>
  <c r="AE28" i="8"/>
  <c r="AD28" i="8"/>
  <c r="AC28" i="8"/>
  <c r="AB28" i="8"/>
  <c r="AA28" i="8"/>
  <c r="P28" i="8"/>
  <c r="M28" i="8"/>
  <c r="N28" i="8" s="1"/>
  <c r="H28" i="8"/>
  <c r="AF28" i="8" s="1"/>
  <c r="AH27" i="8"/>
  <c r="AG27" i="8"/>
  <c r="AF27" i="8"/>
  <c r="AE27" i="8"/>
  <c r="AD27" i="8"/>
  <c r="AC27" i="8"/>
  <c r="AB27" i="8"/>
  <c r="AA27" i="8"/>
  <c r="U27" i="8"/>
  <c r="V27" i="8" s="1"/>
  <c r="X27" i="8" s="1"/>
  <c r="P27" i="8"/>
  <c r="M27" i="8"/>
  <c r="N27" i="8" s="1"/>
  <c r="H27" i="8"/>
  <c r="AH26" i="8"/>
  <c r="AG26" i="8"/>
  <c r="AF26" i="8"/>
  <c r="AE26" i="8"/>
  <c r="AD26" i="8"/>
  <c r="AB26" i="8"/>
  <c r="AA26" i="8"/>
  <c r="P26" i="8"/>
  <c r="M26" i="8"/>
  <c r="N26" i="8" s="1"/>
  <c r="H26" i="8"/>
  <c r="AC26" i="8" s="1"/>
  <c r="AH25" i="8"/>
  <c r="AG25" i="8"/>
  <c r="AE25" i="8"/>
  <c r="AD25" i="8"/>
  <c r="AB25" i="8"/>
  <c r="AA25" i="8"/>
  <c r="P25" i="8"/>
  <c r="M25" i="8"/>
  <c r="N25" i="8" s="1"/>
  <c r="H25" i="8"/>
  <c r="AH24" i="8"/>
  <c r="AG24" i="8"/>
  <c r="AE24" i="8"/>
  <c r="AD24" i="8"/>
  <c r="AC24" i="8"/>
  <c r="AB24" i="8"/>
  <c r="AA24" i="8"/>
  <c r="P24" i="8"/>
  <c r="Q24" i="8" s="1"/>
  <c r="O24" i="8"/>
  <c r="S24" i="8" s="1"/>
  <c r="M24" i="8"/>
  <c r="N24" i="8" s="1"/>
  <c r="H24" i="8"/>
  <c r="AF24" i="8" s="1"/>
  <c r="AH23" i="8"/>
  <c r="AG23" i="8"/>
  <c r="AE23" i="8"/>
  <c r="AD23" i="8"/>
  <c r="AB23" i="8"/>
  <c r="AA23" i="8"/>
  <c r="P23" i="8"/>
  <c r="M23" i="8"/>
  <c r="N23" i="8" s="1"/>
  <c r="H23" i="8"/>
  <c r="AC23" i="8" s="1"/>
  <c r="U23" i="8" s="1"/>
  <c r="V23" i="8" s="1"/>
  <c r="X23" i="8" s="1"/>
  <c r="AH22" i="8"/>
  <c r="AG22" i="8"/>
  <c r="AE22" i="8"/>
  <c r="AD22" i="8"/>
  <c r="AB22" i="8"/>
  <c r="AA22" i="8"/>
  <c r="U22" i="8" s="1"/>
  <c r="V22" i="8" s="1"/>
  <c r="X22" i="8" s="1"/>
  <c r="P22" i="8"/>
  <c r="M22" i="8"/>
  <c r="N22" i="8" s="1"/>
  <c r="H22" i="8"/>
  <c r="AC22" i="8" s="1"/>
  <c r="AH21" i="8"/>
  <c r="AG21" i="8"/>
  <c r="AE21" i="8"/>
  <c r="AD21" i="8"/>
  <c r="AC21" i="8"/>
  <c r="AB21" i="8"/>
  <c r="AA21" i="8"/>
  <c r="P21" i="8"/>
  <c r="N21" i="8"/>
  <c r="M21" i="8"/>
  <c r="H21" i="8"/>
  <c r="AF21" i="8" s="1"/>
  <c r="AH20" i="8"/>
  <c r="AG20" i="8"/>
  <c r="AF20" i="8"/>
  <c r="AE20" i="8"/>
  <c r="AD20" i="8"/>
  <c r="AC20" i="8"/>
  <c r="O20" i="8" s="1"/>
  <c r="AB20" i="8"/>
  <c r="AA20" i="8"/>
  <c r="S20" i="8"/>
  <c r="Q20" i="8"/>
  <c r="P20" i="8"/>
  <c r="M20" i="8"/>
  <c r="N20" i="8" s="1"/>
  <c r="H20" i="8"/>
  <c r="AH19" i="8"/>
  <c r="AG19" i="8"/>
  <c r="AF19" i="8"/>
  <c r="AE19" i="8"/>
  <c r="AD19" i="8"/>
  <c r="AB19" i="8"/>
  <c r="AA19" i="8"/>
  <c r="P19" i="8"/>
  <c r="M19" i="8"/>
  <c r="N19" i="8" s="1"/>
  <c r="H19" i="8"/>
  <c r="AC19" i="8" s="1"/>
  <c r="AH18" i="8"/>
  <c r="AG18" i="8"/>
  <c r="AE18" i="8"/>
  <c r="AD18" i="8"/>
  <c r="AC18" i="8"/>
  <c r="AB18" i="8"/>
  <c r="AA18" i="8"/>
  <c r="U18" i="8" s="1"/>
  <c r="V18" i="8" s="1"/>
  <c r="X18" i="8" s="1"/>
  <c r="P18" i="8"/>
  <c r="N18" i="8"/>
  <c r="M18" i="8"/>
  <c r="H18" i="8"/>
  <c r="AF18" i="8" s="1"/>
  <c r="AH17" i="8"/>
  <c r="AG17" i="8"/>
  <c r="AF17" i="8"/>
  <c r="AE17" i="8"/>
  <c r="AD17" i="8"/>
  <c r="AC17" i="8"/>
  <c r="U17" i="8" s="1"/>
  <c r="V17" i="8" s="1"/>
  <c r="X17" i="8" s="1"/>
  <c r="AB17" i="8"/>
  <c r="AA17" i="8"/>
  <c r="P17" i="8"/>
  <c r="N17" i="8"/>
  <c r="M17" i="8"/>
  <c r="H17" i="8"/>
  <c r="AH16" i="8"/>
  <c r="AG16" i="8"/>
  <c r="AE16" i="8"/>
  <c r="AD16" i="8"/>
  <c r="AB16" i="8"/>
  <c r="AA16" i="8"/>
  <c r="P16" i="8"/>
  <c r="M16" i="8"/>
  <c r="N16" i="8" s="1"/>
  <c r="H16" i="8"/>
  <c r="AC16" i="8" s="1"/>
  <c r="O16" i="8" s="1"/>
  <c r="S16" i="8" s="1"/>
  <c r="AH15" i="8"/>
  <c r="AG15" i="8"/>
  <c r="AE15" i="8"/>
  <c r="AD15" i="8"/>
  <c r="AC15" i="8"/>
  <c r="AB15" i="8"/>
  <c r="AA15" i="8"/>
  <c r="U15" i="8"/>
  <c r="V15" i="8" s="1"/>
  <c r="X15" i="8" s="1"/>
  <c r="P15" i="8"/>
  <c r="N15" i="8"/>
  <c r="M15" i="8"/>
  <c r="H15" i="8"/>
  <c r="AF15" i="8" s="1"/>
  <c r="AH14" i="8"/>
  <c r="AG14" i="8"/>
  <c r="AF14" i="8"/>
  <c r="AE14" i="8"/>
  <c r="AD14" i="8"/>
  <c r="AB14" i="8"/>
  <c r="AA14" i="8"/>
  <c r="P14" i="8"/>
  <c r="M14" i="8"/>
  <c r="M31" i="8" s="1"/>
  <c r="H14" i="8"/>
  <c r="AC14" i="8" s="1"/>
  <c r="O14" i="8" s="1"/>
  <c r="S14" i="8" s="1"/>
  <c r="AH13" i="8"/>
  <c r="AG13" i="8"/>
  <c r="AE13" i="8"/>
  <c r="AD13" i="8"/>
  <c r="AC13" i="8"/>
  <c r="AB13" i="8"/>
  <c r="AA13" i="8"/>
  <c r="U13" i="8"/>
  <c r="V13" i="8" s="1"/>
  <c r="P13" i="8"/>
  <c r="P31" i="8" s="1"/>
  <c r="N13" i="8"/>
  <c r="M13" i="8"/>
  <c r="H13" i="8"/>
  <c r="AF13" i="8" s="1"/>
  <c r="Y59" i="8" l="1"/>
  <c r="Y81" i="8"/>
  <c r="Z81" i="8" s="1"/>
  <c r="S52" i="8"/>
  <c r="Q52" i="8"/>
  <c r="Q66" i="8"/>
  <c r="Y83" i="8"/>
  <c r="Z83" i="8" s="1"/>
  <c r="Y205" i="8"/>
  <c r="Z205" i="8" s="1"/>
  <c r="V33" i="8"/>
  <c r="Y43" i="8"/>
  <c r="Q105" i="8"/>
  <c r="Y115" i="8"/>
  <c r="Z115" i="8" s="1"/>
  <c r="Q170" i="8"/>
  <c r="S170" i="8"/>
  <c r="O46" i="8"/>
  <c r="S46" i="8" s="1"/>
  <c r="S204" i="8"/>
  <c r="Q204" i="8"/>
  <c r="Y49" i="8"/>
  <c r="Z49" i="8" s="1"/>
  <c r="Y99" i="8"/>
  <c r="Z99" i="8"/>
  <c r="Q165" i="8"/>
  <c r="Y65" i="8"/>
  <c r="Z65" i="8" s="1"/>
  <c r="Y67" i="8"/>
  <c r="Z67" i="8" s="1"/>
  <c r="Q89" i="8"/>
  <c r="U89" i="8" s="1"/>
  <c r="V89" i="8" s="1"/>
  <c r="X89" i="8" s="1"/>
  <c r="Y89" i="8" s="1"/>
  <c r="O45" i="8"/>
  <c r="S45" i="8" s="1"/>
  <c r="U45" i="8"/>
  <c r="V45" i="8" s="1"/>
  <c r="X45" i="8" s="1"/>
  <c r="Y45" i="8" s="1"/>
  <c r="AF55" i="8"/>
  <c r="AC55" i="8"/>
  <c r="O55" i="8" s="1"/>
  <c r="O93" i="8"/>
  <c r="S93" i="8" s="1"/>
  <c r="O109" i="8"/>
  <c r="S109" i="8" s="1"/>
  <c r="U109" i="8"/>
  <c r="V109" i="8" s="1"/>
  <c r="X109" i="8" s="1"/>
  <c r="Y109" i="8" s="1"/>
  <c r="AC145" i="8"/>
  <c r="O145" i="8" s="1"/>
  <c r="AF145" i="8"/>
  <c r="Q173" i="8"/>
  <c r="S173" i="8"/>
  <c r="U178" i="8"/>
  <c r="V178" i="8" s="1"/>
  <c r="X178" i="8" s="1"/>
  <c r="O178" i="8"/>
  <c r="O190" i="8"/>
  <c r="U190" i="8"/>
  <c r="V190" i="8" s="1"/>
  <c r="X190" i="8" s="1"/>
  <c r="Q198" i="8"/>
  <c r="S198" i="8"/>
  <c r="Q13" i="8"/>
  <c r="U25" i="8"/>
  <c r="V25" i="8" s="1"/>
  <c r="X25" i="8" s="1"/>
  <c r="Q38" i="8"/>
  <c r="AF48" i="8"/>
  <c r="AC48" i="8"/>
  <c r="Q53" i="8"/>
  <c r="O69" i="8"/>
  <c r="S69" i="8" s="1"/>
  <c r="U69" i="8"/>
  <c r="V69" i="8" s="1"/>
  <c r="X69" i="8" s="1"/>
  <c r="Y69" i="8" s="1"/>
  <c r="AC125" i="8"/>
  <c r="AF125" i="8"/>
  <c r="Q153" i="8"/>
  <c r="Q185" i="8"/>
  <c r="S185" i="8"/>
  <c r="Q216" i="8"/>
  <c r="Q19" i="8"/>
  <c r="U28" i="8"/>
  <c r="V28" i="8" s="1"/>
  <c r="X28" i="8" s="1"/>
  <c r="P229" i="8"/>
  <c r="P267" i="8" s="1"/>
  <c r="AF39" i="8"/>
  <c r="AC39" i="8"/>
  <c r="U39" i="8" s="1"/>
  <c r="V39" i="8" s="1"/>
  <c r="X39" i="8" s="1"/>
  <c r="Q43" i="8"/>
  <c r="U54" i="8"/>
  <c r="V54" i="8" s="1"/>
  <c r="X54" i="8" s="1"/>
  <c r="U60" i="8"/>
  <c r="V60" i="8" s="1"/>
  <c r="X60" i="8" s="1"/>
  <c r="AF72" i="8"/>
  <c r="AC72" i="8"/>
  <c r="O77" i="8"/>
  <c r="S77" i="8" s="1"/>
  <c r="U77" i="8"/>
  <c r="V77" i="8" s="1"/>
  <c r="X77" i="8" s="1"/>
  <c r="Q80" i="8"/>
  <c r="AC148" i="8"/>
  <c r="U148" i="8" s="1"/>
  <c r="V148" i="8" s="1"/>
  <c r="X148" i="8" s="1"/>
  <c r="AF148" i="8"/>
  <c r="Y198" i="8"/>
  <c r="O203" i="8"/>
  <c r="U203" i="8"/>
  <c r="V203" i="8" s="1"/>
  <c r="X203" i="8" s="1"/>
  <c r="X13" i="8"/>
  <c r="AF25" i="8"/>
  <c r="AC25" i="8"/>
  <c r="O25" i="8" s="1"/>
  <c r="Q33" i="8"/>
  <c r="AF54" i="8"/>
  <c r="AC54" i="8"/>
  <c r="O54" i="8" s="1"/>
  <c r="AF63" i="8"/>
  <c r="AC63" i="8"/>
  <c r="O63" i="8" s="1"/>
  <c r="Q97" i="8"/>
  <c r="O124" i="8"/>
  <c r="S142" i="8"/>
  <c r="Y142" i="8" s="1"/>
  <c r="Z142" i="8" s="1"/>
  <c r="Q142" i="8"/>
  <c r="O165" i="8"/>
  <c r="S165" i="8" s="1"/>
  <c r="U165" i="8"/>
  <c r="V165" i="8" s="1"/>
  <c r="X165" i="8" s="1"/>
  <c r="Y165" i="8" s="1"/>
  <c r="U181" i="8"/>
  <c r="V181" i="8" s="1"/>
  <c r="X181" i="8" s="1"/>
  <c r="O181" i="8"/>
  <c r="O13" i="8"/>
  <c r="O18" i="8"/>
  <c r="Z20" i="8"/>
  <c r="O22" i="8"/>
  <c r="S22" i="8" s="1"/>
  <c r="Y22" i="8" s="1"/>
  <c r="Z22" i="8" s="1"/>
  <c r="U24" i="8"/>
  <c r="V24" i="8" s="1"/>
  <c r="X24" i="8" s="1"/>
  <c r="Y24" i="8" s="1"/>
  <c r="Z24" i="8"/>
  <c r="AF29" i="8"/>
  <c r="U44" i="8"/>
  <c r="V44" i="8" s="1"/>
  <c r="X44" i="8" s="1"/>
  <c r="Y44" i="8" s="1"/>
  <c r="Z44" i="8"/>
  <c r="Q48" i="8"/>
  <c r="AF56" i="8"/>
  <c r="AC56" i="8"/>
  <c r="U71" i="8"/>
  <c r="V71" i="8" s="1"/>
  <c r="X71" i="8" s="1"/>
  <c r="Y80" i="8"/>
  <c r="Z80" i="8" s="1"/>
  <c r="Q95" i="8"/>
  <c r="Z100" i="8"/>
  <c r="Q111" i="8"/>
  <c r="U111" i="8" s="1"/>
  <c r="V111" i="8" s="1"/>
  <c r="X111" i="8" s="1"/>
  <c r="Z116" i="8"/>
  <c r="N14" i="8"/>
  <c r="N31" i="8" s="1"/>
  <c r="Q16" i="8"/>
  <c r="AF22" i="8"/>
  <c r="U34" i="8"/>
  <c r="V34" i="8" s="1"/>
  <c r="X34" i="8" s="1"/>
  <c r="O37" i="8"/>
  <c r="S37" i="8" s="1"/>
  <c r="U37" i="8"/>
  <c r="V37" i="8" s="1"/>
  <c r="X37" i="8" s="1"/>
  <c r="AF38" i="8"/>
  <c r="AC38" i="8"/>
  <c r="O38" i="8" s="1"/>
  <c r="S38" i="8" s="1"/>
  <c r="AF47" i="8"/>
  <c r="AC47" i="8"/>
  <c r="O47" i="8" s="1"/>
  <c r="Q51" i="8"/>
  <c r="AF57" i="8"/>
  <c r="U62" i="8"/>
  <c r="V62" i="8" s="1"/>
  <c r="X62" i="8" s="1"/>
  <c r="U68" i="8"/>
  <c r="V68" i="8" s="1"/>
  <c r="X68" i="8" s="1"/>
  <c r="Y68" i="8" s="1"/>
  <c r="Z68" i="8"/>
  <c r="O79" i="8"/>
  <c r="S79" i="8" s="1"/>
  <c r="Y79" i="8" s="1"/>
  <c r="Z79" i="8" s="1"/>
  <c r="O81" i="8"/>
  <c r="S81" i="8" s="1"/>
  <c r="Q84" i="8"/>
  <c r="Q88" i="8"/>
  <c r="U88" i="8" s="1"/>
  <c r="V88" i="8" s="1"/>
  <c r="X88" i="8" s="1"/>
  <c r="Q104" i="8"/>
  <c r="Q123" i="8"/>
  <c r="U128" i="8"/>
  <c r="V128" i="8" s="1"/>
  <c r="X128" i="8" s="1"/>
  <c r="O128" i="8"/>
  <c r="Q129" i="8"/>
  <c r="Q131" i="8"/>
  <c r="U143" i="8"/>
  <c r="V143" i="8" s="1"/>
  <c r="X143" i="8" s="1"/>
  <c r="Y143" i="8" s="1"/>
  <c r="O143" i="8"/>
  <c r="S143" i="8" s="1"/>
  <c r="AC144" i="8"/>
  <c r="O144" i="8" s="1"/>
  <c r="AF144" i="8"/>
  <c r="AC149" i="8"/>
  <c r="O149" i="8" s="1"/>
  <c r="AF149" i="8"/>
  <c r="AC152" i="8"/>
  <c r="AF152" i="8"/>
  <c r="Y180" i="8"/>
  <c r="Z180" i="8" s="1"/>
  <c r="S200" i="8"/>
  <c r="Q206" i="8"/>
  <c r="Y217" i="8"/>
  <c r="Z217" i="8" s="1"/>
  <c r="AF46" i="8"/>
  <c r="AC46" i="8"/>
  <c r="U46" i="8" s="1"/>
  <c r="V46" i="8" s="1"/>
  <c r="X46" i="8" s="1"/>
  <c r="Q59" i="8"/>
  <c r="O120" i="8"/>
  <c r="Q26" i="8"/>
  <c r="AF70" i="8"/>
  <c r="AC70" i="8"/>
  <c r="O70" i="8" s="1"/>
  <c r="AF76" i="8"/>
  <c r="AC76" i="8"/>
  <c r="U76" i="8" s="1"/>
  <c r="V76" i="8" s="1"/>
  <c r="X76" i="8" s="1"/>
  <c r="AC78" i="8"/>
  <c r="U78" i="8" s="1"/>
  <c r="V78" i="8" s="1"/>
  <c r="X78" i="8" s="1"/>
  <c r="AF78" i="8"/>
  <c r="AC137" i="8"/>
  <c r="U137" i="8" s="1"/>
  <c r="V137" i="8" s="1"/>
  <c r="X137" i="8" s="1"/>
  <c r="AF137" i="8"/>
  <c r="U149" i="8"/>
  <c r="V149" i="8" s="1"/>
  <c r="X149" i="8" s="1"/>
  <c r="U166" i="8"/>
  <c r="V166" i="8" s="1"/>
  <c r="X166" i="8" s="1"/>
  <c r="O166" i="8"/>
  <c r="S220" i="8"/>
  <c r="Q220" i="8"/>
  <c r="O15" i="8"/>
  <c r="S15" i="8" s="1"/>
  <c r="Y15" i="8" s="1"/>
  <c r="Z15" i="8" s="1"/>
  <c r="U16" i="8"/>
  <c r="V16" i="8" s="1"/>
  <c r="X16" i="8" s="1"/>
  <c r="O21" i="8"/>
  <c r="U21" i="8"/>
  <c r="V21" i="8" s="1"/>
  <c r="X21" i="8" s="1"/>
  <c r="Q34" i="8"/>
  <c r="Q62" i="8"/>
  <c r="O119" i="8"/>
  <c r="S119" i="8" s="1"/>
  <c r="AC120" i="8"/>
  <c r="AF120" i="8"/>
  <c r="Q122" i="8"/>
  <c r="O132" i="8"/>
  <c r="O147" i="8"/>
  <c r="Q150" i="8"/>
  <c r="O156" i="8"/>
  <c r="U156" i="8"/>
  <c r="V156" i="8" s="1"/>
  <c r="X156" i="8" s="1"/>
  <c r="AF23" i="8"/>
  <c r="O53" i="8"/>
  <c r="S53" i="8" s="1"/>
  <c r="U53" i="8"/>
  <c r="V53" i="8" s="1"/>
  <c r="X53" i="8" s="1"/>
  <c r="Y53" i="8" s="1"/>
  <c r="AF73" i="8"/>
  <c r="Z84" i="8"/>
  <c r="Q113" i="8"/>
  <c r="U113" i="8" s="1"/>
  <c r="V113" i="8" s="1"/>
  <c r="X113" i="8" s="1"/>
  <c r="Y122" i="8"/>
  <c r="Y153" i="8"/>
  <c r="Z153" i="8"/>
  <c r="AC166" i="8"/>
  <c r="AF166" i="8"/>
  <c r="AC182" i="8"/>
  <c r="AF182" i="8"/>
  <c r="U189" i="8"/>
  <c r="V189" i="8" s="1"/>
  <c r="X189" i="8" s="1"/>
  <c r="O189" i="8"/>
  <c r="Y242" i="8"/>
  <c r="Z242" i="8" s="1"/>
  <c r="U14" i="8"/>
  <c r="V14" i="8" s="1"/>
  <c r="X14" i="8" s="1"/>
  <c r="AF16" i="8"/>
  <c r="O19" i="8"/>
  <c r="S19" i="8" s="1"/>
  <c r="U19" i="8"/>
  <c r="V19" i="8" s="1"/>
  <c r="X19" i="8" s="1"/>
  <c r="Y19" i="8" s="1"/>
  <c r="O28" i="8"/>
  <c r="S28" i="8" s="1"/>
  <c r="Q36" i="8"/>
  <c r="AF40" i="8"/>
  <c r="AC40" i="8"/>
  <c r="O61" i="8"/>
  <c r="S61" i="8" s="1"/>
  <c r="U61" i="8"/>
  <c r="V61" i="8" s="1"/>
  <c r="X61" i="8" s="1"/>
  <c r="AF62" i="8"/>
  <c r="AC62" i="8"/>
  <c r="O62" i="8" s="1"/>
  <c r="S62" i="8" s="1"/>
  <c r="AF71" i="8"/>
  <c r="AC71" i="8"/>
  <c r="O71" i="8" s="1"/>
  <c r="Q79" i="8"/>
  <c r="Y85" i="8"/>
  <c r="U95" i="8"/>
  <c r="V95" i="8" s="1"/>
  <c r="X95" i="8" s="1"/>
  <c r="Y95" i="8" s="1"/>
  <c r="O96" i="8"/>
  <c r="U97" i="8"/>
  <c r="V97" i="8" s="1"/>
  <c r="X97" i="8" s="1"/>
  <c r="Y97" i="8" s="1"/>
  <c r="Q101" i="8"/>
  <c r="U101" i="8" s="1"/>
  <c r="V101" i="8" s="1"/>
  <c r="X101" i="8" s="1"/>
  <c r="Y101" i="8" s="1"/>
  <c r="U104" i="8"/>
  <c r="V104" i="8" s="1"/>
  <c r="X104" i="8" s="1"/>
  <c r="O112" i="8"/>
  <c r="Q117" i="8"/>
  <c r="U117" i="8" s="1"/>
  <c r="V117" i="8" s="1"/>
  <c r="X117" i="8" s="1"/>
  <c r="Y117" i="8" s="1"/>
  <c r="AC121" i="8"/>
  <c r="O121" i="8" s="1"/>
  <c r="AF121" i="8"/>
  <c r="U131" i="8"/>
  <c r="V131" i="8" s="1"/>
  <c r="X131" i="8" s="1"/>
  <c r="O131" i="8"/>
  <c r="S131" i="8" s="1"/>
  <c r="AC132" i="8"/>
  <c r="U132" i="8" s="1"/>
  <c r="V132" i="8" s="1"/>
  <c r="X132" i="8" s="1"/>
  <c r="AF132" i="8"/>
  <c r="U133" i="8"/>
  <c r="V133" i="8" s="1"/>
  <c r="X133" i="8" s="1"/>
  <c r="AC164" i="8"/>
  <c r="AF164" i="8"/>
  <c r="U200" i="8"/>
  <c r="V200" i="8" s="1"/>
  <c r="X200" i="8" s="1"/>
  <c r="Y200" i="8" s="1"/>
  <c r="U206" i="8"/>
  <c r="V206" i="8" s="1"/>
  <c r="X206" i="8" s="1"/>
  <c r="Y206" i="8" s="1"/>
  <c r="Z206" i="8"/>
  <c r="O206" i="8"/>
  <c r="S206" i="8" s="1"/>
  <c r="Y207" i="8"/>
  <c r="Q14" i="8"/>
  <c r="O26" i="8"/>
  <c r="S26" i="8" s="1"/>
  <c r="Q28" i="8"/>
  <c r="O30" i="8"/>
  <c r="S30" i="8" s="1"/>
  <c r="AF35" i="8"/>
  <c r="AF41" i="8"/>
  <c r="U52" i="8"/>
  <c r="V52" i="8" s="1"/>
  <c r="X52" i="8" s="1"/>
  <c r="Y52" i="8" s="1"/>
  <c r="Z52" i="8"/>
  <c r="Q56" i="8"/>
  <c r="O60" i="8"/>
  <c r="S60" i="8" s="1"/>
  <c r="AF64" i="8"/>
  <c r="AC64" i="8"/>
  <c r="Q83" i="8"/>
  <c r="U84" i="8"/>
  <c r="V84" i="8" s="1"/>
  <c r="X84" i="8" s="1"/>
  <c r="Y84" i="8" s="1"/>
  <c r="AC94" i="8"/>
  <c r="AF94" i="8"/>
  <c r="AC110" i="8"/>
  <c r="O110" i="8" s="1"/>
  <c r="AF110" i="8"/>
  <c r="U123" i="8"/>
  <c r="V123" i="8" s="1"/>
  <c r="X123" i="8" s="1"/>
  <c r="O123" i="8"/>
  <c r="S123" i="8" s="1"/>
  <c r="AC124" i="8"/>
  <c r="U124" i="8" s="1"/>
  <c r="V124" i="8" s="1"/>
  <c r="X124" i="8" s="1"/>
  <c r="AF124" i="8"/>
  <c r="U126" i="8"/>
  <c r="V126" i="8" s="1"/>
  <c r="X126" i="8" s="1"/>
  <c r="O126" i="8"/>
  <c r="Q158" i="8"/>
  <c r="O161" i="8"/>
  <c r="S161" i="8" s="1"/>
  <c r="U161" i="8"/>
  <c r="V161" i="8" s="1"/>
  <c r="X161" i="8" s="1"/>
  <c r="S256" i="8"/>
  <c r="Q137" i="8"/>
  <c r="U163" i="8"/>
  <c r="V163" i="8" s="1"/>
  <c r="X163" i="8" s="1"/>
  <c r="O163" i="8"/>
  <c r="S163" i="8" s="1"/>
  <c r="O183" i="8"/>
  <c r="AC184" i="8"/>
  <c r="AF184" i="8"/>
  <c r="O219" i="8"/>
  <c r="S219" i="8" s="1"/>
  <c r="U219" i="8"/>
  <c r="V219" i="8" s="1"/>
  <c r="X219" i="8" s="1"/>
  <c r="Y219" i="8" s="1"/>
  <c r="X265" i="8"/>
  <c r="O35" i="8"/>
  <c r="U40" i="8"/>
  <c r="V40" i="8" s="1"/>
  <c r="X40" i="8" s="1"/>
  <c r="O41" i="8"/>
  <c r="S41" i="8" s="1"/>
  <c r="Y41" i="8" s="1"/>
  <c r="Z41" i="8" s="1"/>
  <c r="U48" i="8"/>
  <c r="V48" i="8" s="1"/>
  <c r="X48" i="8" s="1"/>
  <c r="O49" i="8"/>
  <c r="S49" i="8" s="1"/>
  <c r="U56" i="8"/>
  <c r="V56" i="8" s="1"/>
  <c r="X56" i="8" s="1"/>
  <c r="O57" i="8"/>
  <c r="S57" i="8" s="1"/>
  <c r="Y57" i="8" s="1"/>
  <c r="Z57" i="8" s="1"/>
  <c r="U64" i="8"/>
  <c r="V64" i="8" s="1"/>
  <c r="X64" i="8" s="1"/>
  <c r="O65" i="8"/>
  <c r="S65" i="8" s="1"/>
  <c r="U72" i="8"/>
  <c r="V72" i="8" s="1"/>
  <c r="X72" i="8" s="1"/>
  <c r="AC75" i="8"/>
  <c r="U75" i="8" s="1"/>
  <c r="V75" i="8" s="1"/>
  <c r="X75" i="8" s="1"/>
  <c r="AF75" i="8"/>
  <c r="Z122" i="8"/>
  <c r="Q143" i="8"/>
  <c r="O146" i="8"/>
  <c r="S146" i="8" s="1"/>
  <c r="Y146" i="8" s="1"/>
  <c r="Z146" i="8" s="1"/>
  <c r="U150" i="8"/>
  <c r="V150" i="8" s="1"/>
  <c r="X150" i="8" s="1"/>
  <c r="Y150" i="8" s="1"/>
  <c r="Z150" i="8"/>
  <c r="U158" i="8"/>
  <c r="V158" i="8" s="1"/>
  <c r="X158" i="8" s="1"/>
  <c r="Y158" i="8" s="1"/>
  <c r="Z158" i="8"/>
  <c r="U168" i="8"/>
  <c r="V168" i="8" s="1"/>
  <c r="X168" i="8" s="1"/>
  <c r="O168" i="8"/>
  <c r="AF219" i="8"/>
  <c r="U233" i="8"/>
  <c r="O233" i="8"/>
  <c r="N234" i="8"/>
  <c r="M247" i="8"/>
  <c r="AC236" i="8"/>
  <c r="U236" i="8" s="1"/>
  <c r="V236" i="8" s="1"/>
  <c r="X236" i="8" s="1"/>
  <c r="AF236" i="8"/>
  <c r="U237" i="8"/>
  <c r="V237" i="8" s="1"/>
  <c r="X237" i="8" s="1"/>
  <c r="Y237" i="8" s="1"/>
  <c r="O237" i="8"/>
  <c r="S237" i="8" s="1"/>
  <c r="U254" i="8"/>
  <c r="V254" i="8" s="1"/>
  <c r="X254" i="8" s="1"/>
  <c r="O254" i="8"/>
  <c r="S254" i="8" s="1"/>
  <c r="Q257" i="8"/>
  <c r="O23" i="8"/>
  <c r="S23" i="8" s="1"/>
  <c r="Y23" i="8" s="1"/>
  <c r="Z23" i="8" s="1"/>
  <c r="U26" i="8"/>
  <c r="V26" i="8" s="1"/>
  <c r="X26" i="8" s="1"/>
  <c r="R267" i="8"/>
  <c r="O40" i="8"/>
  <c r="S40" i="8" s="1"/>
  <c r="O48" i="8"/>
  <c r="S48" i="8" s="1"/>
  <c r="O56" i="8"/>
  <c r="S56" i="8" s="1"/>
  <c r="O64" i="8"/>
  <c r="S64" i="8" s="1"/>
  <c r="O72" i="8"/>
  <c r="S72" i="8" s="1"/>
  <c r="O73" i="8"/>
  <c r="S73" i="8" s="1"/>
  <c r="O74" i="8"/>
  <c r="Z85" i="8"/>
  <c r="U86" i="8"/>
  <c r="V86" i="8" s="1"/>
  <c r="X86" i="8" s="1"/>
  <c r="U87" i="8"/>
  <c r="V87" i="8" s="1"/>
  <c r="X87" i="8" s="1"/>
  <c r="O89" i="8"/>
  <c r="S89" i="8" s="1"/>
  <c r="O90" i="8"/>
  <c r="AC92" i="8"/>
  <c r="Z101" i="8"/>
  <c r="U102" i="8"/>
  <c r="V102" i="8" s="1"/>
  <c r="X102" i="8" s="1"/>
  <c r="U103" i="8"/>
  <c r="V103" i="8" s="1"/>
  <c r="X103" i="8" s="1"/>
  <c r="O105" i="8"/>
  <c r="S105" i="8" s="1"/>
  <c r="Y105" i="8" s="1"/>
  <c r="Z105" i="8" s="1"/>
  <c r="O106" i="8"/>
  <c r="AC108" i="8"/>
  <c r="U108" i="8" s="1"/>
  <c r="V108" i="8" s="1"/>
  <c r="X108" i="8" s="1"/>
  <c r="U118" i="8"/>
  <c r="V118" i="8" s="1"/>
  <c r="X118" i="8" s="1"/>
  <c r="O129" i="8"/>
  <c r="S129" i="8" s="1"/>
  <c r="Y129" i="8" s="1"/>
  <c r="Z129" i="8" s="1"/>
  <c r="U140" i="8"/>
  <c r="V140" i="8" s="1"/>
  <c r="X140" i="8" s="1"/>
  <c r="O140" i="8"/>
  <c r="O141" i="8"/>
  <c r="S141" i="8" s="1"/>
  <c r="Y141" i="8" s="1"/>
  <c r="Z141" i="8" s="1"/>
  <c r="Q151" i="8"/>
  <c r="U155" i="8"/>
  <c r="V155" i="8" s="1"/>
  <c r="X155" i="8" s="1"/>
  <c r="O160" i="8"/>
  <c r="Q161" i="8"/>
  <c r="Q180" i="8"/>
  <c r="S180" i="8"/>
  <c r="U185" i="8"/>
  <c r="V185" i="8" s="1"/>
  <c r="X185" i="8" s="1"/>
  <c r="AF186" i="8"/>
  <c r="AC186" i="8"/>
  <c r="O196" i="8"/>
  <c r="Q208" i="8"/>
  <c r="AC209" i="8"/>
  <c r="U250" i="8"/>
  <c r="O250" i="8"/>
  <c r="M261" i="8"/>
  <c r="M267" i="8" s="1"/>
  <c r="N251" i="8"/>
  <c r="N261" i="8" s="1"/>
  <c r="U120" i="8"/>
  <c r="V120" i="8" s="1"/>
  <c r="X120" i="8" s="1"/>
  <c r="U177" i="8"/>
  <c r="V177" i="8" s="1"/>
  <c r="X177" i="8" s="1"/>
  <c r="O177" i="8"/>
  <c r="Y253" i="8"/>
  <c r="Z253" i="8" s="1"/>
  <c r="O29" i="8"/>
  <c r="O17" i="8"/>
  <c r="U20" i="8"/>
  <c r="V20" i="8" s="1"/>
  <c r="X20" i="8" s="1"/>
  <c r="Y20" i="8" s="1"/>
  <c r="M229" i="8"/>
  <c r="U42" i="8"/>
  <c r="V42" i="8" s="1"/>
  <c r="X42" i="8" s="1"/>
  <c r="Z43" i="8"/>
  <c r="O43" i="8"/>
  <c r="S43" i="8" s="1"/>
  <c r="U50" i="8"/>
  <c r="V50" i="8" s="1"/>
  <c r="X50" i="8" s="1"/>
  <c r="O51" i="8"/>
  <c r="S51" i="8" s="1"/>
  <c r="Y51" i="8" s="1"/>
  <c r="Z51" i="8" s="1"/>
  <c r="U58" i="8"/>
  <c r="V58" i="8" s="1"/>
  <c r="X58" i="8" s="1"/>
  <c r="Y58" i="8" s="1"/>
  <c r="Z59" i="8"/>
  <c r="O59" i="8"/>
  <c r="S59" i="8" s="1"/>
  <c r="U66" i="8"/>
  <c r="V66" i="8" s="1"/>
  <c r="X66" i="8" s="1"/>
  <c r="O67" i="8"/>
  <c r="S67" i="8" s="1"/>
  <c r="U82" i="8"/>
  <c r="V82" i="8" s="1"/>
  <c r="X82" i="8" s="1"/>
  <c r="U98" i="8"/>
  <c r="V98" i="8" s="1"/>
  <c r="X98" i="8" s="1"/>
  <c r="Q135" i="8"/>
  <c r="Q136" i="8"/>
  <c r="AF156" i="8"/>
  <c r="U162" i="8"/>
  <c r="V162" i="8" s="1"/>
  <c r="X162" i="8" s="1"/>
  <c r="O162" i="8"/>
  <c r="S162" i="8" s="1"/>
  <c r="O167" i="8"/>
  <c r="S167" i="8" s="1"/>
  <c r="U167" i="8"/>
  <c r="V167" i="8" s="1"/>
  <c r="X167" i="8" s="1"/>
  <c r="Y167" i="8" s="1"/>
  <c r="U170" i="8"/>
  <c r="V170" i="8" s="1"/>
  <c r="X170" i="8" s="1"/>
  <c r="Y173" i="8"/>
  <c r="Z173" i="8" s="1"/>
  <c r="U187" i="8"/>
  <c r="V187" i="8" s="1"/>
  <c r="X187" i="8" s="1"/>
  <c r="O187" i="8"/>
  <c r="AC188" i="8"/>
  <c r="AF188" i="8"/>
  <c r="U194" i="8"/>
  <c r="V194" i="8" s="1"/>
  <c r="X194" i="8" s="1"/>
  <c r="O194" i="8"/>
  <c r="U197" i="8"/>
  <c r="V197" i="8" s="1"/>
  <c r="X197" i="8" s="1"/>
  <c r="O197" i="8"/>
  <c r="S197" i="8" s="1"/>
  <c r="Q205" i="8"/>
  <c r="Q210" i="8"/>
  <c r="O215" i="8"/>
  <c r="S215" i="8" s="1"/>
  <c r="U215" i="8"/>
  <c r="V215" i="8" s="1"/>
  <c r="X215" i="8" s="1"/>
  <c r="AF215" i="8"/>
  <c r="U222" i="8"/>
  <c r="V222" i="8" s="1"/>
  <c r="X222" i="8" s="1"/>
  <c r="O222" i="8"/>
  <c r="S222" i="8" s="1"/>
  <c r="Z228" i="8"/>
  <c r="N228" i="8"/>
  <c r="S243" i="8"/>
  <c r="Q243" i="8"/>
  <c r="O27" i="8"/>
  <c r="U30" i="8"/>
  <c r="V30" i="8" s="1"/>
  <c r="X30" i="8" s="1"/>
  <c r="T267" i="8"/>
  <c r="N33" i="8"/>
  <c r="O33" i="8"/>
  <c r="U36" i="8"/>
  <c r="V36" i="8" s="1"/>
  <c r="X36" i="8" s="1"/>
  <c r="O42" i="8"/>
  <c r="O50" i="8"/>
  <c r="S50" i="8" s="1"/>
  <c r="O58" i="8"/>
  <c r="S58" i="8" s="1"/>
  <c r="O66" i="8"/>
  <c r="S66" i="8" s="1"/>
  <c r="U73" i="8"/>
  <c r="V73" i="8" s="1"/>
  <c r="X73" i="8" s="1"/>
  <c r="O82" i="8"/>
  <c r="O87" i="8"/>
  <c r="O91" i="8"/>
  <c r="O98" i="8"/>
  <c r="O103" i="8"/>
  <c r="O107" i="8"/>
  <c r="O114" i="8"/>
  <c r="O125" i="8"/>
  <c r="S125" i="8" s="1"/>
  <c r="U125" i="8"/>
  <c r="V125" i="8" s="1"/>
  <c r="X125" i="8" s="1"/>
  <c r="Y125" i="8" s="1"/>
  <c r="O133" i="8"/>
  <c r="S133" i="8" s="1"/>
  <c r="O134" i="8"/>
  <c r="O138" i="8"/>
  <c r="S138" i="8" s="1"/>
  <c r="Y138" i="8" s="1"/>
  <c r="Z138" i="8" s="1"/>
  <c r="O139" i="8"/>
  <c r="S154" i="8"/>
  <c r="O157" i="8"/>
  <c r="U157" i="8"/>
  <c r="V157" i="8" s="1"/>
  <c r="X157" i="8" s="1"/>
  <c r="AC160" i="8"/>
  <c r="U160" i="8" s="1"/>
  <c r="V160" i="8" s="1"/>
  <c r="X160" i="8" s="1"/>
  <c r="AF160" i="8"/>
  <c r="U169" i="8"/>
  <c r="V169" i="8" s="1"/>
  <c r="X169" i="8" s="1"/>
  <c r="O169" i="8"/>
  <c r="O174" i="8"/>
  <c r="O176" i="8"/>
  <c r="O193" i="8"/>
  <c r="U193" i="8"/>
  <c r="V193" i="8" s="1"/>
  <c r="X193" i="8" s="1"/>
  <c r="Z198" i="8"/>
  <c r="O199" i="8"/>
  <c r="Y202" i="8"/>
  <c r="Z202" i="8" s="1"/>
  <c r="AF211" i="8"/>
  <c r="AC211" i="8"/>
  <c r="S225" i="8"/>
  <c r="Q225" i="8"/>
  <c r="AC259" i="8"/>
  <c r="U259" i="8" s="1"/>
  <c r="V259" i="8" s="1"/>
  <c r="X259" i="8" s="1"/>
  <c r="AF259" i="8"/>
  <c r="U260" i="8"/>
  <c r="V260" i="8" s="1"/>
  <c r="X260" i="8" s="1"/>
  <c r="O260" i="8"/>
  <c r="AF128" i="8"/>
  <c r="U135" i="8"/>
  <c r="V135" i="8" s="1"/>
  <c r="X135" i="8" s="1"/>
  <c r="U171" i="8"/>
  <c r="V171" i="8" s="1"/>
  <c r="X171" i="8" s="1"/>
  <c r="AC172" i="8"/>
  <c r="AF172" i="8"/>
  <c r="O191" i="8"/>
  <c r="S191" i="8" s="1"/>
  <c r="Y191" i="8" s="1"/>
  <c r="Z191" i="8" s="1"/>
  <c r="O192" i="8"/>
  <c r="U192" i="8"/>
  <c r="V192" i="8" s="1"/>
  <c r="X192" i="8" s="1"/>
  <c r="U214" i="8"/>
  <c r="V214" i="8" s="1"/>
  <c r="X214" i="8" s="1"/>
  <c r="O214" i="8"/>
  <c r="U216" i="8"/>
  <c r="V216" i="8" s="1"/>
  <c r="X216" i="8" s="1"/>
  <c r="O216" i="8"/>
  <c r="S216" i="8" s="1"/>
  <c r="U221" i="8"/>
  <c r="V221" i="8" s="1"/>
  <c r="X221" i="8" s="1"/>
  <c r="N247" i="8"/>
  <c r="Z238" i="8"/>
  <c r="U127" i="8"/>
  <c r="V127" i="8" s="1"/>
  <c r="X127" i="8" s="1"/>
  <c r="Y127" i="8" s="1"/>
  <c r="Z130" i="8"/>
  <c r="U136" i="8"/>
  <c r="V136" i="8" s="1"/>
  <c r="X136" i="8" s="1"/>
  <c r="O137" i="8"/>
  <c r="S137" i="8" s="1"/>
  <c r="AC159" i="8"/>
  <c r="U159" i="8" s="1"/>
  <c r="V159" i="8" s="1"/>
  <c r="X159" i="8" s="1"/>
  <c r="AF159" i="8"/>
  <c r="U175" i="8"/>
  <c r="V175" i="8" s="1"/>
  <c r="X175" i="8" s="1"/>
  <c r="Q224" i="8"/>
  <c r="S224" i="8"/>
  <c r="U234" i="8"/>
  <c r="V234" i="8" s="1"/>
  <c r="X234" i="8" s="1"/>
  <c r="Y234" i="8" s="1"/>
  <c r="U238" i="8"/>
  <c r="V238" i="8" s="1"/>
  <c r="X238" i="8" s="1"/>
  <c r="Y238" i="8" s="1"/>
  <c r="S239" i="8"/>
  <c r="U251" i="8"/>
  <c r="V251" i="8" s="1"/>
  <c r="X251" i="8" s="1"/>
  <c r="U151" i="8"/>
  <c r="V151" i="8" s="1"/>
  <c r="X151" i="8" s="1"/>
  <c r="O153" i="8"/>
  <c r="S153" i="8" s="1"/>
  <c r="U154" i="8"/>
  <c r="V154" i="8" s="1"/>
  <c r="X154" i="8" s="1"/>
  <c r="Q163" i="8"/>
  <c r="Q175" i="8"/>
  <c r="U201" i="8"/>
  <c r="V201" i="8" s="1"/>
  <c r="X201" i="8" s="1"/>
  <c r="Y201" i="8" s="1"/>
  <c r="U208" i="8"/>
  <c r="V208" i="8" s="1"/>
  <c r="X208" i="8" s="1"/>
  <c r="O208" i="8"/>
  <c r="S208" i="8" s="1"/>
  <c r="U223" i="8"/>
  <c r="V223" i="8" s="1"/>
  <c r="X223" i="8" s="1"/>
  <c r="Q245" i="8"/>
  <c r="U256" i="8"/>
  <c r="V256" i="8" s="1"/>
  <c r="X256" i="8" s="1"/>
  <c r="Y256" i="8" s="1"/>
  <c r="Z256" i="8"/>
  <c r="Q155" i="8"/>
  <c r="Z201" i="8"/>
  <c r="O205" i="8"/>
  <c r="S205" i="8" s="1"/>
  <c r="AC213" i="8"/>
  <c r="U224" i="8"/>
  <c r="V224" i="8" s="1"/>
  <c r="X224" i="8" s="1"/>
  <c r="Y224" i="8" s="1"/>
  <c r="Z224" i="8" s="1"/>
  <c r="N225" i="8"/>
  <c r="AC228" i="8"/>
  <c r="U228" i="8" s="1"/>
  <c r="V228" i="8" s="1"/>
  <c r="X228" i="8" s="1"/>
  <c r="Y228" i="8" s="1"/>
  <c r="AF228" i="8"/>
  <c r="P247" i="8"/>
  <c r="O179" i="8"/>
  <c r="O195" i="8"/>
  <c r="O207" i="8"/>
  <c r="S207" i="8" s="1"/>
  <c r="Q255" i="8"/>
  <c r="Q207" i="8"/>
  <c r="U212" i="8"/>
  <c r="V212" i="8" s="1"/>
  <c r="X212" i="8" s="1"/>
  <c r="O212" i="8"/>
  <c r="Z234" i="8"/>
  <c r="U235" i="8"/>
  <c r="V235" i="8" s="1"/>
  <c r="X235" i="8" s="1"/>
  <c r="O235" i="8"/>
  <c r="Q242" i="8"/>
  <c r="U245" i="8"/>
  <c r="V245" i="8" s="1"/>
  <c r="X245" i="8" s="1"/>
  <c r="U252" i="8"/>
  <c r="V252" i="8" s="1"/>
  <c r="X252" i="8" s="1"/>
  <c r="Y252" i="8" s="1"/>
  <c r="Z252" i="8"/>
  <c r="P261" i="8"/>
  <c r="Q253" i="8"/>
  <c r="Z207" i="8"/>
  <c r="U210" i="8"/>
  <c r="V210" i="8" s="1"/>
  <c r="X210" i="8" s="1"/>
  <c r="O217" i="8"/>
  <c r="S217" i="8" s="1"/>
  <c r="U243" i="8"/>
  <c r="V243" i="8" s="1"/>
  <c r="X243" i="8" s="1"/>
  <c r="Y243" i="8" s="1"/>
  <c r="Z243" i="8"/>
  <c r="U258" i="8"/>
  <c r="V258" i="8" s="1"/>
  <c r="X258" i="8" s="1"/>
  <c r="O258" i="8"/>
  <c r="O264" i="8"/>
  <c r="Q215" i="8"/>
  <c r="U218" i="8"/>
  <c r="V218" i="8" s="1"/>
  <c r="X218" i="8" s="1"/>
  <c r="O226" i="8"/>
  <c r="S226" i="8" s="1"/>
  <c r="Y226" i="8" s="1"/>
  <c r="U239" i="8"/>
  <c r="V239" i="8" s="1"/>
  <c r="X239" i="8" s="1"/>
  <c r="U204" i="8"/>
  <c r="V204" i="8" s="1"/>
  <c r="X204" i="8" s="1"/>
  <c r="Y204" i="8" s="1"/>
  <c r="Q217" i="8"/>
  <c r="U220" i="8"/>
  <c r="V220" i="8" s="1"/>
  <c r="X220" i="8" s="1"/>
  <c r="Y220" i="8" s="1"/>
  <c r="U225" i="8"/>
  <c r="V225" i="8" s="1"/>
  <c r="X225" i="8" s="1"/>
  <c r="U241" i="8"/>
  <c r="V241" i="8" s="1"/>
  <c r="X241" i="8" s="1"/>
  <c r="Y241" i="8" s="1"/>
  <c r="O263" i="8"/>
  <c r="S263" i="8" s="1"/>
  <c r="Y263" i="8" s="1"/>
  <c r="Y265" i="8" s="1"/>
  <c r="O221" i="8"/>
  <c r="S221" i="8" s="1"/>
  <c r="O223" i="8"/>
  <c r="S223" i="8" s="1"/>
  <c r="O234" i="8"/>
  <c r="S234" i="8" s="1"/>
  <c r="O238" i="8"/>
  <c r="S238" i="8" s="1"/>
  <c r="O240" i="8"/>
  <c r="S240" i="8" s="1"/>
  <c r="Y240" i="8" s="1"/>
  <c r="Z240" i="8" s="1"/>
  <c r="O242" i="8"/>
  <c r="S242" i="8" s="1"/>
  <c r="O244" i="8"/>
  <c r="S244" i="8" s="1"/>
  <c r="Y244" i="8" s="1"/>
  <c r="Z244" i="8" s="1"/>
  <c r="O246" i="8"/>
  <c r="S246" i="8" s="1"/>
  <c r="Y246" i="8" s="1"/>
  <c r="Z246" i="8" s="1"/>
  <c r="O251" i="8"/>
  <c r="S251" i="8" s="1"/>
  <c r="O253" i="8"/>
  <c r="S253" i="8" s="1"/>
  <c r="O255" i="8"/>
  <c r="S255" i="8" s="1"/>
  <c r="Y255" i="8" s="1"/>
  <c r="Z255" i="8" s="1"/>
  <c r="O257" i="8"/>
  <c r="S257" i="8" s="1"/>
  <c r="Y257" i="8" s="1"/>
  <c r="Z257" i="8" s="1"/>
  <c r="S149" i="8" l="1"/>
  <c r="Q149" i="8"/>
  <c r="S63" i="8"/>
  <c r="Q63" i="8"/>
  <c r="S71" i="8"/>
  <c r="Y71" i="8" s="1"/>
  <c r="Z71" i="8" s="1"/>
  <c r="Q71" i="8"/>
  <c r="Y113" i="8"/>
  <c r="Z113" i="8" s="1"/>
  <c r="S54" i="8"/>
  <c r="Y54" i="8" s="1"/>
  <c r="Z54" i="8" s="1"/>
  <c r="Q54" i="8"/>
  <c r="Y88" i="8"/>
  <c r="Z88" i="8"/>
  <c r="S47" i="8"/>
  <c r="Q47" i="8"/>
  <c r="N267" i="8"/>
  <c r="S25" i="8"/>
  <c r="Y25" i="8" s="1"/>
  <c r="Z25" i="8" s="1"/>
  <c r="Q25" i="8"/>
  <c r="S55" i="8"/>
  <c r="Q55" i="8"/>
  <c r="S121" i="8"/>
  <c r="Q121" i="8"/>
  <c r="Z156" i="8"/>
  <c r="S145" i="8"/>
  <c r="Q145" i="8"/>
  <c r="Q110" i="8"/>
  <c r="U110" i="8" s="1"/>
  <c r="V110" i="8" s="1"/>
  <c r="X110" i="8" s="1"/>
  <c r="S110" i="8"/>
  <c r="S70" i="8"/>
  <c r="Q70" i="8"/>
  <c r="Y46" i="8"/>
  <c r="Z46" i="8" s="1"/>
  <c r="Y111" i="8"/>
  <c r="Z111" i="8" s="1"/>
  <c r="Y245" i="8"/>
  <c r="Z245" i="8" s="1"/>
  <c r="Y175" i="8"/>
  <c r="Z175" i="8"/>
  <c r="Y169" i="8"/>
  <c r="S103" i="8"/>
  <c r="Y103" i="8" s="1"/>
  <c r="Z103" i="8" s="1"/>
  <c r="Q103" i="8"/>
  <c r="Y98" i="8"/>
  <c r="Z98" i="8" s="1"/>
  <c r="S29" i="8"/>
  <c r="Y29" i="8" s="1"/>
  <c r="Z29" i="8" s="1"/>
  <c r="Q29" i="8"/>
  <c r="Z26" i="8"/>
  <c r="Y26" i="8"/>
  <c r="Y163" i="8"/>
  <c r="Z163" i="8" s="1"/>
  <c r="S132" i="8"/>
  <c r="Y132" i="8" s="1"/>
  <c r="Z132" i="8" s="1"/>
  <c r="Q132" i="8"/>
  <c r="Q166" i="8"/>
  <c r="S166" i="8"/>
  <c r="Y166" i="8" s="1"/>
  <c r="Z166" i="8" s="1"/>
  <c r="U152" i="8"/>
  <c r="V152" i="8" s="1"/>
  <c r="X152" i="8" s="1"/>
  <c r="O152" i="8"/>
  <c r="Y62" i="8"/>
  <c r="Z62" i="8" s="1"/>
  <c r="Y190" i="8"/>
  <c r="Y212" i="8"/>
  <c r="Z212" i="8"/>
  <c r="Q179" i="8"/>
  <c r="S179" i="8"/>
  <c r="Y179" i="8" s="1"/>
  <c r="Z179" i="8" s="1"/>
  <c r="O213" i="8"/>
  <c r="U213" i="8"/>
  <c r="V213" i="8" s="1"/>
  <c r="X213" i="8" s="1"/>
  <c r="S134" i="8"/>
  <c r="Y134" i="8" s="1"/>
  <c r="Z134" i="8" s="1"/>
  <c r="Q134" i="8"/>
  <c r="S42" i="8"/>
  <c r="Y42" i="8" s="1"/>
  <c r="Z42" i="8" s="1"/>
  <c r="Q42" i="8"/>
  <c r="Y82" i="8"/>
  <c r="Z82" i="8"/>
  <c r="Q90" i="8"/>
  <c r="U90" i="8" s="1"/>
  <c r="V90" i="8" s="1"/>
  <c r="X90" i="8" s="1"/>
  <c r="S90" i="8"/>
  <c r="Y161" i="8"/>
  <c r="Z161" i="8"/>
  <c r="S181" i="8"/>
  <c r="Y181" i="8" s="1"/>
  <c r="Z181" i="8" s="1"/>
  <c r="Q181" i="8"/>
  <c r="O75" i="8"/>
  <c r="Z190" i="8"/>
  <c r="Q235" i="8"/>
  <c r="S235" i="8"/>
  <c r="Y235" i="8" s="1"/>
  <c r="Z235" i="8" s="1"/>
  <c r="Q244" i="8"/>
  <c r="Y221" i="8"/>
  <c r="Z221" i="8" s="1"/>
  <c r="S91" i="8"/>
  <c r="Q91" i="8"/>
  <c r="U91" i="8" s="1"/>
  <c r="V91" i="8" s="1"/>
  <c r="X91" i="8" s="1"/>
  <c r="Q196" i="8"/>
  <c r="S196" i="8"/>
  <c r="Y196" i="8" s="1"/>
  <c r="Z196" i="8" s="1"/>
  <c r="S140" i="8"/>
  <c r="Y140" i="8" s="1"/>
  <c r="Z140" i="8" s="1"/>
  <c r="Q140" i="8"/>
  <c r="Z72" i="8"/>
  <c r="Y72" i="8"/>
  <c r="O78" i="8"/>
  <c r="U55" i="8"/>
  <c r="V55" i="8" s="1"/>
  <c r="X55" i="8" s="1"/>
  <c r="Q46" i="8"/>
  <c r="Q190" i="8"/>
  <c r="S190" i="8"/>
  <c r="Q15" i="8"/>
  <c r="Q31" i="8" s="1"/>
  <c r="Q141" i="8"/>
  <c r="Y222" i="8"/>
  <c r="Z222" i="8" s="1"/>
  <c r="U186" i="8"/>
  <c r="V186" i="8" s="1"/>
  <c r="X186" i="8" s="1"/>
  <c r="O186" i="8"/>
  <c r="Q112" i="8"/>
  <c r="U112" i="8" s="1"/>
  <c r="V112" i="8" s="1"/>
  <c r="X112" i="8" s="1"/>
  <c r="S112" i="8"/>
  <c r="S189" i="8"/>
  <c r="Q189" i="8"/>
  <c r="Q67" i="8"/>
  <c r="S128" i="8"/>
  <c r="Q128" i="8"/>
  <c r="Q178" i="8"/>
  <c r="S178" i="8"/>
  <c r="Y223" i="8"/>
  <c r="Z223" i="8" s="1"/>
  <c r="U172" i="8"/>
  <c r="V172" i="8" s="1"/>
  <c r="X172" i="8" s="1"/>
  <c r="O172" i="8"/>
  <c r="Q176" i="8"/>
  <c r="S176" i="8"/>
  <c r="Y176" i="8" s="1"/>
  <c r="Z176" i="8" s="1"/>
  <c r="Y197" i="8"/>
  <c r="S177" i="8"/>
  <c r="Q177" i="8"/>
  <c r="Y87" i="8"/>
  <c r="Z87" i="8" s="1"/>
  <c r="S35" i="8"/>
  <c r="Y35" i="8" s="1"/>
  <c r="Z35" i="8" s="1"/>
  <c r="Q35" i="8"/>
  <c r="O184" i="8"/>
  <c r="U184" i="8"/>
  <c r="V184" i="8" s="1"/>
  <c r="X184" i="8" s="1"/>
  <c r="O148" i="8"/>
  <c r="U164" i="8"/>
  <c r="V164" i="8" s="1"/>
  <c r="X164" i="8" s="1"/>
  <c r="O164" i="8"/>
  <c r="Y189" i="8"/>
  <c r="Z189" i="8"/>
  <c r="Q23" i="8"/>
  <c r="O39" i="8"/>
  <c r="Q72" i="8"/>
  <c r="Q22" i="8"/>
  <c r="Z167" i="8"/>
  <c r="S18" i="8"/>
  <c r="Y18" i="8" s="1"/>
  <c r="Z18" i="8" s="1"/>
  <c r="Q18" i="8"/>
  <c r="Y13" i="8"/>
  <c r="Z13" i="8" s="1"/>
  <c r="X31" i="8"/>
  <c r="Y178" i="8"/>
  <c r="Z178" i="8" s="1"/>
  <c r="Z45" i="8"/>
  <c r="X33" i="8"/>
  <c r="Q238" i="8"/>
  <c r="Q264" i="8"/>
  <c r="S264" i="8"/>
  <c r="Z220" i="8"/>
  <c r="Q240" i="8"/>
  <c r="Q221" i="8"/>
  <c r="Z241" i="8"/>
  <c r="Q226" i="8"/>
  <c r="Y136" i="8"/>
  <c r="Z136" i="8"/>
  <c r="Y216" i="8"/>
  <c r="Z216" i="8" s="1"/>
  <c r="Y171" i="8"/>
  <c r="Z171" i="8" s="1"/>
  <c r="O211" i="8"/>
  <c r="U211" i="8"/>
  <c r="V211" i="8" s="1"/>
  <c r="X211" i="8" s="1"/>
  <c r="Q174" i="8"/>
  <c r="S174" i="8"/>
  <c r="Y174" i="8" s="1"/>
  <c r="Z174" i="8" s="1"/>
  <c r="S157" i="8"/>
  <c r="Q157" i="8"/>
  <c r="Q119" i="8"/>
  <c r="U119" i="8" s="1"/>
  <c r="V119" i="8" s="1"/>
  <c r="X119" i="8" s="1"/>
  <c r="Y73" i="8"/>
  <c r="Z73" i="8" s="1"/>
  <c r="N229" i="8"/>
  <c r="Y215" i="8"/>
  <c r="Z215" i="8" s="1"/>
  <c r="Z197" i="8"/>
  <c r="Y170" i="8"/>
  <c r="Z170" i="8" s="1"/>
  <c r="Y66" i="8"/>
  <c r="Z66" i="8" s="1"/>
  <c r="Y50" i="8"/>
  <c r="Z50" i="8" s="1"/>
  <c r="S17" i="8"/>
  <c r="Y17" i="8" s="1"/>
  <c r="Z17" i="8" s="1"/>
  <c r="Q17" i="8"/>
  <c r="Y177" i="8"/>
  <c r="Z177" i="8"/>
  <c r="Q234" i="8"/>
  <c r="Y185" i="8"/>
  <c r="Z185" i="8" s="1"/>
  <c r="Y118" i="8"/>
  <c r="Z118" i="8"/>
  <c r="Y102" i="8"/>
  <c r="Z102" i="8"/>
  <c r="Y86" i="8"/>
  <c r="Z86" i="8"/>
  <c r="Y254" i="8"/>
  <c r="Z254" i="8"/>
  <c r="Q233" i="8"/>
  <c r="S233" i="8"/>
  <c r="Q183" i="8"/>
  <c r="S183" i="8"/>
  <c r="Y183" i="8" s="1"/>
  <c r="Z183" i="8" s="1"/>
  <c r="Q69" i="8"/>
  <c r="Y131" i="8"/>
  <c r="Z131" i="8" s="1"/>
  <c r="O108" i="8"/>
  <c r="Q146" i="8"/>
  <c r="Y137" i="8"/>
  <c r="Z137" i="8" s="1"/>
  <c r="U63" i="8"/>
  <c r="V63" i="8" s="1"/>
  <c r="X63" i="8" s="1"/>
  <c r="Q167" i="8"/>
  <c r="S144" i="8"/>
  <c r="Q144" i="8"/>
  <c r="U144" i="8" s="1"/>
  <c r="V144" i="8" s="1"/>
  <c r="X144" i="8" s="1"/>
  <c r="Y128" i="8"/>
  <c r="Z128" i="8" s="1"/>
  <c r="Z127" i="8"/>
  <c r="Z97" i="8"/>
  <c r="Q61" i="8"/>
  <c r="U38" i="8"/>
  <c r="V38" i="8" s="1"/>
  <c r="X38" i="8" s="1"/>
  <c r="O31" i="8"/>
  <c r="S13" i="8"/>
  <c r="V31" i="8"/>
  <c r="Q133" i="8"/>
  <c r="Q64" i="8"/>
  <c r="Z28" i="8"/>
  <c r="Y28" i="8"/>
  <c r="Q254" i="8"/>
  <c r="Q50" i="8"/>
  <c r="Q212" i="8"/>
  <c r="S212" i="8"/>
  <c r="S195" i="8"/>
  <c r="Y195" i="8" s="1"/>
  <c r="Z195" i="8" s="1"/>
  <c r="Q195" i="8"/>
  <c r="Y251" i="8"/>
  <c r="Z251" i="8" s="1"/>
  <c r="S199" i="8"/>
  <c r="Y199" i="8" s="1"/>
  <c r="Z199" i="8" s="1"/>
  <c r="Q199" i="8"/>
  <c r="S27" i="8"/>
  <c r="Y27" i="8" s="1"/>
  <c r="Z27" i="8" s="1"/>
  <c r="Q27" i="8"/>
  <c r="Q74" i="8"/>
  <c r="S74" i="8"/>
  <c r="Y74" i="8" s="1"/>
  <c r="Z74" i="8" s="1"/>
  <c r="S126" i="8"/>
  <c r="Q126" i="8"/>
  <c r="Y14" i="8"/>
  <c r="Z14" i="8"/>
  <c r="Y16" i="8"/>
  <c r="Z16" i="8" s="1"/>
  <c r="O94" i="8"/>
  <c r="Q203" i="8"/>
  <c r="S203" i="8"/>
  <c r="U145" i="8"/>
  <c r="V145" i="8" s="1"/>
  <c r="X145" i="8" s="1"/>
  <c r="Q192" i="8"/>
  <c r="S192" i="8"/>
  <c r="Y192" i="8" s="1"/>
  <c r="Z192" i="8" s="1"/>
  <c r="Z169" i="8"/>
  <c r="Q98" i="8"/>
  <c r="S98" i="8"/>
  <c r="U188" i="8"/>
  <c r="V188" i="8" s="1"/>
  <c r="X188" i="8" s="1"/>
  <c r="O188" i="8"/>
  <c r="Q106" i="8"/>
  <c r="S106" i="8"/>
  <c r="Y106" i="8" s="1"/>
  <c r="Z106" i="8" s="1"/>
  <c r="Q162" i="8"/>
  <c r="Y126" i="8"/>
  <c r="Z126" i="8" s="1"/>
  <c r="Z58" i="8"/>
  <c r="Q96" i="8"/>
  <c r="S96" i="8"/>
  <c r="Y96" i="8" s="1"/>
  <c r="Z96" i="8" s="1"/>
  <c r="Y77" i="8"/>
  <c r="Z77" i="8"/>
  <c r="Z218" i="8"/>
  <c r="Y218" i="8"/>
  <c r="Y36" i="8"/>
  <c r="Z36" i="8" s="1"/>
  <c r="S187" i="8"/>
  <c r="Y187" i="8" s="1"/>
  <c r="Z187" i="8" s="1"/>
  <c r="Q187" i="8"/>
  <c r="Y162" i="8"/>
  <c r="Z162" i="8" s="1"/>
  <c r="Q73" i="8"/>
  <c r="Q57" i="8"/>
  <c r="Q41" i="8"/>
  <c r="Q250" i="8"/>
  <c r="S250" i="8"/>
  <c r="S160" i="8"/>
  <c r="Y160" i="8" s="1"/>
  <c r="Z160" i="8" s="1"/>
  <c r="Q160" i="8"/>
  <c r="Z89" i="8"/>
  <c r="Q168" i="8"/>
  <c r="S168" i="8"/>
  <c r="Y168" i="8" s="1"/>
  <c r="Z168" i="8" s="1"/>
  <c r="Y56" i="8"/>
  <c r="Z56" i="8" s="1"/>
  <c r="Y40" i="8"/>
  <c r="Z40" i="8" s="1"/>
  <c r="Y156" i="8"/>
  <c r="Y149" i="8"/>
  <c r="Z149" i="8"/>
  <c r="Y34" i="8"/>
  <c r="Z34" i="8" s="1"/>
  <c r="S193" i="8"/>
  <c r="Y193" i="8" s="1"/>
  <c r="Z193" i="8" s="1"/>
  <c r="Q193" i="8"/>
  <c r="S87" i="8"/>
  <c r="Q87" i="8"/>
  <c r="S33" i="8"/>
  <c r="Z109" i="8"/>
  <c r="O92" i="8"/>
  <c r="S156" i="8"/>
  <c r="Q156" i="8"/>
  <c r="Q197" i="8"/>
  <c r="S124" i="8"/>
  <c r="Y124" i="8" s="1"/>
  <c r="Z124" i="8" s="1"/>
  <c r="Q124" i="8"/>
  <c r="Z69" i="8"/>
  <c r="O259" i="8"/>
  <c r="Q223" i="8"/>
  <c r="Q246" i="8"/>
  <c r="Z204" i="8"/>
  <c r="Y154" i="8"/>
  <c r="Z154" i="8" s="1"/>
  <c r="Y135" i="8"/>
  <c r="Z135" i="8"/>
  <c r="Y157" i="8"/>
  <c r="Z157" i="8" s="1"/>
  <c r="Q82" i="8"/>
  <c r="S82" i="8"/>
  <c r="Q251" i="8"/>
  <c r="V250" i="8"/>
  <c r="U261" i="8"/>
  <c r="O236" i="8"/>
  <c r="Z226" i="8"/>
  <c r="Q263" i="8"/>
  <c r="Q219" i="8"/>
  <c r="Z200" i="8"/>
  <c r="Y208" i="8"/>
  <c r="Z208" i="8"/>
  <c r="S214" i="8"/>
  <c r="Y214" i="8" s="1"/>
  <c r="Z214" i="8" s="1"/>
  <c r="Q214" i="8"/>
  <c r="O159" i="8"/>
  <c r="Q114" i="8"/>
  <c r="U114" i="8" s="1"/>
  <c r="V114" i="8" s="1"/>
  <c r="X114" i="8" s="1"/>
  <c r="S114" i="8"/>
  <c r="Q194" i="8"/>
  <c r="S194" i="8"/>
  <c r="Y194" i="8" s="1"/>
  <c r="Z194" i="8" s="1"/>
  <c r="Q65" i="8"/>
  <c r="Q49" i="8"/>
  <c r="Q222" i="8"/>
  <c r="Y155" i="8"/>
  <c r="Z155" i="8" s="1"/>
  <c r="Z117" i="8"/>
  <c r="Z237" i="8"/>
  <c r="Y64" i="8"/>
  <c r="Z64" i="8" s="1"/>
  <c r="Y48" i="8"/>
  <c r="Z48" i="8" s="1"/>
  <c r="Q191" i="8"/>
  <c r="Z95" i="8"/>
  <c r="Z125" i="8"/>
  <c r="Y104" i="8"/>
  <c r="Z104" i="8"/>
  <c r="Q81" i="8"/>
  <c r="Q45" i="8"/>
  <c r="Z19" i="8"/>
  <c r="U182" i="8"/>
  <c r="V182" i="8" s="1"/>
  <c r="X182" i="8" s="1"/>
  <c r="O182" i="8"/>
  <c r="Q125" i="8"/>
  <c r="Z53" i="8"/>
  <c r="S147" i="8"/>
  <c r="Q147" i="8"/>
  <c r="U147" i="8" s="1"/>
  <c r="V147" i="8" s="1"/>
  <c r="X147" i="8" s="1"/>
  <c r="S21" i="8"/>
  <c r="Y21" i="8" s="1"/>
  <c r="Z21" i="8" s="1"/>
  <c r="Q21" i="8"/>
  <c r="S120" i="8"/>
  <c r="Y120" i="8" s="1"/>
  <c r="Z120" i="8" s="1"/>
  <c r="Q120" i="8"/>
  <c r="Z143" i="8"/>
  <c r="U31" i="8"/>
  <c r="Z165" i="8"/>
  <c r="U47" i="8"/>
  <c r="V47" i="8" s="1"/>
  <c r="X47" i="8" s="1"/>
  <c r="Z219" i="8"/>
  <c r="U121" i="8"/>
  <c r="V121" i="8" s="1"/>
  <c r="X121" i="8" s="1"/>
  <c r="Q30" i="8"/>
  <c r="Y225" i="8"/>
  <c r="Z225" i="8" s="1"/>
  <c r="Y239" i="8"/>
  <c r="Z239" i="8"/>
  <c r="S258" i="8"/>
  <c r="Y258" i="8" s="1"/>
  <c r="Z258" i="8" s="1"/>
  <c r="Q258" i="8"/>
  <c r="Y210" i="8"/>
  <c r="Z210" i="8"/>
  <c r="Y151" i="8"/>
  <c r="Z151" i="8"/>
  <c r="S260" i="8"/>
  <c r="Y260" i="8" s="1"/>
  <c r="Z260" i="8" s="1"/>
  <c r="Q260" i="8"/>
  <c r="Q169" i="8"/>
  <c r="S169" i="8"/>
  <c r="S139" i="8"/>
  <c r="Y139" i="8" s="1"/>
  <c r="Z139" i="8" s="1"/>
  <c r="Q139" i="8"/>
  <c r="S107" i="8"/>
  <c r="Y107" i="8" s="1"/>
  <c r="Z107" i="8" s="1"/>
  <c r="Q107" i="8"/>
  <c r="Y30" i="8"/>
  <c r="Z30" i="8" s="1"/>
  <c r="O209" i="8"/>
  <c r="U209" i="8"/>
  <c r="V209" i="8" s="1"/>
  <c r="X209" i="8" s="1"/>
  <c r="Q109" i="8"/>
  <c r="Q93" i="8"/>
  <c r="U93" i="8" s="1"/>
  <c r="V93" i="8" s="1"/>
  <c r="X93" i="8" s="1"/>
  <c r="Q77" i="8"/>
  <c r="V233" i="8"/>
  <c r="U247" i="8"/>
  <c r="Y123" i="8"/>
  <c r="Z123" i="8" s="1"/>
  <c r="Y133" i="8"/>
  <c r="Z133" i="8" s="1"/>
  <c r="Y61" i="8"/>
  <c r="Z61" i="8" s="1"/>
  <c r="Q37" i="8"/>
  <c r="U70" i="8"/>
  <c r="V70" i="8" s="1"/>
  <c r="X70" i="8" s="1"/>
  <c r="Y37" i="8"/>
  <c r="Z37" i="8" s="1"/>
  <c r="Y203" i="8"/>
  <c r="Z203" i="8" s="1"/>
  <c r="Y60" i="8"/>
  <c r="Z60" i="8" s="1"/>
  <c r="Q237" i="8"/>
  <c r="Q40" i="8"/>
  <c r="O76" i="8"/>
  <c r="Q138" i="8"/>
  <c r="Q58" i="8"/>
  <c r="Q60" i="8"/>
  <c r="Z31" i="8" l="1"/>
  <c r="Y70" i="8"/>
  <c r="Z70" i="8"/>
  <c r="S259" i="8"/>
  <c r="Y259" i="8" s="1"/>
  <c r="Z259" i="8" s="1"/>
  <c r="Q259" i="8"/>
  <c r="Q261" i="8" s="1"/>
  <c r="S108" i="8"/>
  <c r="Y108" i="8" s="1"/>
  <c r="Z108" i="8" s="1"/>
  <c r="Q108" i="8"/>
  <c r="S39" i="8"/>
  <c r="Y39" i="8" s="1"/>
  <c r="Z39" i="8" s="1"/>
  <c r="Q39" i="8"/>
  <c r="Q229" i="8" s="1"/>
  <c r="Y186" i="8"/>
  <c r="Z186" i="8"/>
  <c r="Q94" i="8"/>
  <c r="U94" i="8" s="1"/>
  <c r="V94" i="8" s="1"/>
  <c r="X94" i="8" s="1"/>
  <c r="S94" i="8"/>
  <c r="S76" i="8"/>
  <c r="Y76" i="8" s="1"/>
  <c r="Z76" i="8" s="1"/>
  <c r="Q76" i="8"/>
  <c r="Y33" i="8"/>
  <c r="Z33" i="8"/>
  <c r="Q172" i="8"/>
  <c r="S172" i="8"/>
  <c r="O261" i="8"/>
  <c r="Y172" i="8"/>
  <c r="Z172" i="8"/>
  <c r="Y55" i="8"/>
  <c r="Z55" i="8"/>
  <c r="S209" i="8"/>
  <c r="Q209" i="8"/>
  <c r="X250" i="8"/>
  <c r="V261" i="8"/>
  <c r="O229" i="8"/>
  <c r="O267" i="8" s="1"/>
  <c r="Y145" i="8"/>
  <c r="Z145" i="8"/>
  <c r="Z38" i="8"/>
  <c r="Y38" i="8"/>
  <c r="Y63" i="8"/>
  <c r="Z63" i="8" s="1"/>
  <c r="S211" i="8"/>
  <c r="Q211" i="8"/>
  <c r="S164" i="8"/>
  <c r="Y164" i="8" s="1"/>
  <c r="Z164" i="8" s="1"/>
  <c r="Q164" i="8"/>
  <c r="Q78" i="8"/>
  <c r="S78" i="8"/>
  <c r="Y78" i="8" s="1"/>
  <c r="Z78" i="8" s="1"/>
  <c r="Y91" i="8"/>
  <c r="Z91" i="8" s="1"/>
  <c r="Q182" i="8"/>
  <c r="S182" i="8"/>
  <c r="Y114" i="8"/>
  <c r="Z114" i="8"/>
  <c r="Q188" i="8"/>
  <c r="S188" i="8"/>
  <c r="S247" i="8"/>
  <c r="Y112" i="8"/>
  <c r="Z112" i="8"/>
  <c r="Y110" i="8"/>
  <c r="Z110" i="8"/>
  <c r="Y47" i="8"/>
  <c r="Z47" i="8"/>
  <c r="S236" i="8"/>
  <c r="Y236" i="8" s="1"/>
  <c r="Z236" i="8" s="1"/>
  <c r="Q236" i="8"/>
  <c r="S92" i="8"/>
  <c r="Q92" i="8"/>
  <c r="U92" i="8" s="1"/>
  <c r="V92" i="8" s="1"/>
  <c r="X92" i="8" s="1"/>
  <c r="Q184" i="8"/>
  <c r="S184" i="8"/>
  <c r="Y184" i="8" s="1"/>
  <c r="Z184" i="8" s="1"/>
  <c r="Y93" i="8"/>
  <c r="Z93" i="8"/>
  <c r="Y147" i="8"/>
  <c r="Z147" i="8"/>
  <c r="S261" i="8"/>
  <c r="Y144" i="8"/>
  <c r="Z144" i="8" s="1"/>
  <c r="Y31" i="8"/>
  <c r="S31" i="8"/>
  <c r="Y209" i="8"/>
  <c r="Z209" i="8"/>
  <c r="Y211" i="8"/>
  <c r="Z211" i="8" s="1"/>
  <c r="Y121" i="8"/>
  <c r="Z121" i="8"/>
  <c r="Y182" i="8"/>
  <c r="Z182" i="8" s="1"/>
  <c r="S159" i="8"/>
  <c r="Y159" i="8" s="1"/>
  <c r="Z159" i="8" s="1"/>
  <c r="Q159" i="8"/>
  <c r="Y188" i="8"/>
  <c r="Z188" i="8"/>
  <c r="O247" i="8"/>
  <c r="Y119" i="8"/>
  <c r="Z119" i="8"/>
  <c r="S148" i="8"/>
  <c r="Y148" i="8" s="1"/>
  <c r="Z148" i="8" s="1"/>
  <c r="Q148" i="8"/>
  <c r="S75" i="8"/>
  <c r="Y75" i="8" s="1"/>
  <c r="Z75" i="8" s="1"/>
  <c r="Q75" i="8"/>
  <c r="Y90" i="8"/>
  <c r="Z90" i="8" s="1"/>
  <c r="X233" i="8"/>
  <c r="V247" i="8"/>
  <c r="Q247" i="8"/>
  <c r="Q186" i="8"/>
  <c r="S186" i="8"/>
  <c r="S213" i="8"/>
  <c r="Y213" i="8" s="1"/>
  <c r="Z213" i="8" s="1"/>
  <c r="Q213" i="8"/>
  <c r="S152" i="8"/>
  <c r="Y152" i="8" s="1"/>
  <c r="Z152" i="8" s="1"/>
  <c r="Q152" i="8"/>
  <c r="Q267" i="8" l="1"/>
  <c r="S229" i="8"/>
  <c r="X247" i="8"/>
  <c r="Y233" i="8"/>
  <c r="Y247" i="8" s="1"/>
  <c r="Z233" i="8"/>
  <c r="Z247" i="8" s="1"/>
  <c r="Y92" i="8"/>
  <c r="Y229" i="8" s="1"/>
  <c r="Y267" i="8" s="1"/>
  <c r="Z92" i="8"/>
  <c r="Z229" i="8" s="1"/>
  <c r="Z267" i="8" s="1"/>
  <c r="S267" i="8"/>
  <c r="X261" i="8"/>
  <c r="Y250" i="8"/>
  <c r="Y261" i="8" s="1"/>
  <c r="Z250" i="8"/>
  <c r="Z261" i="8" s="1"/>
  <c r="Y94" i="8"/>
  <c r="Z94" i="8"/>
  <c r="U229" i="8"/>
  <c r="U267" i="8" s="1"/>
  <c r="V229" i="8"/>
  <c r="V267" i="8" s="1"/>
  <c r="X229" i="8"/>
  <c r="X267" i="8" s="1"/>
  <c r="E56" i="3" l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6" i="3"/>
  <c r="E32" i="3"/>
  <c r="E30" i="3"/>
  <c r="E29" i="3"/>
  <c r="E28" i="3"/>
  <c r="E26" i="3"/>
  <c r="E25" i="3"/>
  <c r="E24" i="3"/>
  <c r="E23" i="3"/>
  <c r="E22" i="3"/>
  <c r="E21" i="3"/>
  <c r="E20" i="3"/>
  <c r="E19" i="3"/>
  <c r="P59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E39" i="3" s="1"/>
  <c r="S37" i="5"/>
  <c r="E37" i="3" s="1"/>
  <c r="S36" i="5"/>
  <c r="S32" i="5"/>
  <c r="S31" i="5"/>
  <c r="E31" i="3" s="1"/>
  <c r="S30" i="5"/>
  <c r="S29" i="5"/>
  <c r="S28" i="5"/>
  <c r="S27" i="5"/>
  <c r="E27" i="3" s="1"/>
  <c r="S26" i="5"/>
  <c r="S25" i="5"/>
  <c r="S24" i="5"/>
  <c r="S23" i="5"/>
  <c r="S22" i="5"/>
  <c r="S21" i="5"/>
  <c r="S20" i="5"/>
  <c r="S19" i="5"/>
  <c r="S15" i="5"/>
  <c r="S14" i="5"/>
  <c r="S13" i="5"/>
  <c r="S12" i="5"/>
  <c r="S11" i="5"/>
  <c r="S10" i="5"/>
  <c r="S9" i="5"/>
  <c r="S8" i="5"/>
  <c r="O59" i="5"/>
  <c r="N59" i="5"/>
  <c r="M59" i="5"/>
  <c r="J59" i="5"/>
  <c r="I59" i="5"/>
  <c r="H59" i="5"/>
  <c r="G59" i="5"/>
  <c r="H27" i="5"/>
  <c r="J35" i="5"/>
  <c r="O35" i="5" l="1"/>
  <c r="K33" i="5" l="1"/>
  <c r="S33" i="5" s="1"/>
  <c r="E33" i="3" s="1"/>
  <c r="K35" i="5"/>
  <c r="E38" i="5"/>
  <c r="S38" i="5" s="1"/>
  <c r="E38" i="3" s="1"/>
  <c r="D58" i="5"/>
  <c r="S58" i="5" s="1"/>
  <c r="E58" i="3" s="1"/>
  <c r="C57" i="5"/>
  <c r="S57" i="5" s="1"/>
  <c r="E57" i="3" s="1"/>
  <c r="L35" i="5"/>
  <c r="S35" i="5" s="1"/>
  <c r="E35" i="3" s="1"/>
  <c r="L34" i="5"/>
  <c r="S34" i="5" s="1"/>
  <c r="E34" i="3" s="1"/>
  <c r="J19" i="9"/>
  <c r="I19" i="9"/>
  <c r="I17" i="9"/>
  <c r="J17" i="9" s="1"/>
  <c r="J11" i="9"/>
  <c r="I11" i="9"/>
  <c r="H19" i="9"/>
  <c r="G19" i="9"/>
  <c r="H17" i="9"/>
  <c r="G17" i="9"/>
  <c r="H11" i="9"/>
  <c r="G11" i="9"/>
  <c r="E10" i="9"/>
  <c r="E11" i="9"/>
  <c r="E15" i="9"/>
  <c r="E17" i="9"/>
  <c r="E19" i="9"/>
  <c r="A21" i="5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20" i="5"/>
  <c r="B17" i="5"/>
  <c r="A10" i="5"/>
  <c r="A11" i="5" s="1"/>
  <c r="A12" i="5" s="1"/>
  <c r="A13" i="5" s="1"/>
  <c r="A14" i="5" s="1"/>
  <c r="L59" i="5" l="1"/>
  <c r="D59" i="5"/>
  <c r="E59" i="5"/>
  <c r="C59" i="5"/>
  <c r="K59" i="5"/>
  <c r="S59" i="5" l="1"/>
  <c r="V195" i="2"/>
  <c r="T194" i="2"/>
  <c r="U193" i="2"/>
  <c r="T193" i="2"/>
  <c r="S193" i="2"/>
  <c r="Q193" i="2"/>
  <c r="P193" i="2"/>
  <c r="AP192" i="2"/>
  <c r="AP191" i="2"/>
  <c r="BE190" i="2"/>
  <c r="BD189" i="2"/>
  <c r="AS188" i="2"/>
  <c r="AS187" i="2"/>
  <c r="BC186" i="2"/>
  <c r="BB185" i="2"/>
  <c r="BA183" i="2"/>
  <c r="AY182" i="2"/>
  <c r="AX180" i="2"/>
  <c r="AX179" i="2"/>
  <c r="AX178" i="2"/>
  <c r="AX177" i="2"/>
  <c r="AX176" i="2"/>
  <c r="AX175" i="2"/>
  <c r="AX174" i="2"/>
  <c r="AX173" i="2"/>
  <c r="AX172" i="2"/>
  <c r="AW171" i="2"/>
  <c r="AZ170" i="2"/>
  <c r="AO169" i="2"/>
  <c r="AV166" i="2"/>
  <c r="AU165" i="2"/>
  <c r="AU163" i="2"/>
  <c r="AU162" i="2"/>
  <c r="AT161" i="2"/>
  <c r="AS159" i="2"/>
  <c r="AS158" i="2"/>
  <c r="AR156" i="2"/>
  <c r="AI157" i="2"/>
  <c r="AI155" i="2"/>
  <c r="AQ154" i="2"/>
  <c r="AP153" i="2"/>
  <c r="AO151" i="2"/>
  <c r="AN150" i="2"/>
  <c r="AM149" i="2"/>
  <c r="AK148" i="2"/>
  <c r="AL147" i="2"/>
  <c r="AL146" i="2"/>
  <c r="AJ145" i="2"/>
  <c r="AI144" i="2"/>
  <c r="AI143" i="2"/>
  <c r="AH142" i="2"/>
  <c r="AG141" i="2"/>
  <c r="AF140" i="2"/>
  <c r="AF139" i="2"/>
  <c r="AF138" i="2"/>
  <c r="AF137" i="2"/>
  <c r="AE134" i="2"/>
  <c r="AE133" i="2"/>
  <c r="AE132" i="2"/>
  <c r="AE131" i="2"/>
  <c r="AD130" i="2"/>
  <c r="AD129" i="2"/>
  <c r="AD128" i="2"/>
  <c r="AD127" i="2"/>
  <c r="AD126" i="2"/>
  <c r="AD125" i="2"/>
  <c r="Z124" i="2"/>
  <c r="AC123" i="2"/>
  <c r="AC122" i="2"/>
  <c r="AC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A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Y91" i="2"/>
  <c r="Y90" i="2"/>
  <c r="Y89" i="2"/>
  <c r="Y88" i="2"/>
  <c r="Y87" i="2"/>
  <c r="Y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W71" i="2"/>
  <c r="W70" i="2"/>
  <c r="W69" i="2"/>
  <c r="W68" i="2"/>
  <c r="W67" i="2"/>
  <c r="V66" i="2"/>
  <c r="V65" i="2"/>
  <c r="V64" i="2"/>
  <c r="V63" i="2"/>
  <c r="V62" i="2"/>
  <c r="T57" i="2"/>
  <c r="S55" i="2"/>
  <c r="R54" i="2"/>
  <c r="R53" i="2"/>
  <c r="R52" i="2"/>
  <c r="R51" i="2"/>
  <c r="Q50" i="2"/>
  <c r="P49" i="2"/>
  <c r="O48" i="2"/>
  <c r="N47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Q23" i="2"/>
  <c r="P22" i="2"/>
  <c r="O21" i="2"/>
  <c r="N20" i="2"/>
  <c r="R19" i="2"/>
  <c r="R18" i="2"/>
  <c r="Q17" i="2"/>
  <c r="P16" i="2"/>
  <c r="O15" i="2"/>
  <c r="N14" i="2"/>
  <c r="R13" i="2"/>
  <c r="R12" i="2"/>
  <c r="R11" i="2"/>
  <c r="R10" i="2"/>
  <c r="Q9" i="2"/>
  <c r="P8" i="2"/>
  <c r="O7" i="2"/>
  <c r="N6" i="2"/>
  <c r="L195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126" i="2"/>
  <c r="J129" i="2"/>
  <c r="J193" i="2" s="1"/>
  <c r="J126" i="2"/>
  <c r="K193" i="2" l="1"/>
  <c r="C33" i="3"/>
  <c r="F33" i="3" s="1"/>
  <c r="C34" i="3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3" i="3"/>
  <c r="H33" i="3" l="1"/>
  <c r="K33" i="3" s="1"/>
  <c r="F14" i="4"/>
  <c r="I33" i="3" s="1"/>
  <c r="F54" i="3" l="1"/>
  <c r="H54" i="3" l="1"/>
  <c r="K54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A10" i="3"/>
  <c r="A11" i="3" s="1"/>
  <c r="A12" i="3" s="1"/>
  <c r="A13" i="3" s="1"/>
  <c r="A14" i="3" s="1"/>
  <c r="A30" i="3" l="1"/>
  <c r="A31" i="3" s="1"/>
  <c r="A32" i="3" s="1"/>
  <c r="C60" i="2"/>
  <c r="B17" i="3" l="1"/>
  <c r="B193" i="2"/>
  <c r="G193" i="2"/>
  <c r="I190" i="2"/>
  <c r="BE193" i="2" s="1"/>
  <c r="C56" i="3" s="1"/>
  <c r="F56" i="3" s="1"/>
  <c r="I188" i="2"/>
  <c r="I174" i="2"/>
  <c r="I172" i="2"/>
  <c r="I171" i="2"/>
  <c r="AW193" i="2" s="1"/>
  <c r="C47" i="3" s="1"/>
  <c r="F47" i="3" s="1"/>
  <c r="I158" i="2"/>
  <c r="I156" i="2"/>
  <c r="AR193" i="2" s="1"/>
  <c r="C40" i="3" s="1"/>
  <c r="F40" i="3" s="1"/>
  <c r="I155" i="2"/>
  <c r="I142" i="2"/>
  <c r="AH193" i="2" s="1"/>
  <c r="C31" i="3" s="1"/>
  <c r="F31" i="3" s="1"/>
  <c r="I140" i="2"/>
  <c r="I139" i="2"/>
  <c r="I126" i="2"/>
  <c r="I123" i="2"/>
  <c r="I122" i="2"/>
  <c r="I110" i="2"/>
  <c r="I108" i="2"/>
  <c r="I107" i="2"/>
  <c r="I106" i="2"/>
  <c r="I94" i="2"/>
  <c r="I92" i="2"/>
  <c r="I91" i="2"/>
  <c r="I90" i="2"/>
  <c r="I78" i="2"/>
  <c r="I76" i="2"/>
  <c r="I75" i="2"/>
  <c r="I74" i="2"/>
  <c r="I62" i="2"/>
  <c r="I56" i="2"/>
  <c r="I55" i="2"/>
  <c r="S58" i="2" s="1"/>
  <c r="C13" i="3" s="1"/>
  <c r="F13" i="3" s="1"/>
  <c r="I13" i="3" s="1"/>
  <c r="I54" i="2"/>
  <c r="I42" i="2"/>
  <c r="I40" i="2"/>
  <c r="I39" i="2"/>
  <c r="I38" i="2"/>
  <c r="I26" i="2"/>
  <c r="I24" i="2"/>
  <c r="I23" i="2"/>
  <c r="I22" i="2"/>
  <c r="I10" i="2"/>
  <c r="I8" i="2"/>
  <c r="I7" i="2"/>
  <c r="I6" i="2"/>
  <c r="E192" i="2"/>
  <c r="I192" i="2" s="1"/>
  <c r="C58" i="3" s="1"/>
  <c r="F58" i="3" s="1"/>
  <c r="K58" i="3" s="1"/>
  <c r="E191" i="2"/>
  <c r="I191" i="2" s="1"/>
  <c r="C57" i="3" s="1"/>
  <c r="F57" i="3" s="1"/>
  <c r="K57" i="3" s="1"/>
  <c r="E190" i="2"/>
  <c r="E189" i="2"/>
  <c r="I189" i="2" s="1"/>
  <c r="BD193" i="2" s="1"/>
  <c r="C55" i="3" s="1"/>
  <c r="F55" i="3" s="1"/>
  <c r="E188" i="2"/>
  <c r="E187" i="2"/>
  <c r="I187" i="2" s="1"/>
  <c r="E186" i="2"/>
  <c r="I186" i="2" s="1"/>
  <c r="BC193" i="2" s="1"/>
  <c r="C52" i="3" s="1"/>
  <c r="F52" i="3" s="1"/>
  <c r="E185" i="2"/>
  <c r="I185" i="2" s="1"/>
  <c r="BB193" i="2" s="1"/>
  <c r="C51" i="3" s="1"/>
  <c r="F51" i="3" s="1"/>
  <c r="E184" i="2"/>
  <c r="I184" i="2" s="1"/>
  <c r="E183" i="2"/>
  <c r="I183" i="2" s="1"/>
  <c r="BA193" i="2" s="1"/>
  <c r="C50" i="3" s="1"/>
  <c r="F50" i="3" s="1"/>
  <c r="E182" i="2"/>
  <c r="I182" i="2" s="1"/>
  <c r="AY193" i="2" s="1"/>
  <c r="C49" i="3" s="1"/>
  <c r="F49" i="3" s="1"/>
  <c r="E181" i="2"/>
  <c r="I181" i="2" s="1"/>
  <c r="AO181" i="2" s="1"/>
  <c r="E180" i="2"/>
  <c r="I180" i="2" s="1"/>
  <c r="E179" i="2"/>
  <c r="I179" i="2" s="1"/>
  <c r="E177" i="2"/>
  <c r="I177" i="2" s="1"/>
  <c r="E176" i="2"/>
  <c r="I176" i="2" s="1"/>
  <c r="E175" i="2"/>
  <c r="I175" i="2" s="1"/>
  <c r="E174" i="2"/>
  <c r="E173" i="2"/>
  <c r="I173" i="2" s="1"/>
  <c r="E172" i="2"/>
  <c r="E171" i="2"/>
  <c r="E170" i="2"/>
  <c r="I170" i="2" s="1"/>
  <c r="AZ193" i="2" s="1"/>
  <c r="C46" i="3" s="1"/>
  <c r="F46" i="3" s="1"/>
  <c r="E169" i="2"/>
  <c r="I169" i="2" s="1"/>
  <c r="E168" i="2"/>
  <c r="I168" i="2" s="1"/>
  <c r="AO168" i="2" s="1"/>
  <c r="E167" i="2"/>
  <c r="I167" i="2" s="1"/>
  <c r="AP167" i="2" s="1"/>
  <c r="E166" i="2"/>
  <c r="I166" i="2" s="1"/>
  <c r="AV193" i="2" s="1"/>
  <c r="C44" i="3" s="1"/>
  <c r="F44" i="3" s="1"/>
  <c r="E165" i="2"/>
  <c r="I165" i="2" s="1"/>
  <c r="E164" i="2"/>
  <c r="I164" i="2" s="1"/>
  <c r="AI164" i="2" s="1"/>
  <c r="E163" i="2"/>
  <c r="I163" i="2" s="1"/>
  <c r="E162" i="2"/>
  <c r="I162" i="2" s="1"/>
  <c r="AU193" i="2" s="1"/>
  <c r="C43" i="3" s="1"/>
  <c r="F43" i="3" s="1"/>
  <c r="E161" i="2"/>
  <c r="I161" i="2" s="1"/>
  <c r="AT193" i="2" s="1"/>
  <c r="C42" i="3" s="1"/>
  <c r="F42" i="3" s="1"/>
  <c r="E160" i="2"/>
  <c r="I160" i="2" s="1"/>
  <c r="AA160" i="2" s="1"/>
  <c r="E159" i="2"/>
  <c r="I159" i="2" s="1"/>
  <c r="E158" i="2"/>
  <c r="E157" i="2"/>
  <c r="I157" i="2" s="1"/>
  <c r="E156" i="2"/>
  <c r="E155" i="2"/>
  <c r="E154" i="2"/>
  <c r="I154" i="2" s="1"/>
  <c r="AQ193" i="2" s="1"/>
  <c r="C39" i="3" s="1"/>
  <c r="F39" i="3" s="1"/>
  <c r="E153" i="2"/>
  <c r="I153" i="2" s="1"/>
  <c r="E152" i="2"/>
  <c r="I152" i="2" s="1"/>
  <c r="E151" i="2"/>
  <c r="I151" i="2" s="1"/>
  <c r="E150" i="2"/>
  <c r="I150" i="2" s="1"/>
  <c r="AN193" i="2" s="1"/>
  <c r="C37" i="3" s="1"/>
  <c r="F37" i="3" s="1"/>
  <c r="E149" i="2"/>
  <c r="I149" i="2" s="1"/>
  <c r="AM193" i="2" s="1"/>
  <c r="C36" i="3" s="1"/>
  <c r="F36" i="3" s="1"/>
  <c r="E148" i="2"/>
  <c r="I148" i="2" s="1"/>
  <c r="AK193" i="2" s="1"/>
  <c r="C35" i="3" s="1"/>
  <c r="E147" i="2"/>
  <c r="I147" i="2" s="1"/>
  <c r="E146" i="2"/>
  <c r="I146" i="2" s="1"/>
  <c r="AL193" i="2" s="1"/>
  <c r="E145" i="2"/>
  <c r="I145" i="2" s="1"/>
  <c r="AJ193" i="2" s="1"/>
  <c r="C32" i="3" s="1"/>
  <c r="F32" i="3" s="1"/>
  <c r="E144" i="2"/>
  <c r="I144" i="2" s="1"/>
  <c r="E143" i="2"/>
  <c r="I143" i="2" s="1"/>
  <c r="E142" i="2"/>
  <c r="E141" i="2"/>
  <c r="I141" i="2" s="1"/>
  <c r="AG193" i="2" s="1"/>
  <c r="C30" i="3" s="1"/>
  <c r="F30" i="3" s="1"/>
  <c r="E140" i="2"/>
  <c r="E139" i="2"/>
  <c r="E138" i="2"/>
  <c r="I138" i="2" s="1"/>
  <c r="E137" i="2"/>
  <c r="I137" i="2" s="1"/>
  <c r="E136" i="2"/>
  <c r="I136" i="2" s="1"/>
  <c r="Z136" i="2" s="1"/>
  <c r="E135" i="2"/>
  <c r="I135" i="2" s="1"/>
  <c r="AA135" i="2" s="1"/>
  <c r="E134" i="2"/>
  <c r="I134" i="2" s="1"/>
  <c r="E133" i="2"/>
  <c r="I133" i="2" s="1"/>
  <c r="E132" i="2"/>
  <c r="I132" i="2" s="1"/>
  <c r="E131" i="2"/>
  <c r="I131" i="2" s="1"/>
  <c r="E130" i="2"/>
  <c r="I130" i="2" s="1"/>
  <c r="E129" i="2"/>
  <c r="I129" i="2" s="1"/>
  <c r="E128" i="2"/>
  <c r="I128" i="2" s="1"/>
  <c r="E127" i="2"/>
  <c r="I127" i="2" s="1"/>
  <c r="E126" i="2"/>
  <c r="E125" i="2"/>
  <c r="I125" i="2" s="1"/>
  <c r="E123" i="2"/>
  <c r="E122" i="2"/>
  <c r="E121" i="2"/>
  <c r="I121" i="2" s="1"/>
  <c r="E120" i="2"/>
  <c r="I120" i="2" s="1"/>
  <c r="E119" i="2"/>
  <c r="I119" i="2" s="1"/>
  <c r="E118" i="2"/>
  <c r="I118" i="2" s="1"/>
  <c r="E117" i="2"/>
  <c r="I117" i="2" s="1"/>
  <c r="E116" i="2"/>
  <c r="I116" i="2" s="1"/>
  <c r="E115" i="2"/>
  <c r="I115" i="2" s="1"/>
  <c r="E114" i="2"/>
  <c r="I114" i="2" s="1"/>
  <c r="E113" i="2"/>
  <c r="I113" i="2" s="1"/>
  <c r="E112" i="2"/>
  <c r="I112" i="2" s="1"/>
  <c r="E111" i="2"/>
  <c r="I111" i="2" s="1"/>
  <c r="E110" i="2"/>
  <c r="E109" i="2"/>
  <c r="I109" i="2" s="1"/>
  <c r="E108" i="2"/>
  <c r="E107" i="2"/>
  <c r="E106" i="2"/>
  <c r="E105" i="2"/>
  <c r="I105" i="2" s="1"/>
  <c r="E104" i="2"/>
  <c r="I104" i="2" s="1"/>
  <c r="E103" i="2"/>
  <c r="I103" i="2" s="1"/>
  <c r="E102" i="2"/>
  <c r="I102" i="2" s="1"/>
  <c r="E101" i="2"/>
  <c r="I101" i="2" s="1"/>
  <c r="E100" i="2"/>
  <c r="I100" i="2" s="1"/>
  <c r="E99" i="2"/>
  <c r="I99" i="2" s="1"/>
  <c r="E98" i="2"/>
  <c r="I98" i="2" s="1"/>
  <c r="E97" i="2"/>
  <c r="I97" i="2" s="1"/>
  <c r="E96" i="2"/>
  <c r="I96" i="2" s="1"/>
  <c r="E95" i="2"/>
  <c r="I95" i="2" s="1"/>
  <c r="E94" i="2"/>
  <c r="E93" i="2"/>
  <c r="I93" i="2" s="1"/>
  <c r="E92" i="2"/>
  <c r="E91" i="2"/>
  <c r="E90" i="2"/>
  <c r="E89" i="2"/>
  <c r="I89" i="2" s="1"/>
  <c r="E88" i="2"/>
  <c r="I88" i="2" s="1"/>
  <c r="E87" i="2"/>
  <c r="I87" i="2" s="1"/>
  <c r="E86" i="2"/>
  <c r="I86" i="2" s="1"/>
  <c r="Y193" i="2" s="1"/>
  <c r="C22" i="3" s="1"/>
  <c r="F22" i="3" s="1"/>
  <c r="E85" i="2"/>
  <c r="I85" i="2" s="1"/>
  <c r="E84" i="2"/>
  <c r="I84" i="2" s="1"/>
  <c r="E83" i="2"/>
  <c r="I83" i="2" s="1"/>
  <c r="E82" i="2"/>
  <c r="I82" i="2" s="1"/>
  <c r="E81" i="2"/>
  <c r="I81" i="2" s="1"/>
  <c r="E80" i="2"/>
  <c r="I80" i="2" s="1"/>
  <c r="E79" i="2"/>
  <c r="I79" i="2" s="1"/>
  <c r="E78" i="2"/>
  <c r="E77" i="2"/>
  <c r="I77" i="2" s="1"/>
  <c r="E76" i="2"/>
  <c r="E75" i="2"/>
  <c r="E74" i="2"/>
  <c r="E73" i="2"/>
  <c r="I73" i="2" s="1"/>
  <c r="E72" i="2"/>
  <c r="I72" i="2" s="1"/>
  <c r="E71" i="2"/>
  <c r="I71" i="2" s="1"/>
  <c r="E70" i="2"/>
  <c r="I70" i="2" s="1"/>
  <c r="E69" i="2"/>
  <c r="I69" i="2" s="1"/>
  <c r="E68" i="2"/>
  <c r="I68" i="2" s="1"/>
  <c r="E67" i="2"/>
  <c r="I67" i="2" s="1"/>
  <c r="E66" i="2"/>
  <c r="I66" i="2" s="1"/>
  <c r="E65" i="2"/>
  <c r="I65" i="2" s="1"/>
  <c r="E64" i="2"/>
  <c r="I64" i="2" s="1"/>
  <c r="E63" i="2"/>
  <c r="I63" i="2" s="1"/>
  <c r="E62" i="2"/>
  <c r="E57" i="2"/>
  <c r="I57" i="2" s="1"/>
  <c r="T58" i="2" s="1"/>
  <c r="C14" i="3" s="1"/>
  <c r="F14" i="3" s="1"/>
  <c r="I14" i="3" s="1"/>
  <c r="E56" i="2"/>
  <c r="E55" i="2"/>
  <c r="E54" i="2"/>
  <c r="E53" i="2"/>
  <c r="I53" i="2" s="1"/>
  <c r="E52" i="2"/>
  <c r="I52" i="2" s="1"/>
  <c r="E51" i="2"/>
  <c r="I51" i="2" s="1"/>
  <c r="E50" i="2"/>
  <c r="I50" i="2" s="1"/>
  <c r="E49" i="2"/>
  <c r="I49" i="2" s="1"/>
  <c r="E48" i="2"/>
  <c r="I48" i="2" s="1"/>
  <c r="E47" i="2"/>
  <c r="I47" i="2" s="1"/>
  <c r="E46" i="2"/>
  <c r="I46" i="2" s="1"/>
  <c r="E45" i="2"/>
  <c r="I45" i="2" s="1"/>
  <c r="E44" i="2"/>
  <c r="I44" i="2" s="1"/>
  <c r="E43" i="2"/>
  <c r="I43" i="2" s="1"/>
  <c r="E42" i="2"/>
  <c r="E41" i="2"/>
  <c r="I41" i="2" s="1"/>
  <c r="E40" i="2"/>
  <c r="E39" i="2"/>
  <c r="E38" i="2"/>
  <c r="E37" i="2"/>
  <c r="I37" i="2" s="1"/>
  <c r="E36" i="2"/>
  <c r="I36" i="2" s="1"/>
  <c r="E35" i="2"/>
  <c r="I35" i="2" s="1"/>
  <c r="E34" i="2"/>
  <c r="I34" i="2" s="1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7" i="2"/>
  <c r="I27" i="2" s="1"/>
  <c r="E26" i="2"/>
  <c r="E25" i="2"/>
  <c r="I25" i="2" s="1"/>
  <c r="E24" i="2"/>
  <c r="E23" i="2"/>
  <c r="E22" i="2"/>
  <c r="E21" i="2"/>
  <c r="I21" i="2" s="1"/>
  <c r="E20" i="2"/>
  <c r="I20" i="2" s="1"/>
  <c r="E19" i="2"/>
  <c r="I19" i="2" s="1"/>
  <c r="E18" i="2"/>
  <c r="I18" i="2" s="1"/>
  <c r="E17" i="2"/>
  <c r="I17" i="2" s="1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E9" i="2"/>
  <c r="I9" i="2" s="1"/>
  <c r="E8" i="2"/>
  <c r="E7" i="2"/>
  <c r="E6" i="2"/>
  <c r="H36" i="3" l="1"/>
  <c r="I37" i="3"/>
  <c r="K37" i="3"/>
  <c r="H51" i="3"/>
  <c r="I32" i="3"/>
  <c r="I42" i="3"/>
  <c r="H31" i="3"/>
  <c r="I31" i="3"/>
  <c r="H30" i="3"/>
  <c r="I30" i="3" s="1"/>
  <c r="K30" i="3" s="1"/>
  <c r="I47" i="3"/>
  <c r="K52" i="3"/>
  <c r="I56" i="3"/>
  <c r="I40" i="3"/>
  <c r="I55" i="3"/>
  <c r="K55" i="3"/>
  <c r="H56" i="3"/>
  <c r="K56" i="3" s="1"/>
  <c r="F34" i="3"/>
  <c r="F35" i="3"/>
  <c r="I36" i="3"/>
  <c r="K36" i="3" s="1"/>
  <c r="I39" i="3"/>
  <c r="H39" i="3"/>
  <c r="K39" i="3" s="1"/>
  <c r="I43" i="3"/>
  <c r="H43" i="3"/>
  <c r="K43" i="3" s="1"/>
  <c r="I46" i="3"/>
  <c r="H46" i="3"/>
  <c r="K46" i="3" s="1"/>
  <c r="AE193" i="2"/>
  <c r="C28" i="3" s="1"/>
  <c r="F28" i="3" s="1"/>
  <c r="R58" i="2"/>
  <c r="C12" i="3" s="1"/>
  <c r="F12" i="3" s="1"/>
  <c r="I12" i="3" s="1"/>
  <c r="I15" i="3" s="1"/>
  <c r="W193" i="2"/>
  <c r="C20" i="3" s="1"/>
  <c r="F20" i="3" s="1"/>
  <c r="H44" i="3"/>
  <c r="I44" i="3"/>
  <c r="K44" i="3" s="1"/>
  <c r="H49" i="3"/>
  <c r="I49" i="3"/>
  <c r="I22" i="3"/>
  <c r="H22" i="3"/>
  <c r="K22" i="3" s="1"/>
  <c r="N58" i="2"/>
  <c r="C8" i="3" s="1"/>
  <c r="I52" i="3"/>
  <c r="H52" i="3"/>
  <c r="O58" i="2"/>
  <c r="C9" i="3" s="1"/>
  <c r="F9" i="3" s="1"/>
  <c r="H9" i="3" s="1"/>
  <c r="AA193" i="2"/>
  <c r="C24" i="3" s="1"/>
  <c r="F24" i="3" s="1"/>
  <c r="X193" i="2"/>
  <c r="C21" i="3" s="1"/>
  <c r="F21" i="3" s="1"/>
  <c r="AC193" i="2"/>
  <c r="C26" i="3" s="1"/>
  <c r="F26" i="3" s="1"/>
  <c r="AS193" i="2"/>
  <c r="C53" i="3" s="1"/>
  <c r="F53" i="3" s="1"/>
  <c r="V193" i="2"/>
  <c r="H47" i="3"/>
  <c r="H42" i="3"/>
  <c r="H32" i="3"/>
  <c r="AD193" i="2"/>
  <c r="C27" i="3" s="1"/>
  <c r="F27" i="3" s="1"/>
  <c r="P58" i="2"/>
  <c r="C10" i="3" s="1"/>
  <c r="F10" i="3" s="1"/>
  <c r="H10" i="3" s="1"/>
  <c r="H40" i="3"/>
  <c r="K40" i="3" s="1"/>
  <c r="I51" i="3"/>
  <c r="K51" i="3" s="1"/>
  <c r="Q58" i="2"/>
  <c r="C11" i="3" s="1"/>
  <c r="F11" i="3" s="1"/>
  <c r="H11" i="3" s="1"/>
  <c r="H55" i="3"/>
  <c r="AF193" i="2"/>
  <c r="C29" i="3" s="1"/>
  <c r="F29" i="3" s="1"/>
  <c r="C38" i="3"/>
  <c r="AP193" i="2"/>
  <c r="AB193" i="2"/>
  <c r="C25" i="3" s="1"/>
  <c r="F25" i="3" s="1"/>
  <c r="AI193" i="2"/>
  <c r="C41" i="3" s="1"/>
  <c r="F41" i="3" s="1"/>
  <c r="AO193" i="2"/>
  <c r="C45" i="3" s="1"/>
  <c r="F45" i="3" s="1"/>
  <c r="I58" i="2"/>
  <c r="C178" i="2"/>
  <c r="E178" i="2" s="1"/>
  <c r="I178" i="2" s="1"/>
  <c r="AX193" i="2" s="1"/>
  <c r="C48" i="3" s="1"/>
  <c r="F48" i="3" s="1"/>
  <c r="C124" i="2"/>
  <c r="K49" i="3" l="1"/>
  <c r="K42" i="3"/>
  <c r="K32" i="3"/>
  <c r="K47" i="3"/>
  <c r="K31" i="3"/>
  <c r="K45" i="3"/>
  <c r="I35" i="3"/>
  <c r="K35" i="3" s="1"/>
  <c r="I34" i="3"/>
  <c r="K34" i="3"/>
  <c r="H48" i="3"/>
  <c r="I48" i="3"/>
  <c r="H25" i="3"/>
  <c r="I25" i="3"/>
  <c r="K25" i="3" s="1"/>
  <c r="H27" i="3"/>
  <c r="I27" i="3"/>
  <c r="K27" i="3" s="1"/>
  <c r="H29" i="3"/>
  <c r="I29" i="3"/>
  <c r="H21" i="3"/>
  <c r="I21" i="3"/>
  <c r="C19" i="3"/>
  <c r="I53" i="3"/>
  <c r="K53" i="3" s="1"/>
  <c r="H53" i="3"/>
  <c r="H26" i="3"/>
  <c r="K26" i="3" s="1"/>
  <c r="I26" i="3"/>
  <c r="I24" i="3"/>
  <c r="H24" i="3"/>
  <c r="K24" i="3" s="1"/>
  <c r="I28" i="3"/>
  <c r="H28" i="3"/>
  <c r="K28" i="3" s="1"/>
  <c r="F38" i="3"/>
  <c r="K38" i="3" s="1"/>
  <c r="E59" i="3"/>
  <c r="E61" i="3" s="1"/>
  <c r="I45" i="3"/>
  <c r="H45" i="3"/>
  <c r="E124" i="2"/>
  <c r="C193" i="2"/>
  <c r="I41" i="3"/>
  <c r="H41" i="3"/>
  <c r="K41" i="3" s="1"/>
  <c r="H20" i="3"/>
  <c r="I20" i="3"/>
  <c r="T59" i="2"/>
  <c r="S59" i="2"/>
  <c r="P59" i="2"/>
  <c r="Q59" i="2"/>
  <c r="F8" i="3"/>
  <c r="C15" i="3"/>
  <c r="N59" i="2"/>
  <c r="N193" i="2" s="1"/>
  <c r="N196" i="2" s="1"/>
  <c r="R59" i="2"/>
  <c r="R193" i="2" s="1"/>
  <c r="O59" i="2"/>
  <c r="O193" i="2" s="1"/>
  <c r="M193" i="2"/>
  <c r="G58" i="2"/>
  <c r="G195" i="2" s="1"/>
  <c r="E58" i="2"/>
  <c r="B58" i="2"/>
  <c r="B195" i="2" s="1"/>
  <c r="C58" i="2"/>
  <c r="C195" i="2" s="1"/>
  <c r="K48" i="3" l="1"/>
  <c r="K29" i="3"/>
  <c r="K21" i="3"/>
  <c r="K20" i="3"/>
  <c r="F19" i="3"/>
  <c r="I124" i="2"/>
  <c r="E193" i="2"/>
  <c r="E195" i="2" s="1"/>
  <c r="H8" i="3"/>
  <c r="H15" i="3" s="1"/>
  <c r="F15" i="3"/>
  <c r="Z193" i="2" l="1"/>
  <c r="I193" i="2"/>
  <c r="I195" i="2" s="1"/>
  <c r="I19" i="3"/>
  <c r="H19" i="3"/>
  <c r="K19" i="3" s="1"/>
  <c r="H17" i="3"/>
  <c r="I17" i="3"/>
  <c r="I50" i="3" l="1"/>
  <c r="F12" i="4"/>
  <c r="H50" i="3"/>
  <c r="D12" i="4"/>
  <c r="C23" i="3"/>
  <c r="V194" i="2"/>
  <c r="K50" i="3" l="1"/>
  <c r="F23" i="3"/>
  <c r="C59" i="3"/>
  <c r="H23" i="3" l="1"/>
  <c r="H59" i="3" s="1"/>
  <c r="I23" i="3"/>
  <c r="I59" i="3" s="1"/>
  <c r="I61" i="3" s="1"/>
  <c r="F59" i="3"/>
  <c r="F61" i="3" s="1"/>
  <c r="C62" i="3"/>
  <c r="C61" i="3"/>
  <c r="K23" i="3" l="1"/>
  <c r="H63" i="3"/>
  <c r="H61" i="3"/>
  <c r="K61" i="3" s="1"/>
  <c r="H65" i="3" l="1"/>
</calcChain>
</file>

<file path=xl/comments1.xml><?xml version="1.0" encoding="utf-8"?>
<comments xmlns="http://schemas.openxmlformats.org/spreadsheetml/2006/main">
  <authors>
    <author>Weldon</author>
  </authors>
  <commentList>
    <comment ref="O224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One year prospective depreciation</t>
        </r>
      </text>
    </comment>
    <comment ref="Z224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Average Investment adjusted to eliminate beg &amp; end average
</t>
        </r>
      </text>
    </comment>
    <comment ref="O225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One year prospective depreciation</t>
        </r>
      </text>
    </comment>
    <comment ref="Z225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Average Investment adjusted to eliminate beg &amp; end average</t>
        </r>
      </text>
    </comment>
    <comment ref="O226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One year prospective depreciation</t>
        </r>
      </text>
    </comment>
    <comment ref="Z226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Average Investment adjusted to eliminate beg &amp; end average</t>
        </r>
      </text>
    </comment>
    <comment ref="O227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One year prospective depreciation</t>
        </r>
      </text>
    </comment>
    <comment ref="Z227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Average Investment adjusted to eliminate beg &amp; end average</t>
        </r>
      </text>
    </comment>
    <comment ref="O228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One year prospective depreciation</t>
        </r>
      </text>
    </comment>
    <comment ref="Z228" authorId="0" shapeId="0">
      <text>
        <r>
          <rPr>
            <b/>
            <sz val="9"/>
            <color indexed="81"/>
            <rFont val="Tahoma"/>
            <family val="2"/>
          </rPr>
          <t>Weldon:</t>
        </r>
        <r>
          <rPr>
            <sz val="9"/>
            <color indexed="81"/>
            <rFont val="Tahoma"/>
            <family val="2"/>
          </rPr>
          <t xml:space="preserve">
Average Investment adjusted to eliminate beg &amp; end average</t>
        </r>
      </text>
    </comment>
  </commentList>
</comments>
</file>

<file path=xl/sharedStrings.xml><?xml version="1.0" encoding="utf-8"?>
<sst xmlns="http://schemas.openxmlformats.org/spreadsheetml/2006/main" count="1610" uniqueCount="780">
  <si>
    <t/>
  </si>
  <si>
    <t>Net Income</t>
  </si>
  <si>
    <t>Revenues</t>
  </si>
  <si>
    <t>Sales - Anacortes</t>
  </si>
  <si>
    <t>Freight-Anacortes</t>
  </si>
  <si>
    <t>Freight Deckhand-Anacortes</t>
  </si>
  <si>
    <t>Tariff Deckhand-Anacortes</t>
  </si>
  <si>
    <t>Crane - Anacortes</t>
  </si>
  <si>
    <t>Forklift - Anacortes</t>
  </si>
  <si>
    <t>Port Charges - Anacortes</t>
  </si>
  <si>
    <t>Dumpster - Anacortes</t>
  </si>
  <si>
    <t>Sales - Port Angeles</t>
  </si>
  <si>
    <t>Freight-Port Angeles</t>
  </si>
  <si>
    <t>Freight Deckhand-PA</t>
  </si>
  <si>
    <t>Tariff Deckhand-PA</t>
  </si>
  <si>
    <t>Barge Rental</t>
  </si>
  <si>
    <t>Sales - Non-Regulated</t>
  </si>
  <si>
    <t>Sales - Seattle</t>
  </si>
  <si>
    <t>Freight-Seattle</t>
  </si>
  <si>
    <t>Freight Deckhand-Seattle</t>
  </si>
  <si>
    <t>Tariff Deckhand-Seattle</t>
  </si>
  <si>
    <t>Crane - Seattle</t>
  </si>
  <si>
    <t>Forklift - Seattle</t>
  </si>
  <si>
    <t>Port Charges - Seattle</t>
  </si>
  <si>
    <t>Dumpster - Seattle</t>
  </si>
  <si>
    <t>Sales - Warrior</t>
  </si>
  <si>
    <t>Freight Deckhand-WARRIOR</t>
  </si>
  <si>
    <t>Crane - Warrior</t>
  </si>
  <si>
    <t>Forklift - Warrior</t>
  </si>
  <si>
    <t>Port Charges - Warrior</t>
  </si>
  <si>
    <t>Dumpster - Warrior</t>
  </si>
  <si>
    <t>Crane - Port Angeles</t>
  </si>
  <si>
    <t>Forklift - Port Angeles</t>
  </si>
  <si>
    <t>Port Charges - Port Angeles</t>
  </si>
  <si>
    <t>Dumpster - Port Angeles</t>
  </si>
  <si>
    <t>Customs Fees</t>
  </si>
  <si>
    <t>Sales - Motega</t>
  </si>
  <si>
    <t>Freight Deckhand - Motega</t>
  </si>
  <si>
    <t>Crane - Motega</t>
  </si>
  <si>
    <t>Forklift - Motega</t>
  </si>
  <si>
    <t>Port Charges - Motega</t>
  </si>
  <si>
    <t>Dumpster - Motega</t>
  </si>
  <si>
    <t>Sales-Motega Personnel</t>
  </si>
  <si>
    <t>Sales-Motega Personnel DH</t>
  </si>
  <si>
    <t>Sales - Tacoma</t>
  </si>
  <si>
    <t>Freight-Tacoma</t>
  </si>
  <si>
    <t>Freight Deckhand-Tacoma</t>
  </si>
  <si>
    <t>Tariff Deckhand-Tacoma</t>
  </si>
  <si>
    <t>Crane - Tacoma</t>
  </si>
  <si>
    <t>Forklift - Tacoma</t>
  </si>
  <si>
    <t>Port Charges - Tacoma</t>
  </si>
  <si>
    <t>Dumpster - Tacoma</t>
  </si>
  <si>
    <t>Finance Charge Income</t>
  </si>
  <si>
    <t>Delivery Fee Income</t>
  </si>
  <si>
    <t>Miscellaneous Income</t>
  </si>
  <si>
    <t>Total Revenues</t>
  </si>
  <si>
    <t>Cost of Sales</t>
  </si>
  <si>
    <t>Security Costs- Anacortes</t>
  </si>
  <si>
    <t>Security Costs- Port Angeles</t>
  </si>
  <si>
    <t>Security Costs- Seattle</t>
  </si>
  <si>
    <t>Security Costs- Tacoma</t>
  </si>
  <si>
    <t>Port Charges- Anacortes</t>
  </si>
  <si>
    <t>Port Charges- Bellingham</t>
  </si>
  <si>
    <t>Port Charges- Port Angeles</t>
  </si>
  <si>
    <t>Port Charges- Seattle</t>
  </si>
  <si>
    <t>Port Charges Tacoma</t>
  </si>
  <si>
    <t>Boat Oil</t>
  </si>
  <si>
    <t>Boat Fuel- Strait Arrow</t>
  </si>
  <si>
    <t>Boat Fuel- Crow Arrow</t>
  </si>
  <si>
    <t>Boat Fuel- Sealth Arrow</t>
  </si>
  <si>
    <t>Boat Fuel- Sound Arrow</t>
  </si>
  <si>
    <t>Boat Fuel- Warrior</t>
  </si>
  <si>
    <t>Boat Fuel- General</t>
  </si>
  <si>
    <t>Boat Fuel- Swift Arrow</t>
  </si>
  <si>
    <t>Boat Fuel - Pacific Arrow</t>
  </si>
  <si>
    <t>Boat Fuel- Sioux Arrow</t>
  </si>
  <si>
    <t>Boat Fuel - Chief Arrow</t>
  </si>
  <si>
    <t>Boat Fuel- Motega</t>
  </si>
  <si>
    <t>Boat Fuel- Cheyenne Arrow</t>
  </si>
  <si>
    <t>Boat Fuel - Brave Arrow</t>
  </si>
  <si>
    <t>Moorage Anacortes</t>
  </si>
  <si>
    <t>Moorage Bellingham</t>
  </si>
  <si>
    <t>Moorage Port Angeles</t>
  </si>
  <si>
    <t>Moorage Seattle</t>
  </si>
  <si>
    <t>Moorage General</t>
  </si>
  <si>
    <t>Moorage Tacoma</t>
  </si>
  <si>
    <t>Boat M &amp; R- Strait Arrow</t>
  </si>
  <si>
    <t>Boat M &amp; R- Crow Arrow</t>
  </si>
  <si>
    <t>Boat M &amp; R- Sealth Arrow</t>
  </si>
  <si>
    <t>Boat M &amp; R- Sound Arrow</t>
  </si>
  <si>
    <t>Boat M &amp; R- Warrior</t>
  </si>
  <si>
    <t>Bulk Fleet Purchases</t>
  </si>
  <si>
    <t>Boat M &amp; R- Swift Arrow</t>
  </si>
  <si>
    <t>Boat M &amp; R - Pacific Arrow</t>
  </si>
  <si>
    <t>Boat M &amp; R- Sioux Arrow</t>
  </si>
  <si>
    <t>Boat M &amp; R - Chief Arrow</t>
  </si>
  <si>
    <t>Boat M &amp; R- Barges</t>
  </si>
  <si>
    <t>Boat M &amp; R- Motega</t>
  </si>
  <si>
    <t>Boat M &amp; R- Cheyenne Arrow</t>
  </si>
  <si>
    <t>Boat M &amp; R - Brave Arrow</t>
  </si>
  <si>
    <t>Truck &amp; Transport-Port Angeles</t>
  </si>
  <si>
    <t>Boat Supplies- Strait Arrow</t>
  </si>
  <si>
    <t>Boat Supplies- Crow Arrow</t>
  </si>
  <si>
    <t>Boat Supplies- Sealth Arrow</t>
  </si>
  <si>
    <t>Boat Supplies- Sound Arrow</t>
  </si>
  <si>
    <t>Boat Supplies- Warrior</t>
  </si>
  <si>
    <t>Boat Supplies- General</t>
  </si>
  <si>
    <t>Boat Supplies- Swift Arrow</t>
  </si>
  <si>
    <t>Boat Supplies - Pacific Arrow</t>
  </si>
  <si>
    <t>Boat Supplies- Sioux Arrow</t>
  </si>
  <si>
    <t>Boat Supplies - Chief Arrow</t>
  </si>
  <si>
    <t>Boat Supplies- Barges</t>
  </si>
  <si>
    <t>Boat Supplies- Motega</t>
  </si>
  <si>
    <t>Boat Supplies- Cheyenne Arrow</t>
  </si>
  <si>
    <t>Boat Supplies - Brave Arrow</t>
  </si>
  <si>
    <t>Equipment Rental- Anacortes</t>
  </si>
  <si>
    <t>Equipment Rental- Port Angeles</t>
  </si>
  <si>
    <t>Equipment Rental- General</t>
  </si>
  <si>
    <t>Cust. Repair/Replace Anacortes</t>
  </si>
  <si>
    <t>Salaries/Wages Anacortes</t>
  </si>
  <si>
    <t>Salaries/Wages Port Angeles</t>
  </si>
  <si>
    <t>Salaries/Wages Seattle</t>
  </si>
  <si>
    <t>Salaries/Wages Warrior</t>
  </si>
  <si>
    <t>ATO</t>
  </si>
  <si>
    <t>Salaries/Wages Tacoma</t>
  </si>
  <si>
    <t>FICA General</t>
  </si>
  <si>
    <t>FUTA General</t>
  </si>
  <si>
    <t>SUTA General</t>
  </si>
  <si>
    <t>L &amp; I/ Industrial Insurance</t>
  </si>
  <si>
    <t>Subcontractors Port Angeles</t>
  </si>
  <si>
    <t>Shop/Boat Maint</t>
  </si>
  <si>
    <t>Sales/Pass-Thru Port Angeles</t>
  </si>
  <si>
    <t>Sales/Pass-Thru Seattle</t>
  </si>
  <si>
    <t>Sales/Pass-Thru Warrior</t>
  </si>
  <si>
    <t>Less Pass-Thru Chgs PA</t>
  </si>
  <si>
    <t>Officers Wages</t>
  </si>
  <si>
    <t>Office Wages/ Salaries</t>
  </si>
  <si>
    <t>IRA Match</t>
  </si>
  <si>
    <t>Fees</t>
  </si>
  <si>
    <t>Advertising</t>
  </si>
  <si>
    <t>Amortization</t>
  </si>
  <si>
    <t>Accountant</t>
  </si>
  <si>
    <t>Attorney</t>
  </si>
  <si>
    <t>Auto Expense</t>
  </si>
  <si>
    <t>Bad Debts</t>
  </si>
  <si>
    <t>Bank Service Charges</t>
  </si>
  <si>
    <t>Contributions</t>
  </si>
  <si>
    <t>Depreciation</t>
  </si>
  <si>
    <t>Drug Testing</t>
  </si>
  <si>
    <t>Dues</t>
  </si>
  <si>
    <t>Employee Benefits</t>
  </si>
  <si>
    <t>Employee Meals</t>
  </si>
  <si>
    <t>Entertainment/Meals</t>
  </si>
  <si>
    <t>Freight</t>
  </si>
  <si>
    <t>Fuel</t>
  </si>
  <si>
    <t>Insurance</t>
  </si>
  <si>
    <t>Insurance- Vessel</t>
  </si>
  <si>
    <t>Insurance- Employee Medical</t>
  </si>
  <si>
    <t>Insurance- Vessel &amp; Vehicle</t>
  </si>
  <si>
    <t>Licenses/Permits</t>
  </si>
  <si>
    <t>Miscellaneous Expense</t>
  </si>
  <si>
    <t>Office Expense</t>
  </si>
  <si>
    <t>Postage</t>
  </si>
  <si>
    <t>Professional Fees</t>
  </si>
  <si>
    <t>Rent</t>
  </si>
  <si>
    <t>Repair/Maintenance Coles Crane</t>
  </si>
  <si>
    <t>Repair/Maintenance Non Boat</t>
  </si>
  <si>
    <t>Repair/Maintenance Boom Truck</t>
  </si>
  <si>
    <t>Repair/Maintenance Shop Truck</t>
  </si>
  <si>
    <t>Repair/Maintenance General</t>
  </si>
  <si>
    <t>Repair/Maintenance 1997 GMC</t>
  </si>
  <si>
    <t>Repair/Maintenance 2000 Ford</t>
  </si>
  <si>
    <t>Repair/Maintenance Forklifts</t>
  </si>
  <si>
    <t>Repair/Maintenance 1995 Chevy</t>
  </si>
  <si>
    <t>Subscriptions</t>
  </si>
  <si>
    <t>Taxes- Property</t>
  </si>
  <si>
    <t>Taxes- B &amp; O</t>
  </si>
  <si>
    <t>Taxes- Other</t>
  </si>
  <si>
    <t>Telephone/Radio</t>
  </si>
  <si>
    <t>Training</t>
  </si>
  <si>
    <t>Travel- Polar Pioneer</t>
  </si>
  <si>
    <t>Uniforms</t>
  </si>
  <si>
    <t>Utilities</t>
  </si>
  <si>
    <t>Interest Expense</t>
  </si>
  <si>
    <t>Owner's Life Insurance</t>
  </si>
  <si>
    <t>Total Expenses</t>
  </si>
  <si>
    <t>7/1/16 to 12/31/16</t>
  </si>
  <si>
    <t>7/1/16 to 6/30/17</t>
  </si>
  <si>
    <t>Sales</t>
  </si>
  <si>
    <t>Non-Regulated</t>
  </si>
  <si>
    <t>Security</t>
  </si>
  <si>
    <t>Port Charges</t>
  </si>
  <si>
    <t>Boat Fuel</t>
  </si>
  <si>
    <t>Moorage</t>
  </si>
  <si>
    <t>Maint &amp; Repair</t>
  </si>
  <si>
    <t>Boat Supplies</t>
  </si>
  <si>
    <t>Salaries</t>
  </si>
  <si>
    <t>PR Taxes</t>
  </si>
  <si>
    <t>Trucking &amp; Sub Contractors</t>
  </si>
  <si>
    <t>Sales Pass Thru</t>
  </si>
  <si>
    <t>Office Wages</t>
  </si>
  <si>
    <t>Officer Wages</t>
  </si>
  <si>
    <t>Adv</t>
  </si>
  <si>
    <t>Accounting</t>
  </si>
  <si>
    <t>Auto</t>
  </si>
  <si>
    <t>Bad Debt</t>
  </si>
  <si>
    <t>Office</t>
  </si>
  <si>
    <t>Non Rate</t>
  </si>
  <si>
    <t>Meals &amp; Relocation</t>
  </si>
  <si>
    <t>License/Permits</t>
  </si>
  <si>
    <t>Prop Tax</t>
  </si>
  <si>
    <t>B&amp;O Tax</t>
  </si>
  <si>
    <t>Telephone</t>
  </si>
  <si>
    <t>Freight Deckhand</t>
  </si>
  <si>
    <t>Tariff Deckhand</t>
  </si>
  <si>
    <t>Security Costs</t>
  </si>
  <si>
    <t>Boat Fuel &amp; Lubricants</t>
  </si>
  <si>
    <t>Boat Maintenance &amp; Repair</t>
  </si>
  <si>
    <t>Truck &amp; Transport</t>
  </si>
  <si>
    <t>Equipment Rental</t>
  </si>
  <si>
    <t>Salaries/Wages</t>
  </si>
  <si>
    <t>Payroll Taxes</t>
  </si>
  <si>
    <t xml:space="preserve">Sales/Pass-Thru </t>
  </si>
  <si>
    <t>Trial Balance</t>
  </si>
  <si>
    <t>Restating</t>
  </si>
  <si>
    <t>P:rofessional</t>
  </si>
  <si>
    <t>Allocation Methods</t>
  </si>
  <si>
    <t>Total</t>
  </si>
  <si>
    <t>Test Period</t>
  </si>
  <si>
    <t>Allocation Method</t>
  </si>
  <si>
    <t>Actual</t>
  </si>
  <si>
    <t>Regulated</t>
  </si>
  <si>
    <t>PAC</t>
  </si>
  <si>
    <t>Capital</t>
  </si>
  <si>
    <t>Revenue</t>
  </si>
  <si>
    <t>Potential Revenue Increase</t>
  </si>
  <si>
    <t>Arrow Launch Service, Inc.</t>
  </si>
  <si>
    <t>Test Period Ending June 30, 2017</t>
  </si>
  <si>
    <t>Account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</si>
  <si>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</si>
  <si>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</si>
  <si>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</si>
  <si>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</si>
  <si>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</si>
  <si>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</si>
  <si>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</si>
  <si>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</si>
  <si>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</si>
  <si>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Administrative Repair/Maintenance </t>
  </si>
  <si>
    <t>Crew Relocation/Accommodations</t>
  </si>
  <si>
    <t>(2)</t>
  </si>
  <si>
    <t>(1)</t>
  </si>
  <si>
    <t>Engine Hours is used to allocate fuel, repairs and boat supplies</t>
  </si>
  <si>
    <t>(3)</t>
  </si>
  <si>
    <t>(4)</t>
  </si>
  <si>
    <t>Revenue (4)</t>
  </si>
  <si>
    <t>(5)</t>
  </si>
  <si>
    <t>Previously Allocated Costs (5)</t>
  </si>
  <si>
    <t>Previously Allocated Costs used to allocate all other costs</t>
  </si>
  <si>
    <t>Vessel Operating Hours</t>
  </si>
  <si>
    <t>Vessel Labor Hours</t>
  </si>
  <si>
    <t>Capital - Boats Original Cost (1)</t>
  </si>
  <si>
    <t>Vessel Operating Hours (2)</t>
  </si>
  <si>
    <t>Vessel Labor Hours (3)</t>
  </si>
  <si>
    <t>Capital is used to allocate depreciation and insurance costs</t>
  </si>
  <si>
    <t xml:space="preserve">Captain and Deckhand Hours are used to allocate payroll and related costs, </t>
  </si>
  <si>
    <t>officer wages and employee benefits</t>
  </si>
  <si>
    <t>in the PAC Calculation</t>
  </si>
  <si>
    <t>Worksheet</t>
  </si>
  <si>
    <t xml:space="preserve">Amortization </t>
  </si>
  <si>
    <t>Correcting</t>
  </si>
  <si>
    <t>Journal Entries</t>
  </si>
  <si>
    <t>WUTC Regulatory Fee</t>
  </si>
  <si>
    <t>Operating Ratio Revenue Calculation</t>
  </si>
  <si>
    <t>Account ID</t>
  </si>
  <si>
    <t>Account Description</t>
  </si>
  <si>
    <t>Date</t>
  </si>
  <si>
    <t>Reference</t>
  </si>
  <si>
    <t>Jrnl</t>
  </si>
  <si>
    <t>Trans Description</t>
  </si>
  <si>
    <t>52500</t>
  </si>
  <si>
    <t>Beginning Balance</t>
  </si>
  <si>
    <t>540095</t>
  </si>
  <si>
    <t>PJ</t>
  </si>
  <si>
    <t>Williams, Kastner, &amp; Gibbs - 540095</t>
  </si>
  <si>
    <t>540096</t>
  </si>
  <si>
    <t>Williams, Kastner, &amp; Gibbs - 540096</t>
  </si>
  <si>
    <t>Current Period Change</t>
  </si>
  <si>
    <t>1121</t>
  </si>
  <si>
    <t>Law Office of Charles M. Davis</t>
  </si>
  <si>
    <t>541427</t>
  </si>
  <si>
    <t>Williams, Kastner, &amp; Gibbs - 541427</t>
  </si>
  <si>
    <t>541531</t>
  </si>
  <si>
    <t>Williams, Kastner, &amp; Gibbs - 541531</t>
  </si>
  <si>
    <t>1134</t>
  </si>
  <si>
    <t>Law Office of Charles M. Davis - Permit</t>
  </si>
  <si>
    <t>542720</t>
  </si>
  <si>
    <t>Williams, Kastner, &amp; Gibbs - MEI Case</t>
  </si>
  <si>
    <t>542718</t>
  </si>
  <si>
    <t>Williams, Kastner, &amp; Gibbs - General Business</t>
  </si>
  <si>
    <t>547391</t>
  </si>
  <si>
    <t>Williams, Kastner, &amp; Gibbs - 547391</t>
  </si>
  <si>
    <t>1145</t>
  </si>
  <si>
    <t>543764</t>
  </si>
  <si>
    <t>543763</t>
  </si>
  <si>
    <t>545309</t>
  </si>
  <si>
    <t>545308</t>
  </si>
  <si>
    <t>546460</t>
  </si>
  <si>
    <t>Williams, Kastner, &amp; Gibbs</t>
  </si>
  <si>
    <t>GENJ</t>
  </si>
  <si>
    <t>Fiscal Year End Balance</t>
  </si>
  <si>
    <t>85378</t>
  </si>
  <si>
    <t>CDJ</t>
  </si>
  <si>
    <t>Jack or Terri Harmon - Reimb Personal Payment to WKG</t>
  </si>
  <si>
    <t>546950</t>
  </si>
  <si>
    <t>Williams, Kastner, &amp; Gibbs - Sheryl Willert</t>
  </si>
  <si>
    <t>547454</t>
  </si>
  <si>
    <t>Williams, Kastner, &amp; Gibbs - 547454</t>
  </si>
  <si>
    <t>1185</t>
  </si>
  <si>
    <t>1186a</t>
  </si>
  <si>
    <t>548311</t>
  </si>
  <si>
    <t>549230</t>
  </si>
  <si>
    <t>549229</t>
  </si>
  <si>
    <t>1205</t>
  </si>
  <si>
    <t>550194</t>
  </si>
  <si>
    <t>550193</t>
  </si>
  <si>
    <t>551865</t>
  </si>
  <si>
    <t>551866</t>
  </si>
  <si>
    <t>0166 5/1/17 JH</t>
  </si>
  <si>
    <t>First Bankcard - MARAD Meeting &amp; Stay</t>
  </si>
  <si>
    <t>05/09/17 Statement</t>
  </si>
  <si>
    <t>H. Clayton Cook, Jr. - MARAD Meeting and Stay</t>
  </si>
  <si>
    <t>553413</t>
  </si>
  <si>
    <t>Williams, Kastner, &amp; Gibbs - General Counsel</t>
  </si>
  <si>
    <t>May pd in June.</t>
  </si>
  <si>
    <t>Per WB CPA</t>
  </si>
  <si>
    <t xml:space="preserve">American Express </t>
  </si>
  <si>
    <t>52400</t>
  </si>
  <si>
    <t>July</t>
  </si>
  <si>
    <t>Weldon T Burton CPA</t>
  </si>
  <si>
    <t>August</t>
  </si>
  <si>
    <t>85213</t>
  </si>
  <si>
    <t>Weldon T Burton CPA - Accountant</t>
  </si>
  <si>
    <t>85230</t>
  </si>
  <si>
    <t>December</t>
  </si>
  <si>
    <t>january</t>
  </si>
  <si>
    <t>January 2017</t>
  </si>
  <si>
    <t>Feb 2017</t>
  </si>
  <si>
    <t>29653/Burton</t>
  </si>
  <si>
    <t>Red Lion - Weldon</t>
  </si>
  <si>
    <t>March 2017</t>
  </si>
  <si>
    <t>April</t>
  </si>
  <si>
    <t>29931</t>
  </si>
  <si>
    <t>Red Lion - Weldon Burton</t>
  </si>
  <si>
    <t>May 2017</t>
  </si>
  <si>
    <t>June 17</t>
  </si>
  <si>
    <t>Statement of Operations</t>
  </si>
  <si>
    <t>Restating Adjustments</t>
  </si>
  <si>
    <t>R-1</t>
  </si>
  <si>
    <t>Remove Interest Expense</t>
  </si>
  <si>
    <t>R-2</t>
  </si>
  <si>
    <t>Remove Life Insurance</t>
  </si>
  <si>
    <t>R-3</t>
  </si>
  <si>
    <t>Remove Contributions</t>
  </si>
  <si>
    <t>R-4</t>
  </si>
  <si>
    <t>Reclass Regulatory Fee</t>
  </si>
  <si>
    <t>R-5</t>
  </si>
  <si>
    <t>Record Accrued Compensation</t>
  </si>
  <si>
    <t>R-6</t>
  </si>
  <si>
    <t>R-7</t>
  </si>
  <si>
    <t>Record Prior Deferred Rate Case Costs</t>
  </si>
  <si>
    <t>Rate Case Legal &amp; Accounting</t>
  </si>
  <si>
    <t>October</t>
  </si>
  <si>
    <t>November</t>
  </si>
  <si>
    <t>January</t>
  </si>
  <si>
    <t>Legal</t>
  </si>
  <si>
    <t>October - December</t>
  </si>
  <si>
    <t xml:space="preserve">Amortization Prior </t>
  </si>
  <si>
    <t>Unamortized</t>
  </si>
  <si>
    <t>Portion</t>
  </si>
  <si>
    <t>R-8</t>
  </si>
  <si>
    <t>Defer MEI Costs</t>
  </si>
  <si>
    <t>Remove costs paid by Arrow Launch - S/B Arrow Marine</t>
  </si>
  <si>
    <t>R-9</t>
  </si>
  <si>
    <t>Record Current Rate Case Costs</t>
  </si>
  <si>
    <t>R-10</t>
  </si>
  <si>
    <t>Record Unpaid Invoices</t>
  </si>
  <si>
    <t>Remove out of period invoices</t>
  </si>
  <si>
    <t>Record Depreciation</t>
  </si>
  <si>
    <t>Regulatory 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</si>
  <si>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</si>
  <si>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</si>
  <si>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</si>
  <si>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</si>
  <si>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</si>
  <si>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</si>
  <si>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</si>
  <si>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</si>
  <si>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Date fully Depr</t>
  </si>
  <si>
    <t>D.</t>
  </si>
  <si>
    <t>Beg of Test Period</t>
  </si>
  <si>
    <t>Beginning</t>
  </si>
  <si>
    <t>Allocated</t>
  </si>
  <si>
    <t>Ending</t>
  </si>
  <si>
    <t>E.</t>
  </si>
  <si>
    <t>Disposition Date</t>
  </si>
  <si>
    <t>Date in Service</t>
  </si>
  <si>
    <t>Salvage</t>
  </si>
  <si>
    <t>Year</t>
  </si>
  <si>
    <t>Disposal</t>
  </si>
  <si>
    <t>Accumulated</t>
  </si>
  <si>
    <t>Branch</t>
  </si>
  <si>
    <t>Accum.</t>
  </si>
  <si>
    <t>Value</t>
  </si>
  <si>
    <t>Method</t>
  </si>
  <si>
    <t>Life</t>
  </si>
  <si>
    <t>Fully</t>
  </si>
  <si>
    <t>Asset</t>
  </si>
  <si>
    <t>Depreciable</t>
  </si>
  <si>
    <t>Monthly</t>
  </si>
  <si>
    <t>Test year</t>
  </si>
  <si>
    <t>Test yr.</t>
  </si>
  <si>
    <t>%</t>
  </si>
  <si>
    <t>Allo.</t>
  </si>
  <si>
    <t>Depr.</t>
  </si>
  <si>
    <t>Average</t>
  </si>
  <si>
    <t>DESCRIPTION</t>
  </si>
  <si>
    <t>Mo.</t>
  </si>
  <si>
    <t>Depreciated</t>
  </si>
  <si>
    <t xml:space="preserve">  Yr.</t>
  </si>
  <si>
    <t xml:space="preserve"> Mo.</t>
  </si>
  <si>
    <t>Cost</t>
  </si>
  <si>
    <t>Investment</t>
  </si>
  <si>
    <t>C.</t>
  </si>
  <si>
    <t>Schedule No.</t>
  </si>
  <si>
    <t>OFFICE EQUIPMENT</t>
  </si>
  <si>
    <t>SL</t>
  </si>
  <si>
    <t>CANON 1C220 COPIER</t>
  </si>
  <si>
    <t>NETWORK SERVE-POE</t>
  </si>
  <si>
    <t>OFFICE WORKSTATIONS</t>
  </si>
  <si>
    <t>E DOCK SOFTWARE</t>
  </si>
  <si>
    <t>COMPUTER</t>
  </si>
  <si>
    <t>FLAT SCREEN MONITOR-LOB</t>
  </si>
  <si>
    <t>E DOCK SOFTWARE UPDATE</t>
  </si>
  <si>
    <t>PEACHTREE UPDATE</t>
  </si>
  <si>
    <t>CPI COMPUTER- OFFICE</t>
  </si>
  <si>
    <t>Office Furniture-Gabi's Office</t>
  </si>
  <si>
    <t>Copy Machine</t>
  </si>
  <si>
    <t>Telephone System</t>
  </si>
  <si>
    <t>Office Furniture</t>
  </si>
  <si>
    <t>Software Update</t>
  </si>
  <si>
    <t>Vessel - Crowe</t>
  </si>
  <si>
    <t>Vessel-Sioux</t>
  </si>
  <si>
    <t>Barge-Juneau</t>
  </si>
  <si>
    <t>Barge-Wolfpacker</t>
  </si>
  <si>
    <t>SEWAGE TANK</t>
  </si>
  <si>
    <t>VESSEL- CHEYENNE</t>
  </si>
  <si>
    <t>VESSEL - STRAIT</t>
  </si>
  <si>
    <t>FORK LIFT</t>
  </si>
  <si>
    <t>VESSEL- WARRIOR</t>
  </si>
  <si>
    <t>REBUILD-WARRIOR</t>
  </si>
  <si>
    <t>DIESEL PUMP</t>
  </si>
  <si>
    <t>TOTES</t>
  </si>
  <si>
    <t>VESSEL-STEALTH</t>
  </si>
  <si>
    <t>EQUIPMENT</t>
  </si>
  <si>
    <t>VESSEL - SOUND</t>
  </si>
  <si>
    <t>DUMPSTERS</t>
  </si>
  <si>
    <t>WELDER</t>
  </si>
  <si>
    <t>BOAT ENGINE- STRAIT</t>
  </si>
  <si>
    <t>FLYING FORKLIFTS</t>
  </si>
  <si>
    <t>BOOM TRUCK STABILIZERS</t>
  </si>
  <si>
    <t>TWO-WAY RADIO</t>
  </si>
  <si>
    <t>HONDA GENERATORS X2</t>
  </si>
  <si>
    <t>ENGINE REBUILD-STEALTH</t>
  </si>
  <si>
    <t>ENGINE REBUILD-SIOUX</t>
  </si>
  <si>
    <t>ENERPAC PIPE BENDER</t>
  </si>
  <si>
    <t>ARTICULATED BORESCOPE</t>
  </si>
  <si>
    <t>FORKLIFTS X2</t>
  </si>
  <si>
    <t>WELDER MODEL LN25</t>
  </si>
  <si>
    <t>TELEPHONE SYSTEM</t>
  </si>
  <si>
    <t>VESSEL- SWIFT 48'</t>
  </si>
  <si>
    <t>FORKLIFT- UR</t>
  </si>
  <si>
    <t>FORKLIFT- STRETCH</t>
  </si>
  <si>
    <t>WELDER 1/2 RED-D-ARC</t>
  </si>
  <si>
    <t>DROPBOX-CAPITAL IND</t>
  </si>
  <si>
    <t>RED-D-ARC WELDER</t>
  </si>
  <si>
    <t>2002 SPIRIT 9780 TRAILER</t>
  </si>
  <si>
    <t>CYLINDER RACK</t>
  </si>
  <si>
    <t>HYSTER H50XM FORKLIFT</t>
  </si>
  <si>
    <t>SOUND ENGINE</t>
  </si>
  <si>
    <t>CYLINDER RACKS</t>
  </si>
  <si>
    <t>BOAT ADDITION</t>
  </si>
  <si>
    <t>TRANSMISSION- STRAIT</t>
  </si>
  <si>
    <t>BOAT REPAIRS-STRAIT</t>
  </si>
  <si>
    <t>BOAT REPAIRS- GENERAL</t>
  </si>
  <si>
    <t>BOAT REPAIRS- CHEYENNE</t>
  </si>
  <si>
    <t>BOAT REPAIRS- STEALTH</t>
  </si>
  <si>
    <t>BOAT REPAIRS- SOUND</t>
  </si>
  <si>
    <t>BOAT REPAIRS- WARRIOR</t>
  </si>
  <si>
    <t>HANDHELD RADIOS &amp; SUPPLIES</t>
  </si>
  <si>
    <t>AED RESCUE KITS X 6</t>
  </si>
  <si>
    <t>HYDRO CYLINDER REPLACEMENT</t>
  </si>
  <si>
    <t>BOAT REPAIRS- MISC UPGRADE</t>
  </si>
  <si>
    <t>BARGE DECK UPGRADES</t>
  </si>
  <si>
    <t>11 X 11 NETS X 4</t>
  </si>
  <si>
    <t>11 X 11 NETS X 6</t>
  </si>
  <si>
    <t>LIFESLING LIFTING TACKLE</t>
  </si>
  <si>
    <t>PFD LIGHTS</t>
  </si>
  <si>
    <t>HEMILIGHT PFD LIGHTS</t>
  </si>
  <si>
    <t>LIFESLING WHITE BAG X 8</t>
  </si>
  <si>
    <t>ENGINE REPAIRS- SOUND, SW</t>
  </si>
  <si>
    <t>LIFESLING LIFTING TACKLE X</t>
  </si>
  <si>
    <t>COLDWATER / ICE RESCUE SUIT</t>
  </si>
  <si>
    <t>PFD LIGHTS (ACR 3766)</t>
  </si>
  <si>
    <t>HEMILIGHTS PFD LIGHTS</t>
  </si>
  <si>
    <t>MISC REPAIRS- SWIFT</t>
  </si>
  <si>
    <t>GENERATORS</t>
  </si>
  <si>
    <t>BOAT REPAIRS</t>
  </si>
  <si>
    <t>BOAT REPAIRS- MISC</t>
  </si>
  <si>
    <t>11 X 11 NETS X 8</t>
  </si>
  <si>
    <t>4 NETS</t>
  </si>
  <si>
    <t>6- 11 X 11 NETS</t>
  </si>
  <si>
    <t>PORT MAIN ENGINE REBUILD</t>
  </si>
  <si>
    <t>WARRIOR ENGINE WORK</t>
  </si>
  <si>
    <t>INFLATABLE CREW BOAT</t>
  </si>
  <si>
    <t>TRANSMISSION-WARRIOR</t>
  </si>
  <si>
    <t>COLD WATER / ICE SUITS</t>
  </si>
  <si>
    <t>SWIFT ARROW CONTROLS</t>
  </si>
  <si>
    <t>SWIFT ENGINE REBUILD</t>
  </si>
  <si>
    <t>BRAVE ARROW</t>
  </si>
  <si>
    <t>WARRIOR REPAIR</t>
  </si>
  <si>
    <t>NETS / STRAPS</t>
  </si>
  <si>
    <t>WINCH / MOUNT- BOOM TRUCK</t>
  </si>
  <si>
    <t>TRANSMISSION WORK - BOAT</t>
  </si>
  <si>
    <t>ACTUATOR- CHEYENNE ARROW</t>
  </si>
  <si>
    <t>ACTUATOR- SWIFT ARROW</t>
  </si>
  <si>
    <t>CONTROL HEAD- STRAIT ARROW</t>
  </si>
  <si>
    <t>CONTROL HEAD- STEALTH ARROW</t>
  </si>
  <si>
    <t>GLASS- BRAVE ARROW</t>
  </si>
  <si>
    <t>RADAR PARTS - BRAVE ARROW</t>
  </si>
  <si>
    <t>GARMIN- BRAVE ARROW</t>
  </si>
  <si>
    <t>PROP WORK</t>
  </si>
  <si>
    <t>FIRE EXTINGUISHERS</t>
  </si>
  <si>
    <t>ELECTRONICS- BRAVE</t>
  </si>
  <si>
    <t>STEEL REPAIR- WARRIOR</t>
  </si>
  <si>
    <t>LIFERAFT</t>
  </si>
  <si>
    <t>BOAT LAUNCH FEE</t>
  </si>
  <si>
    <t>HARRIS ELECTRIC- GARMIN 4</t>
  </si>
  <si>
    <t>HARRIS ELECTRIC- ANTENNA</t>
  </si>
  <si>
    <t>HARRIS ELECTRIC- COMNAV</t>
  </si>
  <si>
    <t>OLYMPIC SYNTHETIC PRODUT</t>
  </si>
  <si>
    <t>HARRIS ELECTRIC- ARPA RAD</t>
  </si>
  <si>
    <t>WIZTRONICS-RADIOS &amp; ANTENNA</t>
  </si>
  <si>
    <t>GEORGES DIESEL- 12-71 ENGINE</t>
  </si>
  <si>
    <t>GEORGES DIESEL- LEFT HAND</t>
  </si>
  <si>
    <t>GEORGES DIESEL- RIGHT HAND</t>
  </si>
  <si>
    <t>GEORGES DIESEL- TRANSMISSION</t>
  </si>
  <si>
    <t>GEORGES DIESEL- WARRIOR</t>
  </si>
  <si>
    <t>GEORGES DIESEL- CONVERT</t>
  </si>
  <si>
    <t>GEORGES DIESEL- ASSEMBLE</t>
  </si>
  <si>
    <t>PINNACLE MARINE- ACTUATOR</t>
  </si>
  <si>
    <t>IDAHO TOTE TRAILER</t>
  </si>
  <si>
    <t>MARINE SANITATION-STRAIT</t>
  </si>
  <si>
    <t>EQUIPMENT UNLIMITED SUPPLY</t>
  </si>
  <si>
    <t>FLYING FORKS</t>
  </si>
  <si>
    <t>Actuator - Strait</t>
  </si>
  <si>
    <t>Olympic Synthetic 5 Nets - 20x20</t>
  </si>
  <si>
    <t>Anchor Winch - Warrior</t>
  </si>
  <si>
    <t>Rebuild &amp; Welding on Crow</t>
  </si>
  <si>
    <t>10 3 Yard Dumpsters</t>
  </si>
  <si>
    <t>Eaton Motor - Warrior</t>
  </si>
  <si>
    <t>Propeller  - Sound Arrow</t>
  </si>
  <si>
    <t>Brave - Bilge Pump</t>
  </si>
  <si>
    <t>Vessel - Motega</t>
  </si>
  <si>
    <t>Motega - Electrical</t>
  </si>
  <si>
    <t>Motega - Interior Lighting</t>
  </si>
  <si>
    <t>Motega - Hydraulic System</t>
  </si>
  <si>
    <t>Motega - Fire Detection System</t>
  </si>
  <si>
    <t>Motega - Video Surveillance System</t>
  </si>
  <si>
    <t>Motega - Cargo Tank Pump</t>
  </si>
  <si>
    <t>Motega-Cargo Fresh Water Pump</t>
  </si>
  <si>
    <t>Motega - Oil Boom</t>
  </si>
  <si>
    <t>Motega - Crane Scale</t>
  </si>
  <si>
    <t>Motega - New Steering System</t>
  </si>
  <si>
    <t>Motega - Crane Pump</t>
  </si>
  <si>
    <t>Motega-Rescue Ladder-Oil Boom</t>
  </si>
  <si>
    <t>Motega-Oil Boom &amp; Skiff Cover</t>
  </si>
  <si>
    <t>Motega-Rescue Lighting</t>
  </si>
  <si>
    <t>Motega-Haul &amp; Paint</t>
  </si>
  <si>
    <t>Motega-Refer &amp; Freezer</t>
  </si>
  <si>
    <t>Motega-Interior</t>
  </si>
  <si>
    <t>Motega-Boom Boat</t>
  </si>
  <si>
    <t>Motega-Rescue Suit</t>
  </si>
  <si>
    <t>Vacuum Tank &amp; Pump</t>
  </si>
  <si>
    <t>Motega-Z Drives</t>
  </si>
  <si>
    <t>Motega - Capital Improvements</t>
  </si>
  <si>
    <t>Pacific Arrow Incidental Acquisition Costs-Trans</t>
  </si>
  <si>
    <t>Pacific Arrow-Use Tax</t>
  </si>
  <si>
    <t>Chief Arrow Purchase</t>
  </si>
  <si>
    <t>Chief Arrow-Use Tax</t>
  </si>
  <si>
    <t>Pacific Arrow-Improvements</t>
  </si>
  <si>
    <t>Chief Arrow - Improvements</t>
  </si>
  <si>
    <t>Engines for Sioux Arrow</t>
  </si>
  <si>
    <t>Motega - Z Drives</t>
  </si>
  <si>
    <t>Motega - Z Drive Improvements</t>
  </si>
  <si>
    <t>Gooseneck Trailer</t>
  </si>
  <si>
    <t>Trailer</t>
  </si>
  <si>
    <t>Pacific-Improvements</t>
  </si>
  <si>
    <t>Chief Improvements</t>
  </si>
  <si>
    <t>2010 Yale Forklift</t>
  </si>
  <si>
    <t>2014 LPG Mazda Forklift</t>
  </si>
  <si>
    <t>Brave - Improvements</t>
  </si>
  <si>
    <t>Pacific Improvements</t>
  </si>
  <si>
    <t>Motega Improvements</t>
  </si>
  <si>
    <t>Storage Container</t>
  </si>
  <si>
    <t>Storage Containers</t>
  </si>
  <si>
    <t>Brave - Capitalized Repairs</t>
  </si>
  <si>
    <t>BOOM TRUCK</t>
  </si>
  <si>
    <t>1995 FORD F350</t>
  </si>
  <si>
    <t>SHOP UTILITY TRUCK</t>
  </si>
  <si>
    <t>CHEVY TRUCK</t>
  </si>
  <si>
    <t>2011 GMC YUKON XL- TRADE IN</t>
  </si>
  <si>
    <t>2010 GMC SIERRA</t>
  </si>
  <si>
    <t>AUTO REPAIRS- MISC</t>
  </si>
  <si>
    <t>CHEVY TRANSMISSION REPAIR</t>
  </si>
  <si>
    <t>2007 CHEVY C4500</t>
  </si>
  <si>
    <t>Cargo Trailer</t>
  </si>
  <si>
    <t>2013 Dodge Ram 3500</t>
  </si>
  <si>
    <t>1989 Ford Boom Truck</t>
  </si>
  <si>
    <t>2007 Dodge Pickup</t>
  </si>
  <si>
    <t>BUILDING SUPPLIES</t>
  </si>
  <si>
    <t>BUILDING SUPPLIES- CABINET</t>
  </si>
  <si>
    <t>ABSOLUTE AIR-SHOP HEATER</t>
  </si>
  <si>
    <t>NUERA TECHNOLOGY</t>
  </si>
  <si>
    <t>FENCING</t>
  </si>
  <si>
    <t>Crane T-4-Primary Lease Term 5 year</t>
  </si>
  <si>
    <t>Office Remodel-Depr on Life on Lease</t>
  </si>
  <si>
    <t>UTILITIES &amp; TC PERMIT</t>
  </si>
  <si>
    <t>GOODWILL - TACOMA</t>
  </si>
  <si>
    <t>Customer ID</t>
  </si>
  <si>
    <t>Customer</t>
  </si>
  <si>
    <t>Invoice/CM #</t>
  </si>
  <si>
    <t>0-30</t>
  </si>
  <si>
    <t>31-60</t>
  </si>
  <si>
    <t>61-90</t>
  </si>
  <si>
    <t>Over 90 days</t>
  </si>
  <si>
    <t>Amount Due</t>
  </si>
  <si>
    <t>P.O. No</t>
  </si>
  <si>
    <t>DATE OF SERVICE</t>
  </si>
  <si>
    <t>ACGI</t>
  </si>
  <si>
    <t>ACGI Shipping Co., Inc.</t>
  </si>
  <si>
    <t>31085</t>
  </si>
  <si>
    <t>Transatlantic</t>
  </si>
  <si>
    <t>31086</t>
  </si>
  <si>
    <t>31087</t>
  </si>
  <si>
    <t>31127</t>
  </si>
  <si>
    <t>31174</t>
  </si>
  <si>
    <t>31085FC1</t>
  </si>
  <si>
    <t>381086FC1</t>
  </si>
  <si>
    <t>31087FC1</t>
  </si>
  <si>
    <t>31127FC1</t>
  </si>
  <si>
    <t>31174FC1</t>
  </si>
  <si>
    <t>31085FC2</t>
  </si>
  <si>
    <t>31086FC2</t>
  </si>
  <si>
    <t>31087FC2</t>
  </si>
  <si>
    <t>31127FC2</t>
  </si>
  <si>
    <t>31174FC2</t>
  </si>
  <si>
    <t>pacific_coast</t>
  </si>
  <si>
    <t>Pacific Coast Maritime Agencies, Inc.</t>
  </si>
  <si>
    <t>28891</t>
  </si>
  <si>
    <t>STI Brooklyn</t>
  </si>
  <si>
    <t>28892</t>
  </si>
  <si>
    <t>28891FC1</t>
  </si>
  <si>
    <t>28892FC1</t>
  </si>
  <si>
    <t>29525</t>
  </si>
  <si>
    <t>28891FC3</t>
  </si>
  <si>
    <t>28892FC3</t>
  </si>
  <si>
    <t>29525FC3</t>
  </si>
  <si>
    <t>Non-Regulated Services</t>
  </si>
  <si>
    <t>Regulated Services for Pacific Coast Maritime Agencies, Inc.</t>
  </si>
  <si>
    <t>Regulated Services ACGI Shipping Co., Inc.</t>
  </si>
  <si>
    <t xml:space="preserve">Regulated Bad Debts </t>
  </si>
  <si>
    <t>Non-regulated</t>
  </si>
  <si>
    <t>Pro Forma</t>
  </si>
  <si>
    <t>R-11</t>
  </si>
  <si>
    <t>R-12</t>
  </si>
  <si>
    <t>R-13</t>
  </si>
  <si>
    <t>R-14</t>
  </si>
  <si>
    <t xml:space="preserve">Bad Debts </t>
  </si>
  <si>
    <t>QTR 9/30/16</t>
  </si>
  <si>
    <t xml:space="preserve">QTR 12/31/16 </t>
  </si>
  <si>
    <t xml:space="preserve">QTR 3/31/17 </t>
  </si>
  <si>
    <t>QTR 6/30/17</t>
  </si>
  <si>
    <t>Total Test Period</t>
  </si>
  <si>
    <t>Employee</t>
  </si>
  <si>
    <t>Position</t>
  </si>
  <si>
    <t>Employee #</t>
  </si>
  <si>
    <t>Hours</t>
  </si>
  <si>
    <t>Payroll</t>
  </si>
  <si>
    <t xml:space="preserve">Total Payroll </t>
  </si>
  <si>
    <t>Information will be provided to Staff</t>
  </si>
  <si>
    <t>during examination</t>
  </si>
  <si>
    <t>Invoiced Hours (Units) and Revenue by Activity Type</t>
  </si>
  <si>
    <t>Tariff Billing Activity</t>
  </si>
  <si>
    <t>July 1, 2016 to June 30, 2017</t>
  </si>
  <si>
    <t>Item Code</t>
  </si>
  <si>
    <t>Description</t>
  </si>
  <si>
    <t>Published Rate</t>
  </si>
  <si>
    <t>Proposed Rate</t>
  </si>
  <si>
    <t>Qty/Hours</t>
  </si>
  <si>
    <t>Amount</t>
  </si>
  <si>
    <t>Current Revenue at Current Rates</t>
  </si>
  <si>
    <t>Revenue at Proposed Rates</t>
  </si>
  <si>
    <t>Freight Launches</t>
  </si>
  <si>
    <t>Freight OT</t>
  </si>
  <si>
    <t>Overtime Freight Launches</t>
  </si>
  <si>
    <t>Freight HD</t>
  </si>
  <si>
    <t>Holiday Freight Launches</t>
  </si>
  <si>
    <t>Freight OTH</t>
  </si>
  <si>
    <t>Overtime Holiday Freight Launches</t>
  </si>
  <si>
    <t>Total Freight</t>
  </si>
  <si>
    <t>Hours:</t>
  </si>
  <si>
    <t>Gross Invoices</t>
  </si>
  <si>
    <t>Personnel</t>
  </si>
  <si>
    <t>Personnel Launches</t>
  </si>
  <si>
    <t>Personnel OT</t>
  </si>
  <si>
    <t>Overtime Personnel Launches</t>
  </si>
  <si>
    <t>Personnel HD</t>
  </si>
  <si>
    <t>Holiday Personnel Launches</t>
  </si>
  <si>
    <t>Personnel OTH</t>
  </si>
  <si>
    <t>Overtime Holiday Personnel Launches</t>
  </si>
  <si>
    <t>Pilot</t>
  </si>
  <si>
    <t>Pilot Launches</t>
  </si>
  <si>
    <t>Pilot OT</t>
  </si>
  <si>
    <t>Overtime Pilot Launches</t>
  </si>
  <si>
    <t>Pilot HD</t>
  </si>
  <si>
    <t>Holiday Pilot Launches</t>
  </si>
  <si>
    <t>Pilot OTH</t>
  </si>
  <si>
    <t>Overtime Holiday Pilot Launches</t>
  </si>
  <si>
    <t>Total Personnel</t>
  </si>
  <si>
    <t>Deck</t>
  </si>
  <si>
    <t>Deckhand(s)</t>
  </si>
  <si>
    <t>Deck OT</t>
  </si>
  <si>
    <t>Overtime Deckhand(s)</t>
  </si>
  <si>
    <t>Deck HD</t>
  </si>
  <si>
    <t>Holiday Deckhand(s)</t>
  </si>
  <si>
    <t>Deck OTH</t>
  </si>
  <si>
    <t>Overtime Holiday Deckhand(s)</t>
  </si>
  <si>
    <t>Total Deckhand</t>
  </si>
  <si>
    <t>Current Revenue per Price Out</t>
  </si>
  <si>
    <t>Current Revenue Per Books</t>
  </si>
  <si>
    <t>Remove Uncollected Finance Charges</t>
  </si>
  <si>
    <t>Equipment Rent</t>
  </si>
  <si>
    <t>Admin Repairs</t>
  </si>
  <si>
    <t>Commissions</t>
  </si>
  <si>
    <t>Revenue is used to allocate Washington B&amp;O Taxes, but is not included</t>
  </si>
  <si>
    <t>Remove Book Amortization</t>
  </si>
  <si>
    <t>Wolfpacker Improvements</t>
  </si>
  <si>
    <t>Strait Arrow Capitalized Repairs</t>
  </si>
  <si>
    <t>Sioux Arrow - Capitalized Repairs</t>
  </si>
  <si>
    <t>Warrior - Capitalized Repairs</t>
  </si>
  <si>
    <t>Marine Sanitation Devise-Crow</t>
  </si>
  <si>
    <t>Pacific Arrow-Purchase</t>
  </si>
  <si>
    <t>Chief Arrow-Incidental Acquisition Costs</t>
  </si>
  <si>
    <t>Pacific Arrow - Life raft</t>
  </si>
  <si>
    <t>Chief Arrow-Life raft</t>
  </si>
  <si>
    <t>Pumps/Steam Cleaner for Vacuum System</t>
  </si>
  <si>
    <t>Portable Storage Garage for Vacuum System</t>
  </si>
  <si>
    <t>R-15</t>
  </si>
  <si>
    <t>538996</t>
  </si>
  <si>
    <t>Williams, Kastner, &amp; Gibbs - 538996</t>
  </si>
  <si>
    <t>538995</t>
  </si>
  <si>
    <t>Williams, Kastner, &amp; Gibbs - 538995</t>
  </si>
  <si>
    <t>Strait Arrow Radio Equipment</t>
  </si>
  <si>
    <t xml:space="preserve">Payrll </t>
  </si>
  <si>
    <t>Test Period ended 6/30/17</t>
  </si>
  <si>
    <t>R-16</t>
  </si>
  <si>
    <t>Record 2.5% payroll increase for identified line employees</t>
  </si>
  <si>
    <t xml:space="preserve">Captain / </t>
  </si>
  <si>
    <t>Deckhand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</si>
</sst>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yy;@"/>
    <numFmt numFmtId="166" formatCode="[$-409]mmmm\ d\,\ yyyy;@"/>
    <numFmt numFmtId="167" formatCode="#,##0.0"/>
    <numFmt numFmtId="168" formatCode="#,##0.000_);\(#,##0.000\)"/>
    <numFmt numFmtId="169" formatCode="m/d/yy;@"/>
    <numFmt numFmtId="170" formatCode="#,##0.00;\-#,##0.00;* ??"/>
    <numFmt numFmtId="171" formatCode="0.000%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8"/>
      <color theme="1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/>
    <xf numFmtId="0" fontId="20" fillId="0" borderId="0"/>
  </cellStyleXfs>
  <cellXfs count="22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0" xfId="0" applyNumberFormat="1" applyFont="1"/>
    <xf numFmtId="49" fontId="3" fillId="0" borderId="0" xfId="0" applyNumberFormat="1" applyFont="1" applyAlignment="1">
      <alignment horizontal="left"/>
    </xf>
    <xf numFmtId="4" fontId="3" fillId="0" borderId="1" xfId="0" applyNumberFormat="1" applyFont="1" applyBorder="1"/>
    <xf numFmtId="4" fontId="2" fillId="0" borderId="0" xfId="0" applyNumberFormat="1" applyFont="1"/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1" fillId="0" borderId="0" xfId="0" applyNumberFormat="1" applyFont="1"/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2" fillId="0" borderId="0" xfId="0" applyNumberFormat="1" applyFont="1" applyBorder="1"/>
    <xf numFmtId="0" fontId="4" fillId="0" borderId="0" xfId="0" applyFont="1"/>
    <xf numFmtId="49" fontId="4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3" fontId="4" fillId="0" borderId="0" xfId="0" applyNumberFormat="1" applyFont="1"/>
    <xf numFmtId="3" fontId="0" fillId="0" borderId="0" xfId="0" applyNumberFormat="1"/>
    <xf numFmtId="3" fontId="4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/>
    <xf numFmtId="10" fontId="0" fillId="0" borderId="0" xfId="0" applyNumberFormat="1"/>
    <xf numFmtId="3" fontId="4" fillId="0" borderId="2" xfId="0" applyNumberFormat="1" applyFont="1" applyBorder="1"/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quotePrefix="1"/>
    <xf numFmtId="3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2" fillId="0" borderId="2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left" wrapText="1"/>
    </xf>
    <xf numFmtId="43" fontId="2" fillId="0" borderId="0" xfId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Continuous"/>
    </xf>
    <xf numFmtId="166" fontId="0" fillId="0" borderId="0" xfId="0" applyNumberFormat="1" applyAlignment="1">
      <alignment horizontal="centerContinuous"/>
    </xf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4" fontId="13" fillId="0" borderId="1" xfId="0" applyNumberFormat="1" applyFont="1" applyBorder="1"/>
    <xf numFmtId="17" fontId="13" fillId="0" borderId="0" xfId="0" applyNumberFormat="1" applyFont="1"/>
    <xf numFmtId="4" fontId="13" fillId="0" borderId="2" xfId="0" applyNumberFormat="1" applyFont="1" applyBorder="1"/>
    <xf numFmtId="14" fontId="0" fillId="0" borderId="0" xfId="0" applyNumberFormat="1"/>
    <xf numFmtId="14" fontId="13" fillId="0" borderId="0" xfId="0" applyNumberFormat="1" applyFont="1"/>
    <xf numFmtId="4" fontId="0" fillId="0" borderId="0" xfId="0" applyNumberFormat="1"/>
    <xf numFmtId="37" fontId="0" fillId="0" borderId="0" xfId="0" applyNumberFormat="1"/>
    <xf numFmtId="39" fontId="0" fillId="0" borderId="0" xfId="0" applyNumberFormat="1"/>
    <xf numFmtId="168" fontId="0" fillId="0" borderId="0" xfId="0" applyNumberFormat="1"/>
    <xf numFmtId="37" fontId="0" fillId="0" borderId="1" xfId="0" applyNumberFormat="1" applyBorder="1"/>
    <xf numFmtId="0" fontId="15" fillId="0" borderId="0" xfId="0" applyFont="1"/>
    <xf numFmtId="3" fontId="17" fillId="0" borderId="0" xfId="3" applyNumberFormat="1" applyFont="1" applyAlignment="1">
      <alignment horizontal="centerContinuous"/>
    </xf>
    <xf numFmtId="3" fontId="15" fillId="0" borderId="0" xfId="3" applyNumberFormat="1" applyFont="1" applyAlignment="1">
      <alignment horizontal="centerContinuous"/>
    </xf>
    <xf numFmtId="3" fontId="15" fillId="0" borderId="0" xfId="3" applyNumberFormat="1" applyFont="1"/>
    <xf numFmtId="3" fontId="15" fillId="0" borderId="0" xfId="3" applyNumberFormat="1" applyFont="1" applyAlignment="1">
      <alignment horizontal="left"/>
    </xf>
    <xf numFmtId="166" fontId="17" fillId="0" borderId="0" xfId="3" quotePrefix="1" applyNumberFormat="1" applyFont="1" applyAlignment="1">
      <alignment horizontal="centerContinuous"/>
    </xf>
    <xf numFmtId="3" fontId="15" fillId="0" borderId="0" xfId="3" applyNumberFormat="1" applyFont="1" applyAlignment="1">
      <alignment horizontal="center"/>
    </xf>
    <xf numFmtId="1" fontId="15" fillId="0" borderId="0" xfId="3" applyNumberFormat="1" applyFont="1"/>
    <xf numFmtId="3" fontId="17" fillId="0" borderId="0" xfId="3" applyNumberFormat="1" applyFont="1" applyAlignment="1">
      <alignment horizontal="center"/>
    </xf>
    <xf numFmtId="3" fontId="17" fillId="0" borderId="0" xfId="3" applyNumberFormat="1" applyFont="1" applyAlignment="1"/>
    <xf numFmtId="0" fontId="17" fillId="0" borderId="0" xfId="0" applyFont="1"/>
    <xf numFmtId="3" fontId="18" fillId="0" borderId="0" xfId="3" applyNumberFormat="1" applyFont="1" applyAlignment="1">
      <alignment horizontal="center"/>
    </xf>
    <xf numFmtId="3" fontId="18" fillId="0" borderId="0" xfId="3" applyNumberFormat="1" applyFont="1" applyAlignment="1"/>
    <xf numFmtId="14" fontId="18" fillId="0" borderId="0" xfId="3" quotePrefix="1" applyNumberFormat="1" applyFont="1" applyAlignment="1">
      <alignment horizontal="center"/>
    </xf>
    <xf numFmtId="169" fontId="18" fillId="0" borderId="0" xfId="3" applyNumberFormat="1" applyFont="1" applyAlignment="1">
      <alignment horizontal="center"/>
    </xf>
    <xf numFmtId="3" fontId="18" fillId="0" borderId="0" xfId="3" applyNumberFormat="1" applyFont="1" applyAlignment="1">
      <alignment horizontal="left"/>
    </xf>
    <xf numFmtId="1" fontId="15" fillId="0" borderId="0" xfId="3" applyNumberFormat="1" applyFont="1" applyAlignment="1">
      <alignment horizontal="center"/>
    </xf>
    <xf numFmtId="4" fontId="15" fillId="0" borderId="0" xfId="3" applyNumberFormat="1" applyFont="1"/>
    <xf numFmtId="0" fontId="19" fillId="0" borderId="0" xfId="0" applyFont="1"/>
    <xf numFmtId="1" fontId="19" fillId="0" borderId="0" xfId="4" applyNumberFormat="1" applyFont="1" applyAlignment="1">
      <alignment horizontal="center"/>
    </xf>
    <xf numFmtId="1" fontId="19" fillId="0" borderId="0" xfId="3" applyNumberFormat="1" applyFont="1" applyAlignment="1">
      <alignment horizontal="center"/>
    </xf>
    <xf numFmtId="9" fontId="19" fillId="0" borderId="0" xfId="3" applyNumberFormat="1" applyFont="1"/>
    <xf numFmtId="3" fontId="19" fillId="0" borderId="0" xfId="3" applyNumberFormat="1" applyFont="1" applyAlignment="1">
      <alignment horizontal="center"/>
    </xf>
    <xf numFmtId="3" fontId="19" fillId="0" borderId="0" xfId="3" applyNumberFormat="1" applyFont="1"/>
    <xf numFmtId="1" fontId="19" fillId="0" borderId="0" xfId="3" applyNumberFormat="1" applyFont="1"/>
    <xf numFmtId="3" fontId="19" fillId="0" borderId="0" xfId="0" applyNumberFormat="1" applyFont="1"/>
    <xf numFmtId="4" fontId="19" fillId="0" borderId="0" xfId="0" applyNumberFormat="1" applyFont="1"/>
    <xf numFmtId="9" fontId="0" fillId="0" borderId="0" xfId="0" applyNumberFormat="1"/>
    <xf numFmtId="3" fontId="0" fillId="0" borderId="0" xfId="0" applyNumberFormat="1" applyBorder="1"/>
    <xf numFmtId="3" fontId="19" fillId="0" borderId="0" xfId="0" applyNumberFormat="1" applyFont="1" applyBorder="1"/>
    <xf numFmtId="3" fontId="19" fillId="0" borderId="0" xfId="3" applyNumberFormat="1" applyFont="1" applyBorder="1"/>
    <xf numFmtId="4" fontId="19" fillId="0" borderId="0" xfId="0" applyNumberFormat="1" applyFont="1" applyBorder="1"/>
    <xf numFmtId="3" fontId="0" fillId="0" borderId="1" xfId="0" applyNumberFormat="1" applyBorder="1"/>
    <xf numFmtId="3" fontId="19" fillId="0" borderId="1" xfId="0" applyNumberFormat="1" applyFont="1" applyBorder="1"/>
    <xf numFmtId="3" fontId="19" fillId="0" borderId="1" xfId="3" applyNumberFormat="1" applyFont="1" applyBorder="1"/>
    <xf numFmtId="0" fontId="21" fillId="0" borderId="0" xfId="0" applyFont="1"/>
    <xf numFmtId="49" fontId="12" fillId="0" borderId="2" xfId="0" applyNumberFormat="1" applyFont="1" applyBorder="1" applyAlignment="1">
      <alignment horizontal="right"/>
    </xf>
    <xf numFmtId="0" fontId="12" fillId="0" borderId="2" xfId="0" applyFont="1" applyBorder="1"/>
    <xf numFmtId="170" fontId="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49" fontId="2" fillId="2" borderId="0" xfId="0" applyNumberFormat="1" applyFont="1" applyFill="1" applyAlignment="1">
      <alignment horizontal="left"/>
    </xf>
    <xf numFmtId="170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170" fontId="2" fillId="2" borderId="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4" fillId="0" borderId="0" xfId="0" applyFont="1"/>
    <xf numFmtId="170" fontId="2" fillId="0" borderId="1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Continuous"/>
    </xf>
    <xf numFmtId="170" fontId="13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49" fontId="13" fillId="0" borderId="0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43" fontId="2" fillId="0" borderId="0" xfId="1" applyFont="1" applyFill="1" applyAlignment="1">
      <alignment horizontal="left" vertical="top"/>
    </xf>
    <xf numFmtId="1" fontId="2" fillId="0" borderId="0" xfId="1" applyNumberFormat="1" applyFont="1" applyAlignment="1">
      <alignment horizontal="right" vertical="top"/>
    </xf>
    <xf numFmtId="0" fontId="26" fillId="0" borderId="0" xfId="0" applyFont="1"/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/>
    <xf numFmtId="1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43" fontId="26" fillId="0" borderId="0" xfId="1" applyFont="1"/>
    <xf numFmtId="43" fontId="2" fillId="0" borderId="0" xfId="1" applyFont="1" applyFill="1" applyAlignment="1">
      <alignment horizontal="left"/>
    </xf>
    <xf numFmtId="4" fontId="26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2" fillId="0" borderId="1" xfId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/>
    <xf numFmtId="49" fontId="13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4" fontId="2" fillId="0" borderId="0" xfId="1" applyNumberFormat="1" applyFont="1" applyAlignment="1">
      <alignment horizontal="left"/>
    </xf>
    <xf numFmtId="4" fontId="13" fillId="0" borderId="0" xfId="0" applyNumberFormat="1" applyFont="1" applyAlignment="1"/>
    <xf numFmtId="0" fontId="8" fillId="0" borderId="0" xfId="0" applyFont="1"/>
    <xf numFmtId="0" fontId="0" fillId="3" borderId="0" xfId="0" applyFill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44" fontId="11" fillId="0" borderId="12" xfId="2" applyFont="1" applyBorder="1" applyAlignment="1">
      <alignment horizontal="center" vertical="center"/>
    </xf>
    <xf numFmtId="44" fontId="0" fillId="3" borderId="0" xfId="2" applyFont="1" applyFill="1"/>
    <xf numFmtId="44" fontId="0" fillId="0" borderId="0" xfId="2" applyFont="1" applyFill="1"/>
    <xf numFmtId="167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44" fontId="0" fillId="0" borderId="0" xfId="2" applyFont="1" applyBorder="1" applyAlignment="1">
      <alignment horizontal="left" vertical="center"/>
    </xf>
    <xf numFmtId="44" fontId="0" fillId="0" borderId="12" xfId="2" applyFont="1" applyBorder="1"/>
    <xf numFmtId="44" fontId="0" fillId="0" borderId="0" xfId="0" applyNumberFormat="1"/>
    <xf numFmtId="0" fontId="0" fillId="0" borderId="7" xfId="0" applyBorder="1"/>
    <xf numFmtId="0" fontId="0" fillId="0" borderId="7" xfId="0" applyBorder="1" applyAlignment="1">
      <alignment wrapText="1"/>
    </xf>
    <xf numFmtId="44" fontId="0" fillId="3" borderId="7" xfId="2" applyFont="1" applyFill="1" applyBorder="1"/>
    <xf numFmtId="44" fontId="0" fillId="0" borderId="7" xfId="2" applyFont="1" applyFill="1" applyBorder="1"/>
    <xf numFmtId="167" fontId="0" fillId="0" borderId="13" xfId="0" applyNumberFormat="1" applyBorder="1" applyAlignment="1">
      <alignment horizontal="right" vertical="center"/>
    </xf>
    <xf numFmtId="0" fontId="0" fillId="0" borderId="7" xfId="0" applyBorder="1" applyAlignment="1">
      <alignment horizontal="right"/>
    </xf>
    <xf numFmtId="44" fontId="0" fillId="0" borderId="7" xfId="2" applyFont="1" applyBorder="1" applyAlignment="1">
      <alignment horizontal="left" vertical="center"/>
    </xf>
    <xf numFmtId="44" fontId="0" fillId="0" borderId="14" xfId="2" applyFont="1" applyBorder="1"/>
    <xf numFmtId="0" fontId="30" fillId="0" borderId="0" xfId="0" applyFont="1" applyFill="1" applyBorder="1"/>
    <xf numFmtId="0" fontId="0" fillId="0" borderId="0" xfId="0" applyFill="1"/>
    <xf numFmtId="167" fontId="30" fillId="0" borderId="11" xfId="0" applyNumberFormat="1" applyFont="1" applyBorder="1" applyAlignment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44" fontId="30" fillId="0" borderId="0" xfId="2" applyFont="1" applyBorder="1"/>
    <xf numFmtId="44" fontId="0" fillId="0" borderId="12" xfId="0" applyNumberFormat="1" applyBorder="1"/>
    <xf numFmtId="0" fontId="0" fillId="0" borderId="11" xfId="0" applyBorder="1"/>
    <xf numFmtId="44" fontId="0" fillId="0" borderId="0" xfId="2" applyFont="1" applyBorder="1"/>
    <xf numFmtId="44" fontId="0" fillId="3" borderId="0" xfId="2" applyFont="1" applyFill="1" applyBorder="1"/>
    <xf numFmtId="44" fontId="0" fillId="0" borderId="0" xfId="2" applyFont="1" applyFill="1" applyBorder="1"/>
    <xf numFmtId="0" fontId="0" fillId="0" borderId="0" xfId="0" applyBorder="1"/>
    <xf numFmtId="0" fontId="30" fillId="0" borderId="0" xfId="0" applyFont="1" applyBorder="1"/>
    <xf numFmtId="0" fontId="30" fillId="0" borderId="0" xfId="0" applyFont="1"/>
    <xf numFmtId="4" fontId="0" fillId="0" borderId="1" xfId="0" applyNumberFormat="1" applyBorder="1"/>
    <xf numFmtId="44" fontId="0" fillId="0" borderId="1" xfId="0" applyNumberFormat="1" applyBorder="1"/>
    <xf numFmtId="49" fontId="12" fillId="0" borderId="0" xfId="0" applyNumberFormat="1" applyFont="1" applyFill="1" applyAlignment="1">
      <alignment horizontal="left"/>
    </xf>
    <xf numFmtId="171" fontId="0" fillId="0" borderId="0" xfId="0" applyNumberFormat="1"/>
    <xf numFmtId="171" fontId="4" fillId="0" borderId="0" xfId="0" applyNumberFormat="1" applyFont="1"/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170" fontId="1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13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49" fontId="14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/>
    <xf numFmtId="0" fontId="0" fillId="0" borderId="7" xfId="0" applyBorder="1" applyAlignment="1">
      <alignment horizontal="center"/>
    </xf>
    <xf numFmtId="0" fontId="27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Depr Sch" xfId="4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Client%20Data/Arrow%20Launch/Rate%20Filing%202-2018/Gabi's%20Paryoll%20Templat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Summary"/>
      <sheetName val="Qtr 9-30-16"/>
      <sheetName val="Qtr 12-31-16"/>
      <sheetName val="Qtr 3-31-17"/>
      <sheetName val="Qtr 6-30-17"/>
    </sheetNames>
    <sheetDataSet>
      <sheetData sheetId="0" refreshError="1"/>
      <sheetData sheetId="1" refreshError="1"/>
      <sheetData sheetId="2">
        <row r="313">
          <cell r="F313">
            <v>522.25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199"/>
  <sheetViews>
    <sheetView workbookViewId="0">
      <pane ySplit="4" topLeftCell="A179" activePane="bottomLeft" state="frozenSplit"/>
      <selection pane="bottomLeft" activeCell="A187" sqref="A187"/>
    </sheetView>
  </sheetViews>
  <sheetFormatPr defaultColWidth="9.140625" defaultRowHeight="12.75" x14ac:dyDescent="0.2"/>
  <cols>
    <col min="1" max="1" width="34.7109375" style="1" customWidth="1"/>
    <col min="2" max="3" width="16.7109375" style="1" customWidth="1"/>
    <col min="4" max="4" width="5.28515625" style="1" customWidth="1"/>
    <col min="5" max="5" width="18" style="1" customWidth="1"/>
    <col min="6" max="6" width="4.42578125" style="1" customWidth="1"/>
    <col min="7" max="7" width="14.140625" style="1" customWidth="1"/>
    <col min="8" max="8" width="4.28515625" style="1" customWidth="1"/>
    <col min="9" max="12" width="15" style="1" customWidth="1"/>
    <col min="13" max="13" width="17.5703125" style="1" customWidth="1"/>
    <col min="14" max="14" width="13.140625" style="1" customWidth="1"/>
    <col min="15" max="15" width="13.42578125" style="1" customWidth="1"/>
    <col min="16" max="17" width="11.85546875" style="1" customWidth="1"/>
    <col min="18" max="20" width="13.42578125" style="1" customWidth="1"/>
    <col min="21" max="21" width="12.5703125" style="1" customWidth="1"/>
    <col min="22" max="22" width="12.85546875" style="1" customWidth="1"/>
    <col min="23" max="23" width="11" style="1" customWidth="1"/>
    <col min="24" max="24" width="11.42578125" style="1" customWidth="1"/>
    <col min="25" max="25" width="12" style="1" customWidth="1"/>
    <col min="26" max="26" width="10.5703125" style="1" customWidth="1"/>
    <col min="27" max="27" width="9.7109375" style="1" customWidth="1"/>
    <col min="28" max="28" width="9.5703125" style="1" customWidth="1"/>
    <col min="29" max="29" width="9.28515625" style="1" customWidth="1"/>
    <col min="30" max="30" width="11.5703125" style="1" customWidth="1"/>
    <col min="31" max="31" width="10.42578125" style="1" customWidth="1"/>
    <col min="32" max="32" width="10" style="1" customWidth="1"/>
    <col min="33" max="33" width="10.28515625" style="1" customWidth="1"/>
    <col min="34" max="34" width="10" style="1" customWidth="1"/>
    <col min="35" max="35" width="10.7109375" style="1" customWidth="1"/>
    <col min="36" max="36" width="9" style="1" customWidth="1"/>
    <col min="37" max="37" width="11" style="1" customWidth="1"/>
    <col min="38" max="39" width="10.7109375" style="1" customWidth="1"/>
    <col min="40" max="40" width="10.42578125" style="1" customWidth="1"/>
    <col min="41" max="41" width="10.5703125" style="1" customWidth="1"/>
    <col min="42" max="42" width="11.28515625" style="1" customWidth="1"/>
    <col min="43" max="43" width="12.85546875" style="1" customWidth="1"/>
    <col min="44" max="44" width="11" style="1" customWidth="1"/>
    <col min="45" max="45" width="12" style="1" customWidth="1"/>
    <col min="46" max="46" width="10.7109375" style="1" customWidth="1"/>
    <col min="47" max="47" width="11.28515625" style="1" customWidth="1"/>
    <col min="48" max="48" width="10" style="1" customWidth="1"/>
    <col min="49" max="49" width="12" style="1" customWidth="1"/>
    <col min="50" max="50" width="12.140625" style="1" customWidth="1"/>
    <col min="51" max="51" width="9.85546875" style="1" customWidth="1"/>
    <col min="52" max="52" width="12.42578125" style="1" customWidth="1"/>
    <col min="53" max="53" width="10.5703125" style="1" customWidth="1"/>
    <col min="54" max="54" width="10.28515625" style="1" customWidth="1"/>
    <col min="55" max="55" width="8.85546875" style="1" customWidth="1"/>
    <col min="56" max="56" width="9.7109375" style="1" customWidth="1"/>
    <col min="57" max="57" width="10.42578125" style="1" customWidth="1"/>
    <col min="58" max="16384" width="9.140625" style="1"/>
  </cols>
  <sheetData>
    <row r="2" spans="1:57" ht="31.5" x14ac:dyDescent="0.25">
      <c r="A2" s="3"/>
      <c r="B2" s="4">
        <v>42551</v>
      </c>
      <c r="C2" s="4">
        <v>42735</v>
      </c>
      <c r="D2" s="4"/>
      <c r="E2" s="3" t="s">
        <v>186</v>
      </c>
      <c r="F2" s="3"/>
      <c r="G2" s="4">
        <v>42916</v>
      </c>
      <c r="H2" s="3"/>
      <c r="I2" s="5" t="s">
        <v>187</v>
      </c>
      <c r="J2" s="5" t="s">
        <v>270</v>
      </c>
      <c r="K2" s="5" t="s">
        <v>270</v>
      </c>
      <c r="L2" s="5" t="s">
        <v>187</v>
      </c>
      <c r="M2" s="3"/>
      <c r="N2" s="3"/>
    </row>
    <row r="3" spans="1:57" ht="15.75" x14ac:dyDescent="0.25">
      <c r="A3" s="3"/>
      <c r="B3" s="4"/>
      <c r="C3" s="4"/>
      <c r="D3" s="4"/>
      <c r="E3" s="4"/>
      <c r="F3" s="3"/>
      <c r="G3" s="4"/>
      <c r="H3" s="3"/>
      <c r="I3" s="3"/>
      <c r="J3" s="3" t="s">
        <v>271</v>
      </c>
      <c r="K3" s="3" t="s">
        <v>271</v>
      </c>
      <c r="L3" s="3"/>
      <c r="M3" s="3"/>
      <c r="N3" s="3"/>
    </row>
    <row r="4" spans="1:57" ht="47.25" customHeight="1" x14ac:dyDescent="0.25">
      <c r="A4" s="6"/>
      <c r="B4" s="7"/>
      <c r="C4" s="7"/>
      <c r="D4" s="7"/>
      <c r="E4" s="7"/>
      <c r="F4" s="3"/>
      <c r="G4" s="3"/>
      <c r="H4" s="3"/>
      <c r="I4" s="3"/>
      <c r="J4" s="4">
        <v>42735</v>
      </c>
      <c r="K4" s="4">
        <v>42916</v>
      </c>
      <c r="L4" s="3"/>
      <c r="M4" s="3"/>
      <c r="N4" s="12" t="s">
        <v>188</v>
      </c>
      <c r="O4" s="12" t="s">
        <v>153</v>
      </c>
      <c r="P4" s="27" t="s">
        <v>213</v>
      </c>
      <c r="Q4" s="27" t="s">
        <v>214</v>
      </c>
      <c r="R4" s="27" t="s">
        <v>189</v>
      </c>
      <c r="S4" s="27" t="s">
        <v>52</v>
      </c>
      <c r="T4" s="27" t="s">
        <v>54</v>
      </c>
      <c r="U4" s="12"/>
      <c r="V4" s="12" t="s">
        <v>190</v>
      </c>
      <c r="W4" s="27" t="s">
        <v>191</v>
      </c>
      <c r="X4" s="1" t="s">
        <v>192</v>
      </c>
      <c r="Y4" s="1" t="s">
        <v>193</v>
      </c>
      <c r="Z4" s="28" t="s">
        <v>194</v>
      </c>
      <c r="AA4" s="28" t="s">
        <v>198</v>
      </c>
      <c r="AB4" s="28" t="s">
        <v>195</v>
      </c>
      <c r="AC4" s="28" t="s">
        <v>752</v>
      </c>
      <c r="AD4" s="1" t="s">
        <v>196</v>
      </c>
      <c r="AE4" s="1" t="s">
        <v>197</v>
      </c>
      <c r="AF4" s="28" t="s">
        <v>199</v>
      </c>
      <c r="AG4" s="28" t="s">
        <v>201</v>
      </c>
      <c r="AH4" s="28" t="s">
        <v>200</v>
      </c>
      <c r="AI4" s="28" t="s">
        <v>150</v>
      </c>
      <c r="AJ4" s="1" t="s">
        <v>202</v>
      </c>
      <c r="AK4" s="1" t="s">
        <v>142</v>
      </c>
      <c r="AL4" s="1" t="s">
        <v>203</v>
      </c>
      <c r="AM4" s="1" t="s">
        <v>204</v>
      </c>
      <c r="AN4" s="1" t="s">
        <v>205</v>
      </c>
      <c r="AO4" s="1" t="s">
        <v>206</v>
      </c>
      <c r="AP4" s="1" t="s">
        <v>207</v>
      </c>
      <c r="AQ4" s="28" t="s">
        <v>147</v>
      </c>
      <c r="AR4" s="1" t="s">
        <v>149</v>
      </c>
      <c r="AS4" s="28" t="s">
        <v>208</v>
      </c>
      <c r="AT4" s="1" t="s">
        <v>154</v>
      </c>
      <c r="AU4" s="1" t="s">
        <v>155</v>
      </c>
      <c r="AV4" s="28" t="s">
        <v>209</v>
      </c>
      <c r="AW4" s="1" t="s">
        <v>164</v>
      </c>
      <c r="AX4" s="28" t="s">
        <v>753</v>
      </c>
      <c r="AY4" s="1" t="s">
        <v>210</v>
      </c>
      <c r="AZ4" s="1" t="s">
        <v>225</v>
      </c>
      <c r="BA4" s="1" t="s">
        <v>211</v>
      </c>
      <c r="BB4" s="1" t="s">
        <v>212</v>
      </c>
      <c r="BC4" s="1" t="s">
        <v>179</v>
      </c>
      <c r="BD4" s="1" t="s">
        <v>181</v>
      </c>
      <c r="BE4" s="1" t="s">
        <v>182</v>
      </c>
    </row>
    <row r="5" spans="1:57" ht="15.75" x14ac:dyDescent="0.25">
      <c r="A5" s="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57" ht="15.75" x14ac:dyDescent="0.25">
      <c r="A6" s="8" t="s">
        <v>3</v>
      </c>
      <c r="B6" s="14">
        <v>648144.59</v>
      </c>
      <c r="C6" s="9">
        <v>1445250.1</v>
      </c>
      <c r="D6" s="9"/>
      <c r="E6" s="14">
        <f>+C6-B6</f>
        <v>797105.51000000013</v>
      </c>
      <c r="F6" s="12"/>
      <c r="G6" s="14">
        <v>873024.7</v>
      </c>
      <c r="H6" s="12"/>
      <c r="I6" s="12">
        <f>+E6+G6</f>
        <v>1670130.21</v>
      </c>
      <c r="J6" s="12"/>
      <c r="K6" s="12"/>
      <c r="L6" s="12">
        <f>+I6+J6+K6</f>
        <v>1670130.21</v>
      </c>
      <c r="M6" s="12"/>
      <c r="N6" s="12">
        <f>+L6</f>
        <v>1670130.21</v>
      </c>
      <c r="O6" s="12"/>
      <c r="P6" s="12"/>
      <c r="Q6" s="12"/>
      <c r="R6" s="12"/>
      <c r="S6" s="12"/>
      <c r="T6" s="12"/>
      <c r="U6" s="12"/>
      <c r="V6" s="12"/>
      <c r="W6" s="12"/>
    </row>
    <row r="7" spans="1:57" ht="15.75" x14ac:dyDescent="0.25">
      <c r="A7" s="8" t="s">
        <v>4</v>
      </c>
      <c r="B7" s="14">
        <v>90858.79</v>
      </c>
      <c r="C7" s="9">
        <v>161334.43</v>
      </c>
      <c r="D7" s="9"/>
      <c r="E7" s="14">
        <f t="shared" ref="E7:E57" si="0">+C7-B7</f>
        <v>70475.64</v>
      </c>
      <c r="F7" s="12"/>
      <c r="G7" s="14">
        <v>89919.39</v>
      </c>
      <c r="H7" s="12"/>
      <c r="I7" s="12">
        <f t="shared" ref="I7:I57" si="1">+E7+G7</f>
        <v>160395.03</v>
      </c>
      <c r="J7" s="12"/>
      <c r="K7" s="12"/>
      <c r="L7" s="12">
        <f t="shared" ref="L7:L57" si="2">+I7+J7+K7</f>
        <v>160395.03</v>
      </c>
      <c r="M7" s="12"/>
      <c r="N7" s="12"/>
      <c r="O7" s="12">
        <f>+L7</f>
        <v>160395.03</v>
      </c>
      <c r="P7" s="12"/>
      <c r="Q7" s="12"/>
      <c r="R7" s="12"/>
      <c r="S7" s="12"/>
      <c r="T7" s="12"/>
      <c r="U7" s="12"/>
      <c r="V7" s="12"/>
      <c r="W7" s="12"/>
    </row>
    <row r="8" spans="1:57" ht="15.75" x14ac:dyDescent="0.25">
      <c r="A8" s="8" t="s">
        <v>5</v>
      </c>
      <c r="B8" s="14">
        <v>23804.7</v>
      </c>
      <c r="C8" s="9">
        <v>43218.39</v>
      </c>
      <c r="D8" s="9"/>
      <c r="E8" s="14">
        <f t="shared" si="0"/>
        <v>19413.689999999999</v>
      </c>
      <c r="F8" s="12"/>
      <c r="G8" s="14">
        <v>24732.58</v>
      </c>
      <c r="H8" s="12"/>
      <c r="I8" s="12">
        <f t="shared" si="1"/>
        <v>44146.270000000004</v>
      </c>
      <c r="J8" s="12"/>
      <c r="K8" s="12"/>
      <c r="L8" s="12">
        <f t="shared" si="2"/>
        <v>44146.270000000004</v>
      </c>
      <c r="M8" s="12"/>
      <c r="N8" s="12"/>
      <c r="O8" s="12"/>
      <c r="P8" s="12">
        <f>+L8</f>
        <v>44146.270000000004</v>
      </c>
      <c r="Q8" s="12"/>
      <c r="R8" s="12"/>
      <c r="S8" s="12"/>
      <c r="T8" s="12"/>
      <c r="U8" s="12"/>
      <c r="V8" s="12"/>
      <c r="W8" s="12"/>
    </row>
    <row r="9" spans="1:57" ht="15.75" x14ac:dyDescent="0.25">
      <c r="A9" s="8" t="s">
        <v>6</v>
      </c>
      <c r="B9" s="14">
        <v>127240.7</v>
      </c>
      <c r="C9" s="9">
        <v>276086.96999999997</v>
      </c>
      <c r="D9" s="9"/>
      <c r="E9" s="14">
        <f t="shared" si="0"/>
        <v>148846.26999999996</v>
      </c>
      <c r="F9" s="12"/>
      <c r="G9" s="14">
        <v>144377.48000000001</v>
      </c>
      <c r="H9" s="12"/>
      <c r="I9" s="12">
        <f t="shared" si="1"/>
        <v>293223.75</v>
      </c>
      <c r="J9" s="12"/>
      <c r="K9" s="12"/>
      <c r="L9" s="12">
        <f t="shared" si="2"/>
        <v>293223.75</v>
      </c>
      <c r="M9" s="12"/>
      <c r="N9" s="12"/>
      <c r="O9" s="12"/>
      <c r="P9" s="12"/>
      <c r="Q9" s="12">
        <f>+L9</f>
        <v>293223.75</v>
      </c>
      <c r="R9" s="12"/>
      <c r="S9" s="12"/>
      <c r="T9" s="12"/>
      <c r="U9" s="12"/>
      <c r="V9" s="12"/>
      <c r="W9" s="12"/>
    </row>
    <row r="10" spans="1:57" ht="15.75" x14ac:dyDescent="0.25">
      <c r="A10" s="8" t="s">
        <v>7</v>
      </c>
      <c r="B10" s="14">
        <v>47825</v>
      </c>
      <c r="C10" s="9">
        <v>87125</v>
      </c>
      <c r="D10" s="9"/>
      <c r="E10" s="14">
        <f t="shared" si="0"/>
        <v>39300</v>
      </c>
      <c r="F10" s="12"/>
      <c r="G10" s="14">
        <v>42900</v>
      </c>
      <c r="H10" s="12"/>
      <c r="I10" s="12">
        <f t="shared" si="1"/>
        <v>82200</v>
      </c>
      <c r="J10" s="12"/>
      <c r="K10" s="12"/>
      <c r="L10" s="12">
        <f t="shared" si="2"/>
        <v>82200</v>
      </c>
      <c r="M10" s="12"/>
      <c r="N10" s="12"/>
      <c r="O10" s="12"/>
      <c r="P10" s="12"/>
      <c r="Q10" s="12"/>
      <c r="R10" s="12">
        <f>+L10</f>
        <v>82200</v>
      </c>
      <c r="S10" s="12"/>
      <c r="T10" s="12"/>
      <c r="U10" s="12"/>
      <c r="V10" s="12"/>
      <c r="W10" s="12"/>
    </row>
    <row r="11" spans="1:57" ht="15.75" x14ac:dyDescent="0.25">
      <c r="A11" s="8" t="s">
        <v>8</v>
      </c>
      <c r="B11" s="14">
        <v>16100</v>
      </c>
      <c r="C11" s="9">
        <v>29650</v>
      </c>
      <c r="D11" s="9"/>
      <c r="E11" s="14">
        <f t="shared" si="0"/>
        <v>13550</v>
      </c>
      <c r="F11" s="12"/>
      <c r="G11" s="14">
        <v>13350</v>
      </c>
      <c r="H11" s="12"/>
      <c r="I11" s="12">
        <f t="shared" si="1"/>
        <v>26900</v>
      </c>
      <c r="J11" s="12"/>
      <c r="K11" s="12"/>
      <c r="L11" s="12">
        <f t="shared" si="2"/>
        <v>26900</v>
      </c>
      <c r="M11" s="12"/>
      <c r="N11" s="12"/>
      <c r="O11" s="12"/>
      <c r="P11" s="12"/>
      <c r="Q11" s="12"/>
      <c r="R11" s="12">
        <f t="shared" ref="R11:R13" si="3">+L11</f>
        <v>26900</v>
      </c>
      <c r="S11" s="12"/>
      <c r="T11" s="12"/>
      <c r="U11" s="12"/>
      <c r="V11" s="12"/>
      <c r="W11" s="12"/>
    </row>
    <row r="12" spans="1:57" ht="15.75" x14ac:dyDescent="0.25">
      <c r="A12" s="8" t="s">
        <v>9</v>
      </c>
      <c r="B12" s="14">
        <v>23250</v>
      </c>
      <c r="C12" s="9">
        <v>43700</v>
      </c>
      <c r="D12" s="9"/>
      <c r="E12" s="14">
        <f t="shared" si="0"/>
        <v>20450</v>
      </c>
      <c r="F12" s="12"/>
      <c r="G12" s="14">
        <v>20225</v>
      </c>
      <c r="H12" s="12"/>
      <c r="I12" s="12">
        <f t="shared" si="1"/>
        <v>40675</v>
      </c>
      <c r="J12" s="12"/>
      <c r="K12" s="12"/>
      <c r="L12" s="12">
        <f t="shared" si="2"/>
        <v>40675</v>
      </c>
      <c r="M12" s="12"/>
      <c r="N12" s="12"/>
      <c r="O12" s="12"/>
      <c r="P12" s="12"/>
      <c r="Q12" s="12"/>
      <c r="R12" s="12">
        <f t="shared" si="3"/>
        <v>40675</v>
      </c>
      <c r="S12" s="12"/>
      <c r="T12" s="12"/>
      <c r="U12" s="12"/>
      <c r="V12" s="12"/>
      <c r="W12" s="12"/>
    </row>
    <row r="13" spans="1:57" ht="15.75" x14ac:dyDescent="0.25">
      <c r="A13" s="8" t="s">
        <v>10</v>
      </c>
      <c r="B13" s="14">
        <v>14625</v>
      </c>
      <c r="C13" s="9">
        <v>31785</v>
      </c>
      <c r="D13" s="9"/>
      <c r="E13" s="14">
        <f t="shared" si="0"/>
        <v>17160</v>
      </c>
      <c r="F13" s="12"/>
      <c r="G13" s="14">
        <v>13065</v>
      </c>
      <c r="H13" s="12"/>
      <c r="I13" s="12">
        <f t="shared" si="1"/>
        <v>30225</v>
      </c>
      <c r="J13" s="12"/>
      <c r="K13" s="12"/>
      <c r="L13" s="12">
        <f t="shared" si="2"/>
        <v>30225</v>
      </c>
      <c r="M13" s="12"/>
      <c r="N13" s="12"/>
      <c r="O13" s="12"/>
      <c r="P13" s="12"/>
      <c r="Q13" s="12"/>
      <c r="R13" s="12">
        <f t="shared" si="3"/>
        <v>30225</v>
      </c>
      <c r="S13" s="12"/>
      <c r="T13" s="12"/>
      <c r="U13" s="12"/>
      <c r="V13" s="12"/>
      <c r="W13" s="12"/>
    </row>
    <row r="14" spans="1:57" ht="15.75" x14ac:dyDescent="0.25">
      <c r="A14" s="8" t="s">
        <v>11</v>
      </c>
      <c r="B14" s="14">
        <v>471882.22</v>
      </c>
      <c r="C14" s="9">
        <v>876339.53</v>
      </c>
      <c r="D14" s="9"/>
      <c r="E14" s="14">
        <f t="shared" si="0"/>
        <v>404457.31000000006</v>
      </c>
      <c r="F14" s="12"/>
      <c r="G14" s="14">
        <v>487200.03</v>
      </c>
      <c r="H14" s="12"/>
      <c r="I14" s="12">
        <f t="shared" si="1"/>
        <v>891657.34000000008</v>
      </c>
      <c r="J14" s="12"/>
      <c r="K14" s="12"/>
      <c r="L14" s="12">
        <f t="shared" si="2"/>
        <v>891657.34000000008</v>
      </c>
      <c r="M14" s="12"/>
      <c r="N14" s="12">
        <f>+L14</f>
        <v>891657.34000000008</v>
      </c>
      <c r="O14" s="12"/>
      <c r="P14" s="12"/>
      <c r="Q14" s="12"/>
      <c r="R14" s="12"/>
      <c r="S14" s="12"/>
      <c r="T14" s="12"/>
      <c r="U14" s="12"/>
      <c r="V14" s="12"/>
      <c r="W14" s="12"/>
    </row>
    <row r="15" spans="1:57" ht="15.75" x14ac:dyDescent="0.25">
      <c r="A15" s="8" t="s">
        <v>12</v>
      </c>
      <c r="B15" s="14">
        <v>36046</v>
      </c>
      <c r="C15" s="9">
        <v>58371.01</v>
      </c>
      <c r="D15" s="9"/>
      <c r="E15" s="14">
        <f t="shared" si="0"/>
        <v>22325.010000000002</v>
      </c>
      <c r="F15" s="12"/>
      <c r="G15" s="14">
        <v>53167.51</v>
      </c>
      <c r="H15" s="12"/>
      <c r="I15" s="12">
        <f t="shared" si="1"/>
        <v>75492.52</v>
      </c>
      <c r="J15" s="12"/>
      <c r="K15" s="12"/>
      <c r="L15" s="12">
        <f t="shared" si="2"/>
        <v>75492.52</v>
      </c>
      <c r="M15" s="12"/>
      <c r="N15" s="12"/>
      <c r="O15" s="12">
        <f>+L15</f>
        <v>75492.52</v>
      </c>
      <c r="P15" s="12"/>
      <c r="Q15" s="12"/>
      <c r="R15" s="12"/>
      <c r="S15" s="12"/>
      <c r="T15" s="12"/>
      <c r="U15" s="12"/>
      <c r="V15" s="12"/>
      <c r="W15" s="12"/>
    </row>
    <row r="16" spans="1:57" ht="15.75" x14ac:dyDescent="0.25">
      <c r="A16" s="8" t="s">
        <v>13</v>
      </c>
      <c r="B16" s="14">
        <v>10609.34</v>
      </c>
      <c r="C16" s="9">
        <v>17859.23</v>
      </c>
      <c r="D16" s="9"/>
      <c r="E16" s="14">
        <f t="shared" si="0"/>
        <v>7249.8899999999994</v>
      </c>
      <c r="F16" s="12"/>
      <c r="G16" s="14">
        <v>15372.49</v>
      </c>
      <c r="H16" s="12"/>
      <c r="I16" s="12">
        <f t="shared" si="1"/>
        <v>22622.379999999997</v>
      </c>
      <c r="J16" s="12"/>
      <c r="K16" s="12"/>
      <c r="L16" s="12">
        <f t="shared" si="2"/>
        <v>22622.379999999997</v>
      </c>
      <c r="M16" s="12"/>
      <c r="N16" s="12"/>
      <c r="O16" s="12"/>
      <c r="P16" s="12">
        <f>+L16</f>
        <v>22622.379999999997</v>
      </c>
      <c r="Q16" s="12"/>
      <c r="R16" s="12"/>
      <c r="S16" s="12"/>
      <c r="T16" s="12"/>
      <c r="U16" s="12"/>
      <c r="V16" s="12"/>
      <c r="W16" s="12"/>
    </row>
    <row r="17" spans="1:23" ht="15.75" x14ac:dyDescent="0.25">
      <c r="A17" s="8" t="s">
        <v>14</v>
      </c>
      <c r="B17" s="14">
        <v>91533.35</v>
      </c>
      <c r="C17" s="9">
        <v>169113.16</v>
      </c>
      <c r="D17" s="9"/>
      <c r="E17" s="14">
        <f t="shared" si="0"/>
        <v>77579.81</v>
      </c>
      <c r="F17" s="12"/>
      <c r="G17" s="14">
        <v>90107.27</v>
      </c>
      <c r="H17" s="12"/>
      <c r="I17" s="12">
        <f t="shared" si="1"/>
        <v>167687.08000000002</v>
      </c>
      <c r="J17" s="12"/>
      <c r="K17" s="12"/>
      <c r="L17" s="12">
        <f t="shared" si="2"/>
        <v>167687.08000000002</v>
      </c>
      <c r="M17" s="12"/>
      <c r="N17" s="12"/>
      <c r="O17" s="12"/>
      <c r="P17" s="12"/>
      <c r="Q17" s="12">
        <f>+L17</f>
        <v>167687.08000000002</v>
      </c>
      <c r="R17" s="12"/>
      <c r="S17" s="12"/>
      <c r="T17" s="12"/>
      <c r="U17" s="12"/>
      <c r="V17" s="12"/>
      <c r="W17" s="12"/>
    </row>
    <row r="18" spans="1:23" ht="15.75" x14ac:dyDescent="0.25">
      <c r="A18" s="8" t="s">
        <v>15</v>
      </c>
      <c r="B18" s="14">
        <v>1600</v>
      </c>
      <c r="C18" s="9">
        <v>7200</v>
      </c>
      <c r="D18" s="9"/>
      <c r="E18" s="14">
        <f t="shared" si="0"/>
        <v>5600</v>
      </c>
      <c r="F18" s="12"/>
      <c r="G18" s="14">
        <v>800</v>
      </c>
      <c r="H18" s="12"/>
      <c r="I18" s="12">
        <f t="shared" si="1"/>
        <v>6400</v>
      </c>
      <c r="J18" s="12"/>
      <c r="K18" s="12"/>
      <c r="L18" s="12">
        <f t="shared" si="2"/>
        <v>6400</v>
      </c>
      <c r="M18" s="12"/>
      <c r="N18" s="12"/>
      <c r="O18" s="12"/>
      <c r="P18" s="12"/>
      <c r="Q18" s="12"/>
      <c r="R18" s="12">
        <f>+L18</f>
        <v>6400</v>
      </c>
      <c r="S18" s="12"/>
      <c r="T18" s="12"/>
      <c r="U18" s="12"/>
      <c r="V18" s="12"/>
      <c r="W18" s="12"/>
    </row>
    <row r="19" spans="1:23" ht="15.75" x14ac:dyDescent="0.25">
      <c r="A19" s="8" t="s">
        <v>16</v>
      </c>
      <c r="B19" s="14">
        <v>51976.29</v>
      </c>
      <c r="C19" s="9">
        <v>99720.63</v>
      </c>
      <c r="D19" s="9"/>
      <c r="E19" s="14">
        <f t="shared" si="0"/>
        <v>47744.340000000004</v>
      </c>
      <c r="F19" s="12"/>
      <c r="G19" s="14">
        <v>60116.08</v>
      </c>
      <c r="H19" s="12"/>
      <c r="I19" s="12">
        <f t="shared" si="1"/>
        <v>107860.42000000001</v>
      </c>
      <c r="J19" s="12"/>
      <c r="K19" s="12"/>
      <c r="L19" s="12">
        <f t="shared" si="2"/>
        <v>107860.42000000001</v>
      </c>
      <c r="M19" s="12"/>
      <c r="N19" s="12"/>
      <c r="O19" s="12"/>
      <c r="P19" s="12"/>
      <c r="Q19" s="12"/>
      <c r="R19" s="12">
        <f>+L19</f>
        <v>107860.42000000001</v>
      </c>
      <c r="S19" s="12"/>
      <c r="T19" s="12"/>
      <c r="U19" s="12"/>
      <c r="V19" s="12"/>
      <c r="W19" s="12"/>
    </row>
    <row r="20" spans="1:23" ht="15.75" x14ac:dyDescent="0.25">
      <c r="A20" s="8" t="s">
        <v>17</v>
      </c>
      <c r="B20" s="14">
        <v>212189.13</v>
      </c>
      <c r="C20" s="9">
        <v>527276.05000000005</v>
      </c>
      <c r="D20" s="9"/>
      <c r="E20" s="14">
        <f t="shared" si="0"/>
        <v>315086.92000000004</v>
      </c>
      <c r="F20" s="12"/>
      <c r="G20" s="14">
        <v>328823.84000000003</v>
      </c>
      <c r="H20" s="12"/>
      <c r="I20" s="12">
        <f t="shared" si="1"/>
        <v>643910.76</v>
      </c>
      <c r="J20" s="12"/>
      <c r="K20" s="12"/>
      <c r="L20" s="12">
        <f t="shared" si="2"/>
        <v>643910.76</v>
      </c>
      <c r="M20" s="12"/>
      <c r="N20" s="12">
        <f>+L20</f>
        <v>643910.76</v>
      </c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x14ac:dyDescent="0.25">
      <c r="A21" s="8" t="s">
        <v>18</v>
      </c>
      <c r="B21" s="14">
        <v>24950.63</v>
      </c>
      <c r="C21" s="9">
        <v>49458.76</v>
      </c>
      <c r="D21" s="9"/>
      <c r="E21" s="14">
        <f t="shared" si="0"/>
        <v>24508.13</v>
      </c>
      <c r="F21" s="12"/>
      <c r="G21" s="14">
        <v>36911.25</v>
      </c>
      <c r="H21" s="12"/>
      <c r="I21" s="12">
        <f t="shared" si="1"/>
        <v>61419.380000000005</v>
      </c>
      <c r="J21" s="12"/>
      <c r="K21" s="12"/>
      <c r="L21" s="12">
        <f t="shared" si="2"/>
        <v>61419.380000000005</v>
      </c>
      <c r="M21" s="12"/>
      <c r="N21" s="12"/>
      <c r="O21" s="12">
        <f>+L21</f>
        <v>61419.380000000005</v>
      </c>
      <c r="P21" s="12"/>
      <c r="Q21" s="12"/>
      <c r="R21" s="12"/>
      <c r="S21" s="12"/>
      <c r="T21" s="12"/>
      <c r="U21" s="12"/>
      <c r="V21" s="12"/>
      <c r="W21" s="12"/>
    </row>
    <row r="22" spans="1:23" ht="15.75" x14ac:dyDescent="0.25">
      <c r="A22" s="8" t="s">
        <v>19</v>
      </c>
      <c r="B22" s="14">
        <v>8103.5</v>
      </c>
      <c r="C22" s="9">
        <v>15156.67</v>
      </c>
      <c r="D22" s="9"/>
      <c r="E22" s="14">
        <f t="shared" si="0"/>
        <v>7053.17</v>
      </c>
      <c r="F22" s="12"/>
      <c r="G22" s="14">
        <v>10302.27</v>
      </c>
      <c r="H22" s="12"/>
      <c r="I22" s="12">
        <f t="shared" si="1"/>
        <v>17355.440000000002</v>
      </c>
      <c r="J22" s="12"/>
      <c r="K22" s="12"/>
      <c r="L22" s="12">
        <f t="shared" si="2"/>
        <v>17355.440000000002</v>
      </c>
      <c r="M22" s="12"/>
      <c r="N22" s="12"/>
      <c r="O22" s="12"/>
      <c r="P22" s="12">
        <f>+L22</f>
        <v>17355.440000000002</v>
      </c>
      <c r="Q22" s="12"/>
      <c r="R22" s="12"/>
      <c r="S22" s="12"/>
      <c r="T22" s="12"/>
      <c r="U22" s="12"/>
      <c r="V22" s="12"/>
      <c r="W22" s="12"/>
    </row>
    <row r="23" spans="1:23" ht="15.75" x14ac:dyDescent="0.25">
      <c r="A23" s="8" t="s">
        <v>20</v>
      </c>
      <c r="B23" s="14">
        <v>38411.730000000003</v>
      </c>
      <c r="C23" s="9">
        <v>96838.11</v>
      </c>
      <c r="D23" s="9"/>
      <c r="E23" s="14">
        <f t="shared" si="0"/>
        <v>58426.38</v>
      </c>
      <c r="F23" s="12"/>
      <c r="G23" s="14">
        <v>59779.51</v>
      </c>
      <c r="H23" s="12"/>
      <c r="I23" s="12">
        <f t="shared" si="1"/>
        <v>118205.89</v>
      </c>
      <c r="J23" s="12"/>
      <c r="K23" s="12"/>
      <c r="L23" s="12">
        <f t="shared" si="2"/>
        <v>118205.89</v>
      </c>
      <c r="M23" s="12"/>
      <c r="N23" s="12"/>
      <c r="O23" s="12"/>
      <c r="P23" s="12"/>
      <c r="Q23" s="12">
        <f>+L23</f>
        <v>118205.89</v>
      </c>
      <c r="R23" s="12"/>
      <c r="S23" s="12"/>
      <c r="T23" s="12"/>
      <c r="U23" s="12"/>
      <c r="V23" s="12"/>
      <c r="W23" s="12"/>
    </row>
    <row r="24" spans="1:23" ht="15.75" x14ac:dyDescent="0.25">
      <c r="A24" s="8" t="s">
        <v>21</v>
      </c>
      <c r="B24" s="14">
        <v>4650</v>
      </c>
      <c r="C24" s="9">
        <v>9200</v>
      </c>
      <c r="D24" s="9"/>
      <c r="E24" s="14">
        <f t="shared" si="0"/>
        <v>4550</v>
      </c>
      <c r="F24" s="12"/>
      <c r="G24" s="14">
        <v>7050</v>
      </c>
      <c r="H24" s="12"/>
      <c r="I24" s="12">
        <f t="shared" si="1"/>
        <v>11600</v>
      </c>
      <c r="J24" s="12"/>
      <c r="K24" s="12"/>
      <c r="L24" s="12">
        <f t="shared" si="2"/>
        <v>11600</v>
      </c>
      <c r="M24" s="12"/>
      <c r="N24" s="12"/>
      <c r="O24" s="12"/>
      <c r="P24" s="12"/>
      <c r="Q24" s="12"/>
      <c r="R24" s="12">
        <f t="shared" ref="R24:R44" si="4">+L24</f>
        <v>11600</v>
      </c>
      <c r="S24" s="12"/>
      <c r="T24" s="12"/>
      <c r="U24" s="12"/>
      <c r="V24" s="12"/>
      <c r="W24" s="12"/>
    </row>
    <row r="25" spans="1:23" ht="15.75" x14ac:dyDescent="0.25">
      <c r="A25" s="8" t="s">
        <v>22</v>
      </c>
      <c r="B25" s="14">
        <v>1150</v>
      </c>
      <c r="C25" s="9">
        <v>2475</v>
      </c>
      <c r="D25" s="9"/>
      <c r="E25" s="14">
        <f t="shared" si="0"/>
        <v>1325</v>
      </c>
      <c r="F25" s="12"/>
      <c r="G25" s="14">
        <v>1900</v>
      </c>
      <c r="H25" s="12"/>
      <c r="I25" s="12">
        <f t="shared" si="1"/>
        <v>3225</v>
      </c>
      <c r="J25" s="12"/>
      <c r="K25" s="12"/>
      <c r="L25" s="12">
        <f t="shared" si="2"/>
        <v>3225</v>
      </c>
      <c r="M25" s="12"/>
      <c r="N25" s="12"/>
      <c r="O25" s="12"/>
      <c r="P25" s="12"/>
      <c r="Q25" s="12"/>
      <c r="R25" s="12">
        <f t="shared" si="4"/>
        <v>3225</v>
      </c>
      <c r="S25" s="12"/>
      <c r="T25" s="12"/>
      <c r="U25" s="12"/>
      <c r="V25" s="12"/>
      <c r="W25" s="12"/>
    </row>
    <row r="26" spans="1:23" ht="15.75" x14ac:dyDescent="0.25">
      <c r="A26" s="8" t="s">
        <v>23</v>
      </c>
      <c r="B26" s="14">
        <v>2800</v>
      </c>
      <c r="C26" s="9">
        <v>5750</v>
      </c>
      <c r="D26" s="9"/>
      <c r="E26" s="14">
        <f t="shared" si="0"/>
        <v>2950</v>
      </c>
      <c r="F26" s="12"/>
      <c r="G26" s="14">
        <v>4525</v>
      </c>
      <c r="H26" s="12"/>
      <c r="I26" s="12">
        <f t="shared" si="1"/>
        <v>7475</v>
      </c>
      <c r="J26" s="12"/>
      <c r="K26" s="12"/>
      <c r="L26" s="12">
        <f t="shared" si="2"/>
        <v>7475</v>
      </c>
      <c r="M26" s="12"/>
      <c r="N26" s="12"/>
      <c r="O26" s="12"/>
      <c r="P26" s="12"/>
      <c r="Q26" s="12"/>
      <c r="R26" s="12">
        <f t="shared" si="4"/>
        <v>7475</v>
      </c>
      <c r="S26" s="12"/>
      <c r="T26" s="12"/>
      <c r="U26" s="12"/>
      <c r="V26" s="12"/>
      <c r="W26" s="12"/>
    </row>
    <row r="27" spans="1:23" ht="15.75" x14ac:dyDescent="0.25">
      <c r="A27" s="8" t="s">
        <v>24</v>
      </c>
      <c r="B27" s="14">
        <v>390</v>
      </c>
      <c r="C27" s="9">
        <v>390</v>
      </c>
      <c r="D27" s="9"/>
      <c r="E27" s="14">
        <f t="shared" si="0"/>
        <v>0</v>
      </c>
      <c r="F27" s="12"/>
      <c r="G27" s="14">
        <v>0</v>
      </c>
      <c r="H27" s="12"/>
      <c r="I27" s="12">
        <f t="shared" si="1"/>
        <v>0</v>
      </c>
      <c r="J27" s="12"/>
      <c r="K27" s="12"/>
      <c r="L27" s="12">
        <f t="shared" si="2"/>
        <v>0</v>
      </c>
      <c r="M27" s="12"/>
      <c r="N27" s="12"/>
      <c r="O27" s="12"/>
      <c r="P27" s="12"/>
      <c r="Q27" s="12"/>
      <c r="R27" s="12">
        <f t="shared" si="4"/>
        <v>0</v>
      </c>
      <c r="S27" s="12"/>
      <c r="T27" s="12"/>
      <c r="U27" s="12"/>
      <c r="V27" s="12"/>
      <c r="W27" s="12"/>
    </row>
    <row r="28" spans="1:23" ht="15.75" x14ac:dyDescent="0.25">
      <c r="A28" s="8" t="s">
        <v>25</v>
      </c>
      <c r="B28" s="14">
        <v>144716.25</v>
      </c>
      <c r="C28" s="9">
        <v>278916.25</v>
      </c>
      <c r="D28" s="9"/>
      <c r="E28" s="14">
        <f t="shared" si="0"/>
        <v>134200</v>
      </c>
      <c r="F28" s="12"/>
      <c r="G28" s="14">
        <v>46563.75</v>
      </c>
      <c r="H28" s="12"/>
      <c r="I28" s="12">
        <f t="shared" si="1"/>
        <v>180763.75</v>
      </c>
      <c r="J28" s="12"/>
      <c r="K28" s="12"/>
      <c r="L28" s="12">
        <f t="shared" si="2"/>
        <v>180763.75</v>
      </c>
      <c r="M28" s="12"/>
      <c r="N28" s="12"/>
      <c r="O28" s="12"/>
      <c r="P28" s="12"/>
      <c r="Q28" s="12"/>
      <c r="R28" s="12">
        <f t="shared" si="4"/>
        <v>180763.75</v>
      </c>
      <c r="S28" s="12"/>
      <c r="T28" s="12"/>
      <c r="U28" s="12"/>
      <c r="V28" s="12"/>
      <c r="W28" s="12"/>
    </row>
    <row r="29" spans="1:23" ht="15.75" x14ac:dyDescent="0.25">
      <c r="A29" s="8" t="s">
        <v>26</v>
      </c>
      <c r="B29" s="14">
        <v>20767.89</v>
      </c>
      <c r="C29" s="9">
        <v>40909.949999999997</v>
      </c>
      <c r="D29" s="9"/>
      <c r="E29" s="14">
        <f t="shared" si="0"/>
        <v>20142.059999999998</v>
      </c>
      <c r="F29" s="12"/>
      <c r="G29" s="14">
        <v>8955.33</v>
      </c>
      <c r="H29" s="12"/>
      <c r="I29" s="12">
        <f t="shared" si="1"/>
        <v>29097.39</v>
      </c>
      <c r="J29" s="12"/>
      <c r="K29" s="12"/>
      <c r="L29" s="12">
        <f t="shared" si="2"/>
        <v>29097.39</v>
      </c>
      <c r="M29" s="12"/>
      <c r="N29" s="12"/>
      <c r="O29" s="12"/>
      <c r="P29" s="12"/>
      <c r="Q29" s="12"/>
      <c r="R29" s="12">
        <f t="shared" si="4"/>
        <v>29097.39</v>
      </c>
      <c r="S29" s="12"/>
      <c r="T29" s="12"/>
      <c r="U29" s="12"/>
      <c r="V29" s="12"/>
      <c r="W29" s="12"/>
    </row>
    <row r="30" spans="1:23" ht="15.75" x14ac:dyDescent="0.25">
      <c r="A30" s="8" t="s">
        <v>27</v>
      </c>
      <c r="B30" s="14">
        <v>7087.5</v>
      </c>
      <c r="C30" s="9">
        <v>15026</v>
      </c>
      <c r="D30" s="9"/>
      <c r="E30" s="14">
        <f t="shared" si="0"/>
        <v>7938.5</v>
      </c>
      <c r="F30" s="12"/>
      <c r="G30" s="14">
        <v>4350</v>
      </c>
      <c r="H30" s="12"/>
      <c r="I30" s="12">
        <f t="shared" si="1"/>
        <v>12288.5</v>
      </c>
      <c r="J30" s="12"/>
      <c r="K30" s="12"/>
      <c r="L30" s="12">
        <f t="shared" si="2"/>
        <v>12288.5</v>
      </c>
      <c r="M30" s="12"/>
      <c r="N30" s="12"/>
      <c r="O30" s="12"/>
      <c r="P30" s="12"/>
      <c r="Q30" s="12"/>
      <c r="R30" s="12">
        <f t="shared" si="4"/>
        <v>12288.5</v>
      </c>
      <c r="S30" s="12"/>
      <c r="T30" s="12"/>
      <c r="U30" s="12"/>
      <c r="V30" s="12"/>
      <c r="W30" s="12"/>
    </row>
    <row r="31" spans="1:23" ht="15.75" x14ac:dyDescent="0.25">
      <c r="A31" s="8" t="s">
        <v>28</v>
      </c>
      <c r="B31" s="14">
        <v>2800</v>
      </c>
      <c r="C31" s="9">
        <v>5500</v>
      </c>
      <c r="D31" s="9"/>
      <c r="E31" s="14">
        <f t="shared" si="0"/>
        <v>2700</v>
      </c>
      <c r="F31" s="12"/>
      <c r="G31" s="14">
        <v>1400</v>
      </c>
      <c r="H31" s="12"/>
      <c r="I31" s="12">
        <f t="shared" si="1"/>
        <v>4100</v>
      </c>
      <c r="J31" s="12"/>
      <c r="K31" s="12"/>
      <c r="L31" s="12">
        <f t="shared" si="2"/>
        <v>4100</v>
      </c>
      <c r="M31" s="12"/>
      <c r="N31" s="12"/>
      <c r="O31" s="12"/>
      <c r="P31" s="12"/>
      <c r="Q31" s="12"/>
      <c r="R31" s="12">
        <f t="shared" si="4"/>
        <v>4100</v>
      </c>
      <c r="S31" s="12"/>
      <c r="T31" s="12"/>
      <c r="U31" s="12"/>
      <c r="V31" s="12"/>
      <c r="W31" s="12"/>
    </row>
    <row r="32" spans="1:23" ht="15.75" x14ac:dyDescent="0.25">
      <c r="A32" s="8" t="s">
        <v>29</v>
      </c>
      <c r="B32" s="14">
        <v>4000</v>
      </c>
      <c r="C32" s="9">
        <v>8000</v>
      </c>
      <c r="D32" s="9"/>
      <c r="E32" s="14">
        <f t="shared" si="0"/>
        <v>4000</v>
      </c>
      <c r="F32" s="12"/>
      <c r="G32" s="14">
        <v>2075</v>
      </c>
      <c r="H32" s="12"/>
      <c r="I32" s="12">
        <f t="shared" si="1"/>
        <v>6075</v>
      </c>
      <c r="J32" s="12"/>
      <c r="K32" s="12"/>
      <c r="L32" s="12">
        <f t="shared" si="2"/>
        <v>6075</v>
      </c>
      <c r="M32" s="12"/>
      <c r="N32" s="12"/>
      <c r="O32" s="12"/>
      <c r="P32" s="12"/>
      <c r="Q32" s="12"/>
      <c r="R32" s="12">
        <f t="shared" si="4"/>
        <v>6075</v>
      </c>
      <c r="S32" s="12"/>
      <c r="T32" s="12"/>
      <c r="U32" s="12"/>
      <c r="V32" s="12"/>
      <c r="W32" s="12"/>
    </row>
    <row r="33" spans="1:23" ht="15.75" x14ac:dyDescent="0.25">
      <c r="A33" s="8" t="s">
        <v>30</v>
      </c>
      <c r="B33" s="14">
        <v>0</v>
      </c>
      <c r="C33" s="9">
        <v>125</v>
      </c>
      <c r="D33" s="9"/>
      <c r="E33" s="14">
        <f t="shared" si="0"/>
        <v>125</v>
      </c>
      <c r="F33" s="12"/>
      <c r="G33" s="14">
        <v>0</v>
      </c>
      <c r="H33" s="12"/>
      <c r="I33" s="12">
        <f t="shared" si="1"/>
        <v>125</v>
      </c>
      <c r="J33" s="12"/>
      <c r="K33" s="12"/>
      <c r="L33" s="12">
        <f t="shared" si="2"/>
        <v>125</v>
      </c>
      <c r="M33" s="12"/>
      <c r="N33" s="12"/>
      <c r="O33" s="12"/>
      <c r="P33" s="12"/>
      <c r="Q33" s="12"/>
      <c r="R33" s="12">
        <f t="shared" si="4"/>
        <v>125</v>
      </c>
      <c r="S33" s="12"/>
      <c r="T33" s="12"/>
      <c r="U33" s="12"/>
      <c r="V33" s="12"/>
      <c r="W33" s="12"/>
    </row>
    <row r="34" spans="1:23" ht="15.75" x14ac:dyDescent="0.25">
      <c r="A34" s="8" t="s">
        <v>31</v>
      </c>
      <c r="B34" s="14">
        <v>31750</v>
      </c>
      <c r="C34" s="9">
        <v>54200</v>
      </c>
      <c r="D34" s="9"/>
      <c r="E34" s="14">
        <f t="shared" si="0"/>
        <v>22450</v>
      </c>
      <c r="F34" s="12"/>
      <c r="G34" s="14">
        <v>34273.160000000003</v>
      </c>
      <c r="H34" s="12"/>
      <c r="I34" s="12">
        <f t="shared" si="1"/>
        <v>56723.16</v>
      </c>
      <c r="J34" s="12"/>
      <c r="K34" s="12"/>
      <c r="L34" s="12">
        <f t="shared" si="2"/>
        <v>56723.16</v>
      </c>
      <c r="M34" s="12"/>
      <c r="N34" s="12"/>
      <c r="O34" s="12"/>
      <c r="P34" s="12"/>
      <c r="Q34" s="12"/>
      <c r="R34" s="12">
        <f t="shared" si="4"/>
        <v>56723.16</v>
      </c>
      <c r="S34" s="12"/>
      <c r="T34" s="12"/>
      <c r="U34" s="12"/>
      <c r="V34" s="12"/>
      <c r="W34" s="12"/>
    </row>
    <row r="35" spans="1:23" ht="15.75" x14ac:dyDescent="0.25">
      <c r="A35" s="8" t="s">
        <v>32</v>
      </c>
      <c r="B35" s="14">
        <v>9950</v>
      </c>
      <c r="C35" s="9">
        <v>16700</v>
      </c>
      <c r="D35" s="9"/>
      <c r="E35" s="14">
        <f t="shared" si="0"/>
        <v>6750</v>
      </c>
      <c r="F35" s="12"/>
      <c r="G35" s="14">
        <v>10700</v>
      </c>
      <c r="H35" s="12"/>
      <c r="I35" s="12">
        <f t="shared" si="1"/>
        <v>17450</v>
      </c>
      <c r="J35" s="12"/>
      <c r="K35" s="12"/>
      <c r="L35" s="12">
        <f t="shared" si="2"/>
        <v>17450</v>
      </c>
      <c r="M35" s="12"/>
      <c r="N35" s="12"/>
      <c r="O35" s="12"/>
      <c r="P35" s="12"/>
      <c r="Q35" s="12"/>
      <c r="R35" s="12">
        <f t="shared" si="4"/>
        <v>17450</v>
      </c>
      <c r="S35" s="12"/>
      <c r="T35" s="12"/>
      <c r="U35" s="12"/>
      <c r="V35" s="12"/>
      <c r="W35" s="12"/>
    </row>
    <row r="36" spans="1:23" ht="15.75" x14ac:dyDescent="0.25">
      <c r="A36" s="8" t="s">
        <v>33</v>
      </c>
      <c r="B36" s="14">
        <v>12275</v>
      </c>
      <c r="C36" s="9">
        <v>21085.26</v>
      </c>
      <c r="D36" s="9"/>
      <c r="E36" s="14">
        <f t="shared" si="0"/>
        <v>8810.2599999999984</v>
      </c>
      <c r="F36" s="12"/>
      <c r="G36" s="14">
        <v>14525</v>
      </c>
      <c r="H36" s="12"/>
      <c r="I36" s="12">
        <f t="shared" si="1"/>
        <v>23335.26</v>
      </c>
      <c r="J36" s="12"/>
      <c r="K36" s="12"/>
      <c r="L36" s="12">
        <f t="shared" si="2"/>
        <v>23335.26</v>
      </c>
      <c r="M36" s="12"/>
      <c r="N36" s="12"/>
      <c r="O36" s="12"/>
      <c r="P36" s="12"/>
      <c r="Q36" s="12"/>
      <c r="R36" s="12">
        <f t="shared" si="4"/>
        <v>23335.26</v>
      </c>
      <c r="S36" s="12"/>
      <c r="T36" s="12"/>
      <c r="U36" s="12"/>
      <c r="V36" s="12"/>
      <c r="W36" s="12"/>
    </row>
    <row r="37" spans="1:23" ht="15.75" x14ac:dyDescent="0.25">
      <c r="A37" s="8" t="s">
        <v>34</v>
      </c>
      <c r="B37" s="14">
        <v>1560</v>
      </c>
      <c r="C37" s="9">
        <v>1560</v>
      </c>
      <c r="D37" s="9"/>
      <c r="E37" s="14">
        <f t="shared" si="0"/>
        <v>0</v>
      </c>
      <c r="F37" s="12"/>
      <c r="G37" s="14">
        <v>2340</v>
      </c>
      <c r="H37" s="12"/>
      <c r="I37" s="12">
        <f t="shared" si="1"/>
        <v>2340</v>
      </c>
      <c r="J37" s="12"/>
      <c r="K37" s="12"/>
      <c r="L37" s="12">
        <f t="shared" si="2"/>
        <v>2340</v>
      </c>
      <c r="M37" s="12"/>
      <c r="N37" s="12"/>
      <c r="O37" s="12"/>
      <c r="P37" s="12"/>
      <c r="Q37" s="12"/>
      <c r="R37" s="12">
        <f t="shared" si="4"/>
        <v>2340</v>
      </c>
      <c r="S37" s="12"/>
      <c r="T37" s="12"/>
      <c r="U37" s="12"/>
      <c r="V37" s="12"/>
      <c r="W37" s="12"/>
    </row>
    <row r="38" spans="1:23" ht="15.75" x14ac:dyDescent="0.25">
      <c r="A38" s="8" t="s">
        <v>35</v>
      </c>
      <c r="B38" s="14">
        <v>0</v>
      </c>
      <c r="C38" s="9">
        <v>515</v>
      </c>
      <c r="D38" s="9"/>
      <c r="E38" s="14">
        <f t="shared" si="0"/>
        <v>515</v>
      </c>
      <c r="F38" s="12"/>
      <c r="G38" s="14">
        <v>-1160</v>
      </c>
      <c r="H38" s="12"/>
      <c r="I38" s="12">
        <f t="shared" si="1"/>
        <v>-645</v>
      </c>
      <c r="J38" s="12"/>
      <c r="K38" s="12"/>
      <c r="L38" s="12">
        <f t="shared" si="2"/>
        <v>-645</v>
      </c>
      <c r="M38" s="12"/>
      <c r="N38" s="12"/>
      <c r="O38" s="12"/>
      <c r="P38" s="12"/>
      <c r="Q38" s="12"/>
      <c r="R38" s="12">
        <f t="shared" si="4"/>
        <v>-645</v>
      </c>
      <c r="S38" s="12"/>
      <c r="T38" s="12"/>
      <c r="U38" s="12"/>
      <c r="V38" s="12"/>
      <c r="W38" s="12"/>
    </row>
    <row r="39" spans="1:23" ht="15.75" x14ac:dyDescent="0.25">
      <c r="A39" s="8" t="s">
        <v>36</v>
      </c>
      <c r="B39" s="14">
        <v>100085</v>
      </c>
      <c r="C39" s="9">
        <v>194184.25</v>
      </c>
      <c r="D39" s="9"/>
      <c r="E39" s="14">
        <f t="shared" si="0"/>
        <v>94099.25</v>
      </c>
      <c r="F39" s="12"/>
      <c r="G39" s="14">
        <v>150315.01999999999</v>
      </c>
      <c r="H39" s="12"/>
      <c r="I39" s="12">
        <f t="shared" si="1"/>
        <v>244414.27</v>
      </c>
      <c r="J39" s="12"/>
      <c r="K39" s="12"/>
      <c r="L39" s="12">
        <f t="shared" si="2"/>
        <v>244414.27</v>
      </c>
      <c r="M39" s="12"/>
      <c r="N39" s="12"/>
      <c r="O39" s="12"/>
      <c r="P39" s="12"/>
      <c r="Q39" s="12"/>
      <c r="R39" s="12">
        <f t="shared" si="4"/>
        <v>244414.27</v>
      </c>
      <c r="S39" s="12"/>
      <c r="T39" s="12"/>
      <c r="U39" s="12"/>
      <c r="V39" s="12"/>
      <c r="W39" s="12"/>
    </row>
    <row r="40" spans="1:23" ht="15.75" x14ac:dyDescent="0.25">
      <c r="A40" s="8" t="s">
        <v>37</v>
      </c>
      <c r="B40" s="14">
        <v>13958.28</v>
      </c>
      <c r="C40" s="9">
        <v>29856.93</v>
      </c>
      <c r="D40" s="9"/>
      <c r="E40" s="14">
        <f t="shared" si="0"/>
        <v>15898.65</v>
      </c>
      <c r="F40" s="12"/>
      <c r="G40" s="14">
        <v>19766.3</v>
      </c>
      <c r="H40" s="12"/>
      <c r="I40" s="12">
        <f t="shared" si="1"/>
        <v>35664.949999999997</v>
      </c>
      <c r="J40" s="12"/>
      <c r="K40" s="12"/>
      <c r="L40" s="12">
        <f t="shared" si="2"/>
        <v>35664.949999999997</v>
      </c>
      <c r="M40" s="12"/>
      <c r="N40" s="12"/>
      <c r="O40" s="12"/>
      <c r="P40" s="12"/>
      <c r="Q40" s="12"/>
      <c r="R40" s="12">
        <f t="shared" si="4"/>
        <v>35664.949999999997</v>
      </c>
      <c r="S40" s="12"/>
      <c r="T40" s="12"/>
      <c r="U40" s="12"/>
      <c r="V40" s="12"/>
      <c r="W40" s="12"/>
    </row>
    <row r="41" spans="1:23" ht="15.75" x14ac:dyDescent="0.25">
      <c r="A41" s="8" t="s">
        <v>38</v>
      </c>
      <c r="B41" s="14">
        <v>5676.25</v>
      </c>
      <c r="C41" s="9">
        <v>11826.25</v>
      </c>
      <c r="D41" s="9"/>
      <c r="E41" s="14">
        <f t="shared" si="0"/>
        <v>6150</v>
      </c>
      <c r="F41" s="12"/>
      <c r="G41" s="14">
        <v>7200</v>
      </c>
      <c r="H41" s="12"/>
      <c r="I41" s="12">
        <f t="shared" si="1"/>
        <v>13350</v>
      </c>
      <c r="J41" s="12"/>
      <c r="K41" s="12"/>
      <c r="L41" s="12">
        <f t="shared" si="2"/>
        <v>13350</v>
      </c>
      <c r="M41" s="12"/>
      <c r="N41" s="12"/>
      <c r="O41" s="12"/>
      <c r="P41" s="12"/>
      <c r="Q41" s="12"/>
      <c r="R41" s="12">
        <f t="shared" si="4"/>
        <v>13350</v>
      </c>
      <c r="S41" s="12"/>
      <c r="T41" s="12"/>
      <c r="U41" s="12"/>
      <c r="V41" s="12"/>
      <c r="W41" s="12"/>
    </row>
    <row r="42" spans="1:23" ht="15.75" x14ac:dyDescent="0.25">
      <c r="A42" s="8" t="s">
        <v>39</v>
      </c>
      <c r="B42" s="14">
        <v>2000</v>
      </c>
      <c r="C42" s="9">
        <v>3950</v>
      </c>
      <c r="D42" s="9"/>
      <c r="E42" s="14">
        <f t="shared" si="0"/>
        <v>1950</v>
      </c>
      <c r="F42" s="12"/>
      <c r="G42" s="14">
        <v>2400</v>
      </c>
      <c r="H42" s="12"/>
      <c r="I42" s="12">
        <f t="shared" si="1"/>
        <v>4350</v>
      </c>
      <c r="J42" s="12"/>
      <c r="K42" s="12"/>
      <c r="L42" s="12">
        <f t="shared" si="2"/>
        <v>4350</v>
      </c>
      <c r="M42" s="12"/>
      <c r="N42" s="12"/>
      <c r="O42" s="12"/>
      <c r="P42" s="12"/>
      <c r="Q42" s="12"/>
      <c r="R42" s="12">
        <f t="shared" si="4"/>
        <v>4350</v>
      </c>
      <c r="S42" s="12"/>
      <c r="T42" s="12"/>
      <c r="U42" s="12"/>
      <c r="V42" s="12"/>
      <c r="W42" s="12"/>
    </row>
    <row r="43" spans="1:23" ht="15.75" x14ac:dyDescent="0.25">
      <c r="A43" s="8" t="s">
        <v>40</v>
      </c>
      <c r="B43" s="14">
        <v>3150</v>
      </c>
      <c r="C43" s="9">
        <v>6050</v>
      </c>
      <c r="D43" s="9"/>
      <c r="E43" s="14">
        <f t="shared" si="0"/>
        <v>2900</v>
      </c>
      <c r="F43" s="12"/>
      <c r="G43" s="14">
        <v>3525</v>
      </c>
      <c r="H43" s="12"/>
      <c r="I43" s="12">
        <f t="shared" si="1"/>
        <v>6425</v>
      </c>
      <c r="J43" s="12"/>
      <c r="K43" s="12"/>
      <c r="L43" s="12">
        <f t="shared" si="2"/>
        <v>6425</v>
      </c>
      <c r="M43" s="12"/>
      <c r="N43" s="12"/>
      <c r="O43" s="12"/>
      <c r="P43" s="12"/>
      <c r="Q43" s="12"/>
      <c r="R43" s="12">
        <f t="shared" si="4"/>
        <v>6425</v>
      </c>
      <c r="S43" s="12"/>
      <c r="T43" s="12"/>
      <c r="U43" s="12"/>
      <c r="V43" s="12"/>
      <c r="W43" s="12"/>
    </row>
    <row r="44" spans="1:23" ht="15.75" x14ac:dyDescent="0.25">
      <c r="A44" s="8" t="s">
        <v>41</v>
      </c>
      <c r="B44" s="14">
        <v>0</v>
      </c>
      <c r="C44" s="9">
        <v>390</v>
      </c>
      <c r="D44" s="9"/>
      <c r="E44" s="14">
        <f t="shared" si="0"/>
        <v>390</v>
      </c>
      <c r="F44" s="12"/>
      <c r="G44" s="14">
        <v>195</v>
      </c>
      <c r="H44" s="12"/>
      <c r="I44" s="12">
        <f t="shared" si="1"/>
        <v>585</v>
      </c>
      <c r="J44" s="12"/>
      <c r="K44" s="12"/>
      <c r="L44" s="12">
        <f t="shared" si="2"/>
        <v>585</v>
      </c>
      <c r="M44" s="12"/>
      <c r="N44" s="12"/>
      <c r="O44" s="12"/>
      <c r="P44" s="12"/>
      <c r="Q44" s="12"/>
      <c r="R44" s="12">
        <f t="shared" si="4"/>
        <v>585</v>
      </c>
      <c r="S44" s="12"/>
      <c r="T44" s="12"/>
      <c r="U44" s="12"/>
      <c r="V44" s="12"/>
      <c r="W44" s="12"/>
    </row>
    <row r="45" spans="1:23" ht="15.75" x14ac:dyDescent="0.25">
      <c r="A45" s="8" t="s">
        <v>42</v>
      </c>
      <c r="B45" s="14">
        <v>1912.5</v>
      </c>
      <c r="C45" s="9">
        <v>1912.5</v>
      </c>
      <c r="D45" s="9"/>
      <c r="E45" s="14">
        <f t="shared" si="0"/>
        <v>0</v>
      </c>
      <c r="F45" s="12"/>
      <c r="G45" s="14">
        <v>0</v>
      </c>
      <c r="H45" s="12"/>
      <c r="I45" s="12">
        <f t="shared" si="1"/>
        <v>0</v>
      </c>
      <c r="J45" s="12"/>
      <c r="K45" s="12"/>
      <c r="L45" s="12">
        <f t="shared" si="2"/>
        <v>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.75" x14ac:dyDescent="0.25">
      <c r="A46" s="8" t="s">
        <v>43</v>
      </c>
      <c r="B46" s="14">
        <v>1040.6400000000001</v>
      </c>
      <c r="C46" s="9">
        <v>1040.6400000000001</v>
      </c>
      <c r="D46" s="9"/>
      <c r="E46" s="14">
        <f t="shared" si="0"/>
        <v>0</v>
      </c>
      <c r="F46" s="12"/>
      <c r="G46" s="14">
        <v>0</v>
      </c>
      <c r="H46" s="12"/>
      <c r="I46" s="12">
        <f t="shared" si="1"/>
        <v>0</v>
      </c>
      <c r="J46" s="12"/>
      <c r="K46" s="12"/>
      <c r="L46" s="12">
        <f t="shared" si="2"/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 x14ac:dyDescent="0.25">
      <c r="A47" s="8" t="s">
        <v>44</v>
      </c>
      <c r="B47" s="14">
        <v>163514.82999999999</v>
      </c>
      <c r="C47" s="9">
        <v>369028.79</v>
      </c>
      <c r="D47" s="9"/>
      <c r="E47" s="14">
        <f t="shared" si="0"/>
        <v>205513.96</v>
      </c>
      <c r="F47" s="12"/>
      <c r="G47" s="14">
        <v>147186.70000000001</v>
      </c>
      <c r="H47" s="12"/>
      <c r="I47" s="12">
        <f t="shared" si="1"/>
        <v>352700.66000000003</v>
      </c>
      <c r="J47" s="12"/>
      <c r="K47" s="12"/>
      <c r="L47" s="12">
        <f t="shared" si="2"/>
        <v>352700.66000000003</v>
      </c>
      <c r="M47" s="12"/>
      <c r="N47" s="12">
        <f>+L47</f>
        <v>352700.66000000003</v>
      </c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.75" x14ac:dyDescent="0.25">
      <c r="A48" s="8" t="s">
        <v>45</v>
      </c>
      <c r="B48" s="14">
        <v>22165</v>
      </c>
      <c r="C48" s="9">
        <v>53593.75</v>
      </c>
      <c r="D48" s="9"/>
      <c r="E48" s="14">
        <f t="shared" si="0"/>
        <v>31428.75</v>
      </c>
      <c r="F48" s="12"/>
      <c r="G48" s="14">
        <v>23401.88</v>
      </c>
      <c r="H48" s="12"/>
      <c r="I48" s="12">
        <f t="shared" si="1"/>
        <v>54830.630000000005</v>
      </c>
      <c r="J48" s="12"/>
      <c r="K48" s="12"/>
      <c r="L48" s="12">
        <f t="shared" si="2"/>
        <v>54830.630000000005</v>
      </c>
      <c r="M48" s="12"/>
      <c r="N48" s="12"/>
      <c r="O48" s="12">
        <f>+L48</f>
        <v>54830.630000000005</v>
      </c>
      <c r="P48" s="12"/>
      <c r="Q48" s="12"/>
      <c r="R48" s="12"/>
      <c r="S48" s="12"/>
      <c r="T48" s="12"/>
      <c r="U48" s="12"/>
      <c r="V48" s="12"/>
      <c r="W48" s="12"/>
    </row>
    <row r="49" spans="1:23" ht="15.75" x14ac:dyDescent="0.25">
      <c r="A49" s="8" t="s">
        <v>46</v>
      </c>
      <c r="B49" s="14">
        <v>6383.15</v>
      </c>
      <c r="C49" s="9">
        <v>15205.41</v>
      </c>
      <c r="D49" s="9"/>
      <c r="E49" s="14">
        <f t="shared" si="0"/>
        <v>8822.26</v>
      </c>
      <c r="F49" s="12"/>
      <c r="G49" s="14">
        <v>5920.07</v>
      </c>
      <c r="H49" s="12"/>
      <c r="I49" s="12">
        <f t="shared" si="1"/>
        <v>14742.33</v>
      </c>
      <c r="J49" s="12"/>
      <c r="K49" s="12"/>
      <c r="L49" s="12">
        <f t="shared" si="2"/>
        <v>14742.33</v>
      </c>
      <c r="M49" s="12"/>
      <c r="N49" s="12"/>
      <c r="O49" s="12"/>
      <c r="P49" s="12">
        <f>+L49</f>
        <v>14742.33</v>
      </c>
      <c r="Q49" s="12"/>
      <c r="R49" s="12"/>
      <c r="S49" s="12"/>
      <c r="T49" s="12"/>
      <c r="U49" s="12"/>
      <c r="V49" s="12"/>
      <c r="W49" s="12"/>
    </row>
    <row r="50" spans="1:23" ht="15.75" x14ac:dyDescent="0.25">
      <c r="A50" s="8" t="s">
        <v>47</v>
      </c>
      <c r="B50" s="14">
        <v>29840.720000000001</v>
      </c>
      <c r="C50" s="9">
        <v>67552.55</v>
      </c>
      <c r="D50" s="9"/>
      <c r="E50" s="14">
        <f t="shared" si="0"/>
        <v>37711.83</v>
      </c>
      <c r="F50" s="12"/>
      <c r="G50" s="14">
        <v>27016.25</v>
      </c>
      <c r="H50" s="12"/>
      <c r="I50" s="12">
        <f t="shared" si="1"/>
        <v>64728.08</v>
      </c>
      <c r="J50" s="12"/>
      <c r="K50" s="12"/>
      <c r="L50" s="12">
        <f t="shared" si="2"/>
        <v>64728.08</v>
      </c>
      <c r="M50" s="12"/>
      <c r="N50" s="12"/>
      <c r="O50" s="12"/>
      <c r="P50" s="12"/>
      <c r="Q50" s="12">
        <f>+L50</f>
        <v>64728.08</v>
      </c>
      <c r="R50" s="12"/>
      <c r="S50" s="12"/>
      <c r="T50" s="12"/>
      <c r="U50" s="12"/>
      <c r="V50" s="12"/>
      <c r="W50" s="12"/>
    </row>
    <row r="51" spans="1:23" ht="15.75" x14ac:dyDescent="0.25">
      <c r="A51" s="8" t="s">
        <v>48</v>
      </c>
      <c r="B51" s="14">
        <v>3500</v>
      </c>
      <c r="C51" s="9">
        <v>9500</v>
      </c>
      <c r="D51" s="9"/>
      <c r="E51" s="14">
        <f t="shared" si="0"/>
        <v>6000</v>
      </c>
      <c r="F51" s="12"/>
      <c r="G51" s="14">
        <v>4650</v>
      </c>
      <c r="H51" s="12"/>
      <c r="I51" s="12">
        <f t="shared" si="1"/>
        <v>10650</v>
      </c>
      <c r="J51" s="12"/>
      <c r="K51" s="12"/>
      <c r="L51" s="12">
        <f t="shared" si="2"/>
        <v>10650</v>
      </c>
      <c r="M51" s="12"/>
      <c r="N51" s="12"/>
      <c r="O51" s="12"/>
      <c r="P51" s="12"/>
      <c r="Q51" s="12"/>
      <c r="R51" s="12">
        <f>+L51</f>
        <v>10650</v>
      </c>
      <c r="S51" s="12"/>
      <c r="T51" s="12"/>
      <c r="U51" s="12"/>
      <c r="V51" s="12"/>
      <c r="W51" s="12"/>
    </row>
    <row r="52" spans="1:23" ht="15.75" x14ac:dyDescent="0.25">
      <c r="A52" s="8" t="s">
        <v>49</v>
      </c>
      <c r="B52" s="14">
        <v>1100</v>
      </c>
      <c r="C52" s="9">
        <v>3100</v>
      </c>
      <c r="D52" s="9"/>
      <c r="E52" s="14">
        <f t="shared" si="0"/>
        <v>2000</v>
      </c>
      <c r="F52" s="12"/>
      <c r="G52" s="14">
        <v>1550</v>
      </c>
      <c r="H52" s="12"/>
      <c r="I52" s="12">
        <f t="shared" si="1"/>
        <v>3550</v>
      </c>
      <c r="J52" s="12"/>
      <c r="K52" s="12"/>
      <c r="L52" s="12">
        <f t="shared" si="2"/>
        <v>3550</v>
      </c>
      <c r="M52" s="12"/>
      <c r="N52" s="12"/>
      <c r="O52" s="12"/>
      <c r="P52" s="12"/>
      <c r="Q52" s="12"/>
      <c r="R52" s="12">
        <f>+L52</f>
        <v>3550</v>
      </c>
      <c r="S52" s="12"/>
      <c r="T52" s="12"/>
      <c r="U52" s="12"/>
      <c r="V52" s="12"/>
      <c r="W52" s="12"/>
    </row>
    <row r="53" spans="1:23" ht="15.75" x14ac:dyDescent="0.25">
      <c r="A53" s="8" t="s">
        <v>50</v>
      </c>
      <c r="B53" s="14">
        <v>1930</v>
      </c>
      <c r="C53" s="9">
        <v>5505</v>
      </c>
      <c r="D53" s="9"/>
      <c r="E53" s="14">
        <f t="shared" si="0"/>
        <v>3575</v>
      </c>
      <c r="F53" s="12"/>
      <c r="G53" s="14">
        <v>2950</v>
      </c>
      <c r="H53" s="12"/>
      <c r="I53" s="12">
        <f t="shared" si="1"/>
        <v>6525</v>
      </c>
      <c r="J53" s="12"/>
      <c r="K53" s="12"/>
      <c r="L53" s="12">
        <f t="shared" si="2"/>
        <v>6525</v>
      </c>
      <c r="M53" s="12"/>
      <c r="N53" s="12"/>
      <c r="O53" s="12"/>
      <c r="P53" s="12"/>
      <c r="Q53" s="12"/>
      <c r="R53" s="12">
        <f>+L53</f>
        <v>6525</v>
      </c>
      <c r="S53" s="12"/>
      <c r="T53" s="12"/>
      <c r="U53" s="12"/>
      <c r="V53" s="12"/>
      <c r="W53" s="12"/>
    </row>
    <row r="54" spans="1:23" ht="15.75" x14ac:dyDescent="0.25">
      <c r="A54" s="8" t="s">
        <v>51</v>
      </c>
      <c r="B54" s="14">
        <v>585</v>
      </c>
      <c r="C54" s="9">
        <v>585</v>
      </c>
      <c r="D54" s="9"/>
      <c r="E54" s="14">
        <f t="shared" si="0"/>
        <v>0</v>
      </c>
      <c r="F54" s="12"/>
      <c r="G54" s="14">
        <v>390</v>
      </c>
      <c r="H54" s="12"/>
      <c r="I54" s="12">
        <f t="shared" si="1"/>
        <v>390</v>
      </c>
      <c r="J54" s="12"/>
      <c r="K54" s="12"/>
      <c r="L54" s="12">
        <f t="shared" si="2"/>
        <v>390</v>
      </c>
      <c r="M54" s="12"/>
      <c r="N54" s="12"/>
      <c r="O54" s="12"/>
      <c r="P54" s="12"/>
      <c r="Q54" s="12"/>
      <c r="R54" s="12">
        <f>+L54</f>
        <v>390</v>
      </c>
      <c r="S54" s="12"/>
      <c r="T54" s="12"/>
      <c r="U54" s="12"/>
      <c r="V54" s="12"/>
      <c r="W54" s="12"/>
    </row>
    <row r="55" spans="1:23" ht="15.75" x14ac:dyDescent="0.25">
      <c r="A55" s="8" t="s">
        <v>52</v>
      </c>
      <c r="B55" s="14">
        <v>2548.9699999999998</v>
      </c>
      <c r="C55" s="14">
        <v>4847.3900000000003</v>
      </c>
      <c r="D55" s="14"/>
      <c r="E55" s="14">
        <f t="shared" si="0"/>
        <v>2298.4200000000005</v>
      </c>
      <c r="F55" s="12"/>
      <c r="G55" s="14">
        <v>1960.72</v>
      </c>
      <c r="H55" s="12"/>
      <c r="I55" s="12">
        <f t="shared" si="1"/>
        <v>4259.1400000000003</v>
      </c>
      <c r="J55" s="12"/>
      <c r="K55" s="12"/>
      <c r="L55" s="12">
        <f t="shared" si="2"/>
        <v>4259.1400000000003</v>
      </c>
      <c r="M55" s="12"/>
      <c r="N55" s="12"/>
      <c r="O55" s="12"/>
      <c r="P55" s="12"/>
      <c r="Q55" s="12"/>
      <c r="R55" s="12"/>
      <c r="S55" s="12">
        <f>+L55</f>
        <v>4259.1400000000003</v>
      </c>
      <c r="T55" s="12"/>
      <c r="U55" s="12"/>
      <c r="V55" s="12"/>
      <c r="W55" s="12"/>
    </row>
    <row r="56" spans="1:23" ht="15.75" x14ac:dyDescent="0.25">
      <c r="A56" s="8" t="s">
        <v>53</v>
      </c>
      <c r="B56" s="14">
        <v>0</v>
      </c>
      <c r="C56" s="14"/>
      <c r="D56" s="14"/>
      <c r="E56" s="14">
        <f t="shared" si="0"/>
        <v>0</v>
      </c>
      <c r="F56" s="12"/>
      <c r="G56" s="14">
        <v>0</v>
      </c>
      <c r="H56" s="12"/>
      <c r="I56" s="12">
        <f t="shared" si="1"/>
        <v>0</v>
      </c>
      <c r="J56" s="12"/>
      <c r="K56" s="12"/>
      <c r="L56" s="12">
        <f t="shared" si="2"/>
        <v>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.75" x14ac:dyDescent="0.25">
      <c r="A57" s="8" t="s">
        <v>54</v>
      </c>
      <c r="B57" s="15">
        <v>5207.49</v>
      </c>
      <c r="C57" s="15">
        <v>7190.87</v>
      </c>
      <c r="D57" s="20"/>
      <c r="E57" s="15">
        <f t="shared" si="0"/>
        <v>1983.38</v>
      </c>
      <c r="F57" s="22"/>
      <c r="G57" s="15">
        <v>25244.89</v>
      </c>
      <c r="H57" s="12"/>
      <c r="I57" s="16">
        <f t="shared" si="1"/>
        <v>27228.27</v>
      </c>
      <c r="J57" s="22"/>
      <c r="K57" s="22"/>
      <c r="L57" s="16">
        <f t="shared" si="2"/>
        <v>27228.27</v>
      </c>
      <c r="M57" s="12"/>
      <c r="N57" s="16"/>
      <c r="O57" s="16"/>
      <c r="P57" s="16"/>
      <c r="Q57" s="16"/>
      <c r="R57" s="16"/>
      <c r="S57" s="16"/>
      <c r="T57" s="16">
        <f>+L57</f>
        <v>27228.27</v>
      </c>
      <c r="U57" s="12"/>
      <c r="V57" s="12"/>
      <c r="W57" s="12"/>
    </row>
    <row r="58" spans="1:23" ht="15.75" x14ac:dyDescent="0.25">
      <c r="A58" s="8" t="s">
        <v>55</v>
      </c>
      <c r="B58" s="14">
        <f>SUM(B6:B57)</f>
        <v>2547645.4400000009</v>
      </c>
      <c r="C58" s="14">
        <f>SUM(C6:C57)</f>
        <v>5281154.8299999982</v>
      </c>
      <c r="D58" s="14"/>
      <c r="E58" s="14">
        <f t="shared" ref="E58:T58" si="5">SUM(E6:E57)</f>
        <v>2733509.3899999992</v>
      </c>
      <c r="F58" s="14"/>
      <c r="G58" s="14">
        <f t="shared" si="5"/>
        <v>2925343.47</v>
      </c>
      <c r="H58" s="12"/>
      <c r="I58" s="14">
        <f t="shared" si="5"/>
        <v>5658852.8599999985</v>
      </c>
      <c r="J58" s="14"/>
      <c r="K58" s="14"/>
      <c r="L58" s="14">
        <f t="shared" si="5"/>
        <v>5658852.8599999985</v>
      </c>
      <c r="M58" s="12"/>
      <c r="N58" s="14">
        <f t="shared" si="5"/>
        <v>3558398.9699999997</v>
      </c>
      <c r="O58" s="14">
        <f t="shared" si="5"/>
        <v>352137.56</v>
      </c>
      <c r="P58" s="14">
        <f t="shared" si="5"/>
        <v>98866.42</v>
      </c>
      <c r="Q58" s="14">
        <f t="shared" si="5"/>
        <v>643844.79999999993</v>
      </c>
      <c r="R58" s="14">
        <f t="shared" si="5"/>
        <v>974117.70000000007</v>
      </c>
      <c r="S58" s="14">
        <f t="shared" si="5"/>
        <v>4259.1400000000003</v>
      </c>
      <c r="T58" s="14">
        <f t="shared" si="5"/>
        <v>27228.27</v>
      </c>
      <c r="U58" s="12"/>
      <c r="V58" s="12"/>
      <c r="W58" s="12"/>
    </row>
    <row r="59" spans="1:23" customFormat="1" ht="15.75" x14ac:dyDescent="0.25">
      <c r="A59" s="10"/>
      <c r="B59" s="13"/>
      <c r="C59" s="13"/>
      <c r="D59" s="13"/>
      <c r="E59" s="13"/>
      <c r="F59" s="9"/>
      <c r="G59" s="9"/>
      <c r="H59" s="9"/>
      <c r="I59" s="9"/>
      <c r="J59" s="9"/>
      <c r="K59" s="9"/>
      <c r="L59" s="9"/>
      <c r="M59" s="9"/>
      <c r="N59" s="26">
        <f t="shared" ref="N59:Q59" si="6">+N58/$I$58</f>
        <v>0.62881984353274045</v>
      </c>
      <c r="O59" s="26">
        <f t="shared" si="6"/>
        <v>6.2227728607172177E-2</v>
      </c>
      <c r="P59" s="26">
        <f t="shared" si="6"/>
        <v>1.7471106325955967E-2</v>
      </c>
      <c r="Q59" s="26">
        <f t="shared" si="6"/>
        <v>0.11377655788703439</v>
      </c>
      <c r="R59" s="26">
        <f>+R58/$I$58</f>
        <v>0.17214048926516889</v>
      </c>
      <c r="S59" s="26">
        <f t="shared" ref="S59:T59" si="7">+S58/$I$58</f>
        <v>7.5265077664521591E-4</v>
      </c>
      <c r="T59" s="26">
        <f t="shared" si="7"/>
        <v>4.8116236052831397E-3</v>
      </c>
      <c r="U59" s="25"/>
      <c r="V59" s="25"/>
      <c r="W59" s="25"/>
    </row>
    <row r="60" spans="1:23" ht="15.75" x14ac:dyDescent="0.25">
      <c r="A60" s="6" t="s">
        <v>0</v>
      </c>
      <c r="B60" s="12"/>
      <c r="C60" s="12">
        <f>+C57+C55</f>
        <v>12038.26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x14ac:dyDescent="0.25">
      <c r="A61" s="8" t="s">
        <v>56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.75" x14ac:dyDescent="0.25">
      <c r="A62" s="8" t="s">
        <v>35</v>
      </c>
      <c r="B62" s="14">
        <v>0</v>
      </c>
      <c r="C62" s="9">
        <v>300</v>
      </c>
      <c r="D62" s="9"/>
      <c r="E62" s="14">
        <f t="shared" ref="E62:E125" si="8">+C62-B62</f>
        <v>300</v>
      </c>
      <c r="F62" s="12"/>
      <c r="G62" s="14">
        <v>186</v>
      </c>
      <c r="H62" s="12"/>
      <c r="I62" s="12">
        <f t="shared" ref="I62:I125" si="9">+E62+G62</f>
        <v>486</v>
      </c>
      <c r="J62" s="12"/>
      <c r="K62" s="12"/>
      <c r="L62" s="12">
        <f t="shared" ref="L62:L125" si="10">+I62+J62+K62</f>
        <v>486</v>
      </c>
      <c r="M62" s="12"/>
      <c r="N62" s="12"/>
      <c r="O62" s="12"/>
      <c r="P62" s="12"/>
      <c r="Q62" s="12"/>
      <c r="R62" s="12"/>
      <c r="S62" s="12"/>
      <c r="T62" s="12"/>
      <c r="U62" s="12"/>
      <c r="V62" s="12">
        <f>+L62</f>
        <v>486</v>
      </c>
      <c r="W62" s="12"/>
    </row>
    <row r="63" spans="1:23" ht="15.75" x14ac:dyDescent="0.25">
      <c r="A63" s="8" t="s">
        <v>57</v>
      </c>
      <c r="B63" s="14">
        <v>0</v>
      </c>
      <c r="C63" s="9">
        <v>0</v>
      </c>
      <c r="D63" s="9"/>
      <c r="E63" s="14">
        <f t="shared" si="8"/>
        <v>0</v>
      </c>
      <c r="F63" s="12"/>
      <c r="G63" s="14">
        <v>0</v>
      </c>
      <c r="H63" s="12"/>
      <c r="I63" s="12">
        <f t="shared" si="9"/>
        <v>0</v>
      </c>
      <c r="J63" s="12"/>
      <c r="K63" s="12"/>
      <c r="L63" s="12">
        <f t="shared" si="10"/>
        <v>0</v>
      </c>
      <c r="M63" s="12"/>
      <c r="N63" s="12"/>
      <c r="O63" s="12"/>
      <c r="P63" s="12"/>
      <c r="Q63" s="12"/>
      <c r="R63" s="12"/>
      <c r="S63" s="12"/>
      <c r="T63" s="12"/>
      <c r="U63" s="12"/>
      <c r="V63" s="12">
        <f t="shared" ref="V63:V66" si="11">+L63</f>
        <v>0</v>
      </c>
      <c r="W63" s="12"/>
    </row>
    <row r="64" spans="1:23" ht="15.75" x14ac:dyDescent="0.25">
      <c r="A64" s="8" t="s">
        <v>58</v>
      </c>
      <c r="B64" s="14">
        <v>4870.95</v>
      </c>
      <c r="C64" s="9">
        <v>5548.45</v>
      </c>
      <c r="D64" s="9"/>
      <c r="E64" s="14">
        <f t="shared" si="8"/>
        <v>677.5</v>
      </c>
      <c r="F64" s="12"/>
      <c r="G64" s="14">
        <v>1513.6</v>
      </c>
      <c r="H64" s="12"/>
      <c r="I64" s="12">
        <f t="shared" si="9"/>
        <v>2191.1</v>
      </c>
      <c r="J64" s="12"/>
      <c r="K64" s="12"/>
      <c r="L64" s="12">
        <f t="shared" si="10"/>
        <v>2191.1</v>
      </c>
      <c r="M64" s="12"/>
      <c r="N64" s="12"/>
      <c r="O64" s="12"/>
      <c r="P64" s="12"/>
      <c r="Q64" s="12"/>
      <c r="R64" s="12"/>
      <c r="S64" s="12"/>
      <c r="T64" s="12"/>
      <c r="U64" s="12"/>
      <c r="V64" s="12">
        <f t="shared" si="11"/>
        <v>2191.1</v>
      </c>
      <c r="W64" s="12"/>
    </row>
    <row r="65" spans="1:24" ht="15.75" x14ac:dyDescent="0.25">
      <c r="A65" s="8" t="s">
        <v>59</v>
      </c>
      <c r="B65" s="14">
        <v>0</v>
      </c>
      <c r="C65" s="12"/>
      <c r="D65" s="12"/>
      <c r="E65" s="14">
        <f t="shared" si="8"/>
        <v>0</v>
      </c>
      <c r="F65" s="12"/>
      <c r="G65" s="14">
        <v>597.87</v>
      </c>
      <c r="H65" s="12"/>
      <c r="I65" s="12">
        <f t="shared" si="9"/>
        <v>597.87</v>
      </c>
      <c r="J65" s="12"/>
      <c r="K65" s="12"/>
      <c r="L65" s="12">
        <f t="shared" si="10"/>
        <v>597.87</v>
      </c>
      <c r="M65" s="12"/>
      <c r="N65" s="12"/>
      <c r="O65" s="12"/>
      <c r="P65" s="12"/>
      <c r="Q65" s="12"/>
      <c r="R65" s="12"/>
      <c r="S65" s="12"/>
      <c r="T65" s="12"/>
      <c r="U65" s="12"/>
      <c r="V65" s="12">
        <f t="shared" si="11"/>
        <v>597.87</v>
      </c>
      <c r="W65" s="12"/>
    </row>
    <row r="66" spans="1:24" ht="15.75" x14ac:dyDescent="0.25">
      <c r="A66" s="8" t="s">
        <v>60</v>
      </c>
      <c r="B66" s="14">
        <v>0</v>
      </c>
      <c r="C66" s="12"/>
      <c r="D66" s="12"/>
      <c r="E66" s="14">
        <f t="shared" si="8"/>
        <v>0</v>
      </c>
      <c r="F66" s="12"/>
      <c r="G66" s="14">
        <v>363</v>
      </c>
      <c r="H66" s="12"/>
      <c r="I66" s="12">
        <f t="shared" si="9"/>
        <v>363</v>
      </c>
      <c r="J66" s="12"/>
      <c r="K66" s="12"/>
      <c r="L66" s="12">
        <f t="shared" si="10"/>
        <v>363</v>
      </c>
      <c r="M66" s="12"/>
      <c r="N66" s="12"/>
      <c r="O66" s="12"/>
      <c r="P66" s="12"/>
      <c r="Q66" s="12"/>
      <c r="R66" s="12"/>
      <c r="S66" s="12"/>
      <c r="T66" s="12"/>
      <c r="U66" s="12"/>
      <c r="V66" s="12">
        <f t="shared" si="11"/>
        <v>363</v>
      </c>
      <c r="W66" s="12"/>
    </row>
    <row r="67" spans="1:24" ht="15.75" x14ac:dyDescent="0.25">
      <c r="A67" s="8" t="s">
        <v>61</v>
      </c>
      <c r="B67" s="14">
        <v>5506.39</v>
      </c>
      <c r="C67" s="9">
        <v>13517.88</v>
      </c>
      <c r="D67" s="9"/>
      <c r="E67" s="14">
        <f t="shared" si="8"/>
        <v>8011.4899999999989</v>
      </c>
      <c r="F67" s="12"/>
      <c r="G67" s="14">
        <v>6346.39</v>
      </c>
      <c r="H67" s="12"/>
      <c r="I67" s="12">
        <f t="shared" si="9"/>
        <v>14357.88</v>
      </c>
      <c r="J67" s="12"/>
      <c r="K67" s="12"/>
      <c r="L67" s="12">
        <f t="shared" si="10"/>
        <v>14357.88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f>+L67</f>
        <v>14357.88</v>
      </c>
    </row>
    <row r="68" spans="1:24" ht="15.75" x14ac:dyDescent="0.25">
      <c r="A68" s="8" t="s">
        <v>62</v>
      </c>
      <c r="B68" s="14">
        <v>0</v>
      </c>
      <c r="C68" s="9">
        <v>0</v>
      </c>
      <c r="D68" s="9"/>
      <c r="E68" s="14">
        <f t="shared" si="8"/>
        <v>0</v>
      </c>
      <c r="F68" s="12"/>
      <c r="G68" s="14">
        <v>232.9</v>
      </c>
      <c r="H68" s="12"/>
      <c r="I68" s="12">
        <f t="shared" si="9"/>
        <v>232.9</v>
      </c>
      <c r="J68" s="12"/>
      <c r="K68" s="12"/>
      <c r="L68" s="12">
        <f t="shared" si="10"/>
        <v>232.9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>
        <f t="shared" ref="W68:W71" si="12">+L68</f>
        <v>232.9</v>
      </c>
    </row>
    <row r="69" spans="1:24" ht="15.75" x14ac:dyDescent="0.25">
      <c r="A69" s="8" t="s">
        <v>63</v>
      </c>
      <c r="B69" s="14">
        <v>13691.05</v>
      </c>
      <c r="C69" s="9">
        <v>16083.87</v>
      </c>
      <c r="D69" s="9"/>
      <c r="E69" s="14">
        <f t="shared" si="8"/>
        <v>2392.8200000000015</v>
      </c>
      <c r="F69" s="12"/>
      <c r="G69" s="14">
        <v>2023.08</v>
      </c>
      <c r="H69" s="12"/>
      <c r="I69" s="12">
        <f t="shared" si="9"/>
        <v>4415.9000000000015</v>
      </c>
      <c r="J69" s="12"/>
      <c r="K69" s="12"/>
      <c r="L69" s="12">
        <f t="shared" si="10"/>
        <v>4415.9000000000015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>
        <f t="shared" si="12"/>
        <v>4415.9000000000015</v>
      </c>
    </row>
    <row r="70" spans="1:24" ht="15.75" x14ac:dyDescent="0.25">
      <c r="A70" s="8" t="s">
        <v>64</v>
      </c>
      <c r="B70" s="14">
        <v>6053</v>
      </c>
      <c r="C70" s="9">
        <v>13639.07</v>
      </c>
      <c r="D70" s="9"/>
      <c r="E70" s="14">
        <f t="shared" si="8"/>
        <v>7586.07</v>
      </c>
      <c r="F70" s="12"/>
      <c r="G70" s="14">
        <v>9423.2000000000007</v>
      </c>
      <c r="H70" s="12"/>
      <c r="I70" s="12">
        <f t="shared" si="9"/>
        <v>17009.27</v>
      </c>
      <c r="J70" s="12"/>
      <c r="K70" s="12"/>
      <c r="L70" s="12">
        <f t="shared" si="10"/>
        <v>17009.27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>
        <f t="shared" si="12"/>
        <v>17009.27</v>
      </c>
    </row>
    <row r="71" spans="1:24" ht="15.75" x14ac:dyDescent="0.25">
      <c r="A71" s="8" t="s">
        <v>65</v>
      </c>
      <c r="B71" s="14">
        <v>0</v>
      </c>
      <c r="C71" s="9">
        <v>0</v>
      </c>
      <c r="D71" s="9"/>
      <c r="E71" s="14">
        <f t="shared" si="8"/>
        <v>0</v>
      </c>
      <c r="F71" s="12"/>
      <c r="G71" s="14">
        <v>508.7</v>
      </c>
      <c r="H71" s="12"/>
      <c r="I71" s="12">
        <f t="shared" si="9"/>
        <v>508.7</v>
      </c>
      <c r="J71" s="12"/>
      <c r="K71" s="12"/>
      <c r="L71" s="12">
        <f t="shared" si="10"/>
        <v>508.7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>
        <f t="shared" si="12"/>
        <v>508.7</v>
      </c>
    </row>
    <row r="72" spans="1:24" ht="15.75" x14ac:dyDescent="0.25">
      <c r="A72" s="8" t="s">
        <v>66</v>
      </c>
      <c r="B72" s="14">
        <v>12434.21</v>
      </c>
      <c r="C72" s="9">
        <v>20769.37</v>
      </c>
      <c r="D72" s="9"/>
      <c r="E72" s="14">
        <f t="shared" si="8"/>
        <v>8335.16</v>
      </c>
      <c r="F72" s="12"/>
      <c r="G72" s="14">
        <v>6346.71</v>
      </c>
      <c r="H72" s="12"/>
      <c r="I72" s="12">
        <f t="shared" si="9"/>
        <v>14681.869999999999</v>
      </c>
      <c r="J72" s="12"/>
      <c r="K72" s="12"/>
      <c r="L72" s="12">
        <f t="shared" si="10"/>
        <v>14681.869999999999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9">
        <f>+L72</f>
        <v>14681.869999999999</v>
      </c>
    </row>
    <row r="73" spans="1:24" ht="15.75" x14ac:dyDescent="0.25">
      <c r="A73" s="8" t="s">
        <v>67</v>
      </c>
      <c r="B73" s="14">
        <v>812.96</v>
      </c>
      <c r="C73" s="9">
        <v>2109.04</v>
      </c>
      <c r="D73" s="9"/>
      <c r="E73" s="14">
        <f t="shared" si="8"/>
        <v>1296.08</v>
      </c>
      <c r="F73" s="12"/>
      <c r="G73" s="14">
        <v>7046.42</v>
      </c>
      <c r="H73" s="12"/>
      <c r="I73" s="12">
        <f t="shared" si="9"/>
        <v>8342.5</v>
      </c>
      <c r="J73" s="12"/>
      <c r="K73" s="12"/>
      <c r="L73" s="12">
        <f t="shared" si="10"/>
        <v>8342.5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9">
        <f t="shared" ref="X73:X85" si="13">+L73</f>
        <v>8342.5</v>
      </c>
    </row>
    <row r="74" spans="1:24" ht="15.75" x14ac:dyDescent="0.25">
      <c r="A74" s="8" t="s">
        <v>68</v>
      </c>
      <c r="B74" s="14">
        <v>631.78</v>
      </c>
      <c r="C74" s="9">
        <v>1055.5999999999999</v>
      </c>
      <c r="D74" s="9"/>
      <c r="E74" s="14">
        <f t="shared" si="8"/>
        <v>423.81999999999994</v>
      </c>
      <c r="F74" s="12"/>
      <c r="G74" s="14">
        <v>233.52</v>
      </c>
      <c r="H74" s="12"/>
      <c r="I74" s="12">
        <f t="shared" si="9"/>
        <v>657.33999999999992</v>
      </c>
      <c r="J74" s="12"/>
      <c r="K74" s="12"/>
      <c r="L74" s="12">
        <f t="shared" si="10"/>
        <v>657.33999999999992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9">
        <f t="shared" si="13"/>
        <v>657.33999999999992</v>
      </c>
    </row>
    <row r="75" spans="1:24" ht="15.75" x14ac:dyDescent="0.25">
      <c r="A75" s="8" t="s">
        <v>69</v>
      </c>
      <c r="B75" s="14">
        <v>6708.17</v>
      </c>
      <c r="C75" s="9">
        <v>11438.9</v>
      </c>
      <c r="D75" s="9"/>
      <c r="E75" s="14">
        <f t="shared" si="8"/>
        <v>4730.7299999999996</v>
      </c>
      <c r="F75" s="12"/>
      <c r="G75" s="14">
        <v>7500.25</v>
      </c>
      <c r="H75" s="12"/>
      <c r="I75" s="12">
        <f t="shared" si="9"/>
        <v>12230.98</v>
      </c>
      <c r="J75" s="12"/>
      <c r="K75" s="12"/>
      <c r="L75" s="12">
        <f t="shared" si="10"/>
        <v>12230.98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9">
        <f t="shared" si="13"/>
        <v>12230.98</v>
      </c>
    </row>
    <row r="76" spans="1:24" ht="15.75" x14ac:dyDescent="0.25">
      <c r="A76" s="8" t="s">
        <v>70</v>
      </c>
      <c r="B76" s="14">
        <v>1088.76</v>
      </c>
      <c r="C76" s="9">
        <v>1503.39</v>
      </c>
      <c r="D76" s="9"/>
      <c r="E76" s="14">
        <f t="shared" si="8"/>
        <v>414.63000000000011</v>
      </c>
      <c r="F76" s="12"/>
      <c r="G76" s="14">
        <v>830.06</v>
      </c>
      <c r="H76" s="12"/>
      <c r="I76" s="12">
        <f t="shared" si="9"/>
        <v>1244.69</v>
      </c>
      <c r="J76" s="12"/>
      <c r="K76" s="12"/>
      <c r="L76" s="12">
        <f t="shared" si="10"/>
        <v>1244.69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9">
        <f t="shared" si="13"/>
        <v>1244.69</v>
      </c>
    </row>
    <row r="77" spans="1:24" ht="15.75" x14ac:dyDescent="0.25">
      <c r="A77" s="8" t="s">
        <v>71</v>
      </c>
      <c r="B77" s="14">
        <v>2289.4699999999998</v>
      </c>
      <c r="C77" s="9">
        <v>3321.44</v>
      </c>
      <c r="D77" s="9"/>
      <c r="E77" s="14">
        <f t="shared" si="8"/>
        <v>1031.9700000000003</v>
      </c>
      <c r="F77" s="12"/>
      <c r="G77" s="14">
        <v>1681.28</v>
      </c>
      <c r="H77" s="12"/>
      <c r="I77" s="12">
        <f t="shared" si="9"/>
        <v>2713.25</v>
      </c>
      <c r="J77" s="12"/>
      <c r="K77" s="12"/>
      <c r="L77" s="12">
        <f t="shared" si="10"/>
        <v>2713.25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9">
        <f t="shared" si="13"/>
        <v>2713.25</v>
      </c>
    </row>
    <row r="78" spans="1:24" ht="15.75" x14ac:dyDescent="0.25">
      <c r="A78" s="8" t="s">
        <v>72</v>
      </c>
      <c r="B78" s="14">
        <v>35014.559999999998</v>
      </c>
      <c r="C78" s="9">
        <v>84808.79</v>
      </c>
      <c r="D78" s="9"/>
      <c r="E78" s="14">
        <f t="shared" si="8"/>
        <v>49794.229999999996</v>
      </c>
      <c r="F78" s="12"/>
      <c r="G78" s="14">
        <v>46983.83</v>
      </c>
      <c r="H78" s="12"/>
      <c r="I78" s="12">
        <f t="shared" si="9"/>
        <v>96778.06</v>
      </c>
      <c r="J78" s="12"/>
      <c r="K78" s="12"/>
      <c r="L78" s="12">
        <f t="shared" si="10"/>
        <v>96778.06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9">
        <f t="shared" si="13"/>
        <v>96778.06</v>
      </c>
    </row>
    <row r="79" spans="1:24" ht="15.75" x14ac:dyDescent="0.25">
      <c r="A79" s="8" t="s">
        <v>73</v>
      </c>
      <c r="B79" s="14">
        <v>3354.69</v>
      </c>
      <c r="C79" s="9">
        <v>8470.57</v>
      </c>
      <c r="D79" s="9"/>
      <c r="E79" s="14">
        <f t="shared" si="8"/>
        <v>5115.8799999999992</v>
      </c>
      <c r="F79" s="12"/>
      <c r="G79" s="14">
        <v>5864.82</v>
      </c>
      <c r="H79" s="12"/>
      <c r="I79" s="12">
        <f t="shared" si="9"/>
        <v>10980.699999999999</v>
      </c>
      <c r="J79" s="12"/>
      <c r="K79" s="12"/>
      <c r="L79" s="12">
        <f t="shared" si="10"/>
        <v>10980.699999999999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9">
        <f t="shared" si="13"/>
        <v>10980.699999999999</v>
      </c>
    </row>
    <row r="80" spans="1:24" ht="15.75" x14ac:dyDescent="0.25">
      <c r="A80" s="8" t="s">
        <v>74</v>
      </c>
      <c r="B80" s="14">
        <v>715.29</v>
      </c>
      <c r="C80" s="9">
        <v>8036.29</v>
      </c>
      <c r="D80" s="9"/>
      <c r="E80" s="14">
        <f t="shared" si="8"/>
        <v>7321</v>
      </c>
      <c r="F80" s="12"/>
      <c r="G80" s="14">
        <v>12862.47</v>
      </c>
      <c r="H80" s="12"/>
      <c r="I80" s="12">
        <f t="shared" si="9"/>
        <v>20183.47</v>
      </c>
      <c r="J80" s="12"/>
      <c r="K80" s="12"/>
      <c r="L80" s="12">
        <f t="shared" si="10"/>
        <v>20183.47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9">
        <f t="shared" si="13"/>
        <v>20183.47</v>
      </c>
    </row>
    <row r="81" spans="1:26" ht="15.75" x14ac:dyDescent="0.25">
      <c r="A81" s="8" t="s">
        <v>75</v>
      </c>
      <c r="B81" s="14">
        <v>813.68</v>
      </c>
      <c r="C81" s="9">
        <v>2016.98</v>
      </c>
      <c r="D81" s="9"/>
      <c r="E81" s="14">
        <f t="shared" si="8"/>
        <v>1203.3000000000002</v>
      </c>
      <c r="F81" s="12"/>
      <c r="G81" s="14">
        <v>853.67</v>
      </c>
      <c r="H81" s="12"/>
      <c r="I81" s="12">
        <f t="shared" si="9"/>
        <v>2056.9700000000003</v>
      </c>
      <c r="J81" s="12"/>
      <c r="K81" s="12"/>
      <c r="L81" s="12">
        <f t="shared" si="10"/>
        <v>2056.9700000000003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9">
        <f t="shared" si="13"/>
        <v>2056.9700000000003</v>
      </c>
    </row>
    <row r="82" spans="1:26" ht="15.75" x14ac:dyDescent="0.25">
      <c r="A82" s="8" t="s">
        <v>76</v>
      </c>
      <c r="B82" s="14">
        <v>6485.76</v>
      </c>
      <c r="C82" s="9">
        <v>6485.76</v>
      </c>
      <c r="D82" s="9"/>
      <c r="E82" s="14">
        <f t="shared" si="8"/>
        <v>0</v>
      </c>
      <c r="F82" s="12"/>
      <c r="G82" s="14">
        <v>0</v>
      </c>
      <c r="H82" s="12"/>
      <c r="I82" s="12">
        <f t="shared" si="9"/>
        <v>0</v>
      </c>
      <c r="J82" s="12"/>
      <c r="K82" s="12"/>
      <c r="L82" s="12">
        <f t="shared" si="10"/>
        <v>0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>
        <f t="shared" si="13"/>
        <v>0</v>
      </c>
    </row>
    <row r="83" spans="1:26" ht="15.75" x14ac:dyDescent="0.25">
      <c r="A83" s="8" t="s">
        <v>77</v>
      </c>
      <c r="B83" s="14">
        <v>950.95</v>
      </c>
      <c r="C83" s="9">
        <v>950.95</v>
      </c>
      <c r="D83" s="9"/>
      <c r="E83" s="14">
        <f t="shared" si="8"/>
        <v>0</v>
      </c>
      <c r="F83" s="12"/>
      <c r="G83" s="14">
        <v>1486.19</v>
      </c>
      <c r="H83" s="12"/>
      <c r="I83" s="12">
        <f t="shared" si="9"/>
        <v>1486.19</v>
      </c>
      <c r="J83" s="12"/>
      <c r="K83" s="12"/>
      <c r="L83" s="12">
        <f t="shared" si="10"/>
        <v>1486.19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9">
        <f t="shared" si="13"/>
        <v>1486.19</v>
      </c>
    </row>
    <row r="84" spans="1:26" ht="15.75" x14ac:dyDescent="0.25">
      <c r="A84" s="8" t="s">
        <v>78</v>
      </c>
      <c r="B84" s="14">
        <v>5347.76</v>
      </c>
      <c r="C84" s="9">
        <v>13984.98</v>
      </c>
      <c r="D84" s="9"/>
      <c r="E84" s="14">
        <f t="shared" si="8"/>
        <v>8637.2199999999993</v>
      </c>
      <c r="F84" s="12"/>
      <c r="G84" s="14">
        <v>16152.31</v>
      </c>
      <c r="H84" s="12"/>
      <c r="I84" s="12">
        <f t="shared" si="9"/>
        <v>24789.53</v>
      </c>
      <c r="J84" s="12"/>
      <c r="K84" s="12"/>
      <c r="L84" s="12">
        <f t="shared" si="10"/>
        <v>24789.53</v>
      </c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9">
        <f t="shared" si="13"/>
        <v>24789.53</v>
      </c>
    </row>
    <row r="85" spans="1:26" ht="15.75" x14ac:dyDescent="0.25">
      <c r="A85" s="8" t="s">
        <v>79</v>
      </c>
      <c r="B85" s="14">
        <v>5866.36</v>
      </c>
      <c r="C85" s="9">
        <v>5866.36</v>
      </c>
      <c r="D85" s="9"/>
      <c r="E85" s="14">
        <f t="shared" si="8"/>
        <v>0</v>
      </c>
      <c r="F85" s="12"/>
      <c r="G85" s="14">
        <v>2383.0500000000002</v>
      </c>
      <c r="H85" s="12"/>
      <c r="I85" s="12">
        <f t="shared" si="9"/>
        <v>2383.0500000000002</v>
      </c>
      <c r="J85" s="12"/>
      <c r="K85" s="12"/>
      <c r="L85" s="12">
        <f t="shared" si="10"/>
        <v>2383.0500000000002</v>
      </c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9">
        <f t="shared" si="13"/>
        <v>2383.0500000000002</v>
      </c>
    </row>
    <row r="86" spans="1:26" ht="15.75" x14ac:dyDescent="0.25">
      <c r="A86" s="8" t="s">
        <v>80</v>
      </c>
      <c r="B86" s="14">
        <v>30585.57</v>
      </c>
      <c r="C86" s="9">
        <v>66370.539999999994</v>
      </c>
      <c r="D86" s="9"/>
      <c r="E86" s="14">
        <f t="shared" si="8"/>
        <v>35784.969999999994</v>
      </c>
      <c r="F86" s="12"/>
      <c r="G86" s="14">
        <v>43933</v>
      </c>
      <c r="H86" s="12"/>
      <c r="I86" s="12">
        <f t="shared" si="9"/>
        <v>79717.97</v>
      </c>
      <c r="J86" s="12"/>
      <c r="K86" s="12"/>
      <c r="L86" s="12">
        <f t="shared" si="10"/>
        <v>79717.97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Y86" s="19">
        <f>+L86</f>
        <v>79717.97</v>
      </c>
    </row>
    <row r="87" spans="1:26" ht="15.75" x14ac:dyDescent="0.25">
      <c r="A87" s="8" t="s">
        <v>81</v>
      </c>
      <c r="B87" s="14">
        <v>70.66</v>
      </c>
      <c r="C87" s="9">
        <v>221.42</v>
      </c>
      <c r="D87" s="9"/>
      <c r="E87" s="14">
        <f t="shared" si="8"/>
        <v>150.76</v>
      </c>
      <c r="F87" s="12"/>
      <c r="G87" s="14">
        <v>513.87</v>
      </c>
      <c r="H87" s="12"/>
      <c r="I87" s="12">
        <f t="shared" si="9"/>
        <v>664.63</v>
      </c>
      <c r="J87" s="12"/>
      <c r="K87" s="12"/>
      <c r="L87" s="12">
        <f t="shared" si="10"/>
        <v>664.63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Y87" s="19">
        <f t="shared" ref="Y87:Y91" si="14">+L87</f>
        <v>664.63</v>
      </c>
    </row>
    <row r="88" spans="1:26" ht="15.75" x14ac:dyDescent="0.25">
      <c r="A88" s="8" t="s">
        <v>82</v>
      </c>
      <c r="B88" s="14">
        <v>23805.75</v>
      </c>
      <c r="C88" s="9">
        <v>37732.519999999997</v>
      </c>
      <c r="D88" s="9"/>
      <c r="E88" s="14">
        <f t="shared" si="8"/>
        <v>13926.769999999997</v>
      </c>
      <c r="F88" s="12"/>
      <c r="G88" s="14">
        <v>9115.9500000000007</v>
      </c>
      <c r="H88" s="12"/>
      <c r="I88" s="12">
        <f t="shared" si="9"/>
        <v>23042.719999999998</v>
      </c>
      <c r="J88" s="12"/>
      <c r="K88" s="12"/>
      <c r="L88" s="12">
        <f t="shared" si="10"/>
        <v>23042.719999999998</v>
      </c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Y88" s="19">
        <f t="shared" si="14"/>
        <v>23042.719999999998</v>
      </c>
    </row>
    <row r="89" spans="1:26" ht="15.75" x14ac:dyDescent="0.25">
      <c r="A89" s="8" t="s">
        <v>83</v>
      </c>
      <c r="B89" s="14">
        <v>7245.85</v>
      </c>
      <c r="C89" s="9">
        <v>11889.73</v>
      </c>
      <c r="D89" s="9"/>
      <c r="E89" s="14">
        <f t="shared" si="8"/>
        <v>4643.8799999999992</v>
      </c>
      <c r="F89" s="12"/>
      <c r="G89" s="14">
        <v>8124.02</v>
      </c>
      <c r="H89" s="12"/>
      <c r="I89" s="12">
        <f t="shared" si="9"/>
        <v>12767.9</v>
      </c>
      <c r="J89" s="12"/>
      <c r="K89" s="12"/>
      <c r="L89" s="12">
        <f t="shared" si="10"/>
        <v>12767.9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Y89" s="19">
        <f t="shared" si="14"/>
        <v>12767.9</v>
      </c>
    </row>
    <row r="90" spans="1:26" ht="15.75" x14ac:dyDescent="0.25">
      <c r="A90" s="8" t="s">
        <v>84</v>
      </c>
      <c r="B90" s="14">
        <v>0</v>
      </c>
      <c r="C90" s="9">
        <v>2081.35</v>
      </c>
      <c r="D90" s="9"/>
      <c r="E90" s="14">
        <f t="shared" si="8"/>
        <v>2081.35</v>
      </c>
      <c r="F90" s="12"/>
      <c r="G90" s="14">
        <v>283.64999999999998</v>
      </c>
      <c r="H90" s="12"/>
      <c r="I90" s="12">
        <f t="shared" si="9"/>
        <v>2365</v>
      </c>
      <c r="J90" s="12"/>
      <c r="K90" s="12"/>
      <c r="L90" s="12">
        <f t="shared" si="10"/>
        <v>2365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Y90" s="19">
        <f t="shared" si="14"/>
        <v>2365</v>
      </c>
    </row>
    <row r="91" spans="1:26" ht="15.75" x14ac:dyDescent="0.25">
      <c r="A91" s="8" t="s">
        <v>85</v>
      </c>
      <c r="B91" s="14">
        <v>5928.68</v>
      </c>
      <c r="C91" s="9">
        <v>11974.12</v>
      </c>
      <c r="D91" s="9"/>
      <c r="E91" s="14">
        <f t="shared" si="8"/>
        <v>6045.4400000000005</v>
      </c>
      <c r="F91" s="12"/>
      <c r="G91" s="14">
        <v>6812.27</v>
      </c>
      <c r="H91" s="12"/>
      <c r="I91" s="12">
        <f t="shared" si="9"/>
        <v>12857.710000000001</v>
      </c>
      <c r="J91" s="12"/>
      <c r="K91" s="12"/>
      <c r="L91" s="12">
        <f t="shared" si="10"/>
        <v>12857.710000000001</v>
      </c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Y91" s="19">
        <f t="shared" si="14"/>
        <v>12857.710000000001</v>
      </c>
    </row>
    <row r="92" spans="1:26" ht="15.75" x14ac:dyDescent="0.25">
      <c r="A92" s="8" t="s">
        <v>86</v>
      </c>
      <c r="B92" s="14">
        <v>13591.23</v>
      </c>
      <c r="C92" s="9">
        <v>24994.86</v>
      </c>
      <c r="D92" s="9"/>
      <c r="E92" s="14">
        <f t="shared" si="8"/>
        <v>11403.630000000001</v>
      </c>
      <c r="F92" s="12"/>
      <c r="G92" s="14">
        <v>20467.740000000002</v>
      </c>
      <c r="H92" s="12"/>
      <c r="I92" s="12">
        <f t="shared" si="9"/>
        <v>31871.370000000003</v>
      </c>
      <c r="J92" s="12"/>
      <c r="K92" s="12"/>
      <c r="L92" s="12">
        <f t="shared" si="10"/>
        <v>31871.370000000003</v>
      </c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Z92" s="19">
        <f>+L92</f>
        <v>31871.370000000003</v>
      </c>
    </row>
    <row r="93" spans="1:26" ht="15.75" x14ac:dyDescent="0.25">
      <c r="A93" s="8" t="s">
        <v>87</v>
      </c>
      <c r="B93" s="14">
        <v>1076.21</v>
      </c>
      <c r="C93" s="9">
        <v>2466.15</v>
      </c>
      <c r="D93" s="9"/>
      <c r="E93" s="14">
        <f t="shared" si="8"/>
        <v>1389.94</v>
      </c>
      <c r="F93" s="12"/>
      <c r="G93" s="14">
        <v>2614.62</v>
      </c>
      <c r="H93" s="12"/>
      <c r="I93" s="12">
        <f t="shared" si="9"/>
        <v>4004.56</v>
      </c>
      <c r="J93" s="12"/>
      <c r="K93" s="12"/>
      <c r="L93" s="12">
        <f t="shared" si="10"/>
        <v>4004.56</v>
      </c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Z93" s="19">
        <f t="shared" ref="Z93:Z105" si="15">+L93</f>
        <v>4004.56</v>
      </c>
    </row>
    <row r="94" spans="1:26" ht="15.75" x14ac:dyDescent="0.25">
      <c r="A94" s="8" t="s">
        <v>88</v>
      </c>
      <c r="B94" s="14">
        <v>10444.19</v>
      </c>
      <c r="C94" s="9">
        <v>21898.55</v>
      </c>
      <c r="D94" s="9"/>
      <c r="E94" s="14">
        <f t="shared" si="8"/>
        <v>11454.359999999999</v>
      </c>
      <c r="F94" s="12"/>
      <c r="G94" s="14">
        <v>19374.02</v>
      </c>
      <c r="H94" s="12"/>
      <c r="I94" s="12">
        <f t="shared" si="9"/>
        <v>30828.379999999997</v>
      </c>
      <c r="J94" s="12"/>
      <c r="K94" s="12"/>
      <c r="L94" s="12">
        <f t="shared" si="10"/>
        <v>30828.379999999997</v>
      </c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Z94" s="19">
        <f t="shared" si="15"/>
        <v>30828.379999999997</v>
      </c>
    </row>
    <row r="95" spans="1:26" ht="15.75" x14ac:dyDescent="0.25">
      <c r="A95" s="8" t="s">
        <v>89</v>
      </c>
      <c r="B95" s="14">
        <v>72.790000000000006</v>
      </c>
      <c r="C95" s="9">
        <v>2105.16</v>
      </c>
      <c r="D95" s="9"/>
      <c r="E95" s="14">
        <f t="shared" si="8"/>
        <v>2032.37</v>
      </c>
      <c r="F95" s="12"/>
      <c r="G95" s="14">
        <v>1590.54</v>
      </c>
      <c r="H95" s="12"/>
      <c r="I95" s="12">
        <f t="shared" si="9"/>
        <v>3622.91</v>
      </c>
      <c r="J95" s="12"/>
      <c r="K95" s="12"/>
      <c r="L95" s="12">
        <f t="shared" si="10"/>
        <v>3622.91</v>
      </c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Z95" s="19">
        <f t="shared" si="15"/>
        <v>3622.91</v>
      </c>
    </row>
    <row r="96" spans="1:26" ht="15.75" x14ac:dyDescent="0.25">
      <c r="A96" s="8" t="s">
        <v>90</v>
      </c>
      <c r="B96" s="14">
        <v>20039.16</v>
      </c>
      <c r="C96" s="9">
        <v>30627.040000000001</v>
      </c>
      <c r="D96" s="9"/>
      <c r="E96" s="14">
        <f t="shared" si="8"/>
        <v>10587.880000000001</v>
      </c>
      <c r="F96" s="12"/>
      <c r="G96" s="14">
        <v>1600.02</v>
      </c>
      <c r="H96" s="12"/>
      <c r="I96" s="12">
        <f t="shared" si="9"/>
        <v>12187.900000000001</v>
      </c>
      <c r="J96" s="12"/>
      <c r="K96" s="12"/>
      <c r="L96" s="12">
        <f t="shared" si="10"/>
        <v>12187.900000000001</v>
      </c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Z96" s="19">
        <f t="shared" si="15"/>
        <v>12187.900000000001</v>
      </c>
    </row>
    <row r="97" spans="1:28" ht="15.75" x14ac:dyDescent="0.25">
      <c r="A97" s="8" t="s">
        <v>91</v>
      </c>
      <c r="B97" s="14">
        <v>89301.09</v>
      </c>
      <c r="C97" s="9">
        <v>148259.37</v>
      </c>
      <c r="D97" s="9"/>
      <c r="E97" s="14">
        <f t="shared" si="8"/>
        <v>58958.28</v>
      </c>
      <c r="F97" s="12"/>
      <c r="G97" s="14">
        <v>48576.81</v>
      </c>
      <c r="H97" s="12"/>
      <c r="I97" s="12">
        <f t="shared" si="9"/>
        <v>107535.09</v>
      </c>
      <c r="J97" s="12"/>
      <c r="K97" s="12"/>
      <c r="L97" s="12">
        <f t="shared" si="10"/>
        <v>107535.09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Z97" s="19">
        <f t="shared" si="15"/>
        <v>107535.09</v>
      </c>
    </row>
    <row r="98" spans="1:28" ht="15.75" x14ac:dyDescent="0.25">
      <c r="A98" s="8" t="s">
        <v>92</v>
      </c>
      <c r="B98" s="14">
        <v>13807.64</v>
      </c>
      <c r="C98" s="9">
        <v>23107.72</v>
      </c>
      <c r="D98" s="9"/>
      <c r="E98" s="14">
        <f t="shared" si="8"/>
        <v>9300.0800000000017</v>
      </c>
      <c r="F98" s="12"/>
      <c r="G98" s="14">
        <v>13397.12</v>
      </c>
      <c r="H98" s="12"/>
      <c r="I98" s="12">
        <f t="shared" si="9"/>
        <v>22697.200000000004</v>
      </c>
      <c r="J98" s="12"/>
      <c r="K98" s="12"/>
      <c r="L98" s="12">
        <f t="shared" si="10"/>
        <v>22697.200000000004</v>
      </c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Z98" s="19">
        <f t="shared" si="15"/>
        <v>22697.200000000004</v>
      </c>
    </row>
    <row r="99" spans="1:28" ht="15.75" x14ac:dyDescent="0.25">
      <c r="A99" s="8" t="s">
        <v>93</v>
      </c>
      <c r="B99" s="14">
        <v>11527.77</v>
      </c>
      <c r="C99" s="9">
        <v>23350.11</v>
      </c>
      <c r="D99" s="9"/>
      <c r="E99" s="14">
        <f t="shared" si="8"/>
        <v>11822.34</v>
      </c>
      <c r="F99" s="12"/>
      <c r="G99" s="14">
        <v>14963.84</v>
      </c>
      <c r="H99" s="12"/>
      <c r="I99" s="12">
        <f t="shared" si="9"/>
        <v>26786.18</v>
      </c>
      <c r="J99" s="12"/>
      <c r="K99" s="12"/>
      <c r="L99" s="12">
        <f t="shared" si="10"/>
        <v>26786.18</v>
      </c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Z99" s="19">
        <f t="shared" si="15"/>
        <v>26786.18</v>
      </c>
    </row>
    <row r="100" spans="1:28" ht="15.75" x14ac:dyDescent="0.25">
      <c r="A100" s="8" t="s">
        <v>94</v>
      </c>
      <c r="B100" s="14">
        <v>9125.7099999999991</v>
      </c>
      <c r="C100" s="9">
        <v>20040.11</v>
      </c>
      <c r="D100" s="9"/>
      <c r="E100" s="14">
        <f t="shared" si="8"/>
        <v>10914.400000000001</v>
      </c>
      <c r="F100" s="12"/>
      <c r="G100" s="14">
        <v>18444.740000000002</v>
      </c>
      <c r="H100" s="12"/>
      <c r="I100" s="12">
        <f t="shared" si="9"/>
        <v>29359.140000000003</v>
      </c>
      <c r="J100" s="12"/>
      <c r="K100" s="12"/>
      <c r="L100" s="12">
        <f t="shared" si="10"/>
        <v>29359.140000000003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Z100" s="19">
        <f t="shared" si="15"/>
        <v>29359.140000000003</v>
      </c>
    </row>
    <row r="101" spans="1:28" ht="15.75" x14ac:dyDescent="0.25">
      <c r="A101" s="8" t="s">
        <v>95</v>
      </c>
      <c r="B101" s="14">
        <v>15214.74</v>
      </c>
      <c r="C101" s="9">
        <v>21005.15</v>
      </c>
      <c r="D101" s="9"/>
      <c r="E101" s="14">
        <f t="shared" si="8"/>
        <v>5790.4100000000017</v>
      </c>
      <c r="F101" s="12"/>
      <c r="G101" s="14">
        <v>16539.63</v>
      </c>
      <c r="H101" s="12"/>
      <c r="I101" s="12">
        <f t="shared" si="9"/>
        <v>22330.04</v>
      </c>
      <c r="J101" s="12"/>
      <c r="K101" s="12"/>
      <c r="L101" s="12">
        <f t="shared" si="10"/>
        <v>22330.04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Z101" s="19">
        <f t="shared" si="15"/>
        <v>22330.04</v>
      </c>
    </row>
    <row r="102" spans="1:28" ht="15.75" x14ac:dyDescent="0.25">
      <c r="A102" s="8" t="s">
        <v>96</v>
      </c>
      <c r="B102" s="14">
        <v>702.29</v>
      </c>
      <c r="C102" s="9">
        <v>2873.54</v>
      </c>
      <c r="D102" s="9"/>
      <c r="E102" s="14">
        <f t="shared" si="8"/>
        <v>2171.25</v>
      </c>
      <c r="F102" s="12"/>
      <c r="G102" s="14">
        <v>1166.83</v>
      </c>
      <c r="H102" s="12"/>
      <c r="I102" s="12">
        <f t="shared" si="9"/>
        <v>3338.08</v>
      </c>
      <c r="J102" s="12"/>
      <c r="K102" s="12"/>
      <c r="L102" s="12">
        <f t="shared" si="10"/>
        <v>3338.08</v>
      </c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Z102" s="19">
        <f t="shared" si="15"/>
        <v>3338.08</v>
      </c>
    </row>
    <row r="103" spans="1:28" ht="15.75" x14ac:dyDescent="0.25">
      <c r="A103" s="8" t="s">
        <v>97</v>
      </c>
      <c r="B103" s="14">
        <v>29416.84</v>
      </c>
      <c r="C103" s="9">
        <v>-7119.02</v>
      </c>
      <c r="D103" s="9"/>
      <c r="E103" s="14">
        <f t="shared" si="8"/>
        <v>-36535.86</v>
      </c>
      <c r="F103" s="12"/>
      <c r="G103" s="14">
        <v>19874.98</v>
      </c>
      <c r="H103" s="12"/>
      <c r="I103" s="12">
        <f t="shared" si="9"/>
        <v>-16660.88</v>
      </c>
      <c r="J103" s="12"/>
      <c r="K103" s="12"/>
      <c r="L103" s="12">
        <f t="shared" si="10"/>
        <v>-16660.88</v>
      </c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Z103" s="19">
        <f t="shared" si="15"/>
        <v>-16660.88</v>
      </c>
    </row>
    <row r="104" spans="1:28" ht="15.75" x14ac:dyDescent="0.25">
      <c r="A104" s="8" t="s">
        <v>98</v>
      </c>
      <c r="B104" s="14">
        <v>14649.17</v>
      </c>
      <c r="C104" s="9">
        <v>21697.88</v>
      </c>
      <c r="D104" s="9"/>
      <c r="E104" s="14">
        <f t="shared" si="8"/>
        <v>7048.7100000000009</v>
      </c>
      <c r="F104" s="12"/>
      <c r="G104" s="14">
        <v>9185.01</v>
      </c>
      <c r="H104" s="12"/>
      <c r="I104" s="12">
        <f t="shared" si="9"/>
        <v>16233.720000000001</v>
      </c>
      <c r="J104" s="12"/>
      <c r="K104" s="12"/>
      <c r="L104" s="12">
        <f t="shared" si="10"/>
        <v>16233.720000000001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Z104" s="19">
        <f t="shared" si="15"/>
        <v>16233.720000000001</v>
      </c>
    </row>
    <row r="105" spans="1:28" ht="15.75" x14ac:dyDescent="0.25">
      <c r="A105" s="8" t="s">
        <v>99</v>
      </c>
      <c r="B105" s="14">
        <v>15301.82</v>
      </c>
      <c r="C105" s="9">
        <v>30228.13</v>
      </c>
      <c r="D105" s="9"/>
      <c r="E105" s="14">
        <f t="shared" si="8"/>
        <v>14926.310000000001</v>
      </c>
      <c r="F105" s="12"/>
      <c r="G105" s="14">
        <v>6888.55</v>
      </c>
      <c r="H105" s="12"/>
      <c r="I105" s="12">
        <f t="shared" si="9"/>
        <v>21814.86</v>
      </c>
      <c r="J105" s="12"/>
      <c r="K105" s="12"/>
      <c r="L105" s="12">
        <f t="shared" si="10"/>
        <v>21814.86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Z105" s="19">
        <f t="shared" si="15"/>
        <v>21814.86</v>
      </c>
    </row>
    <row r="106" spans="1:28" ht="15.75" x14ac:dyDescent="0.25">
      <c r="A106" s="8" t="s">
        <v>100</v>
      </c>
      <c r="B106" s="14">
        <v>399.51</v>
      </c>
      <c r="C106" s="9">
        <v>399.51</v>
      </c>
      <c r="D106" s="9"/>
      <c r="E106" s="14">
        <f t="shared" si="8"/>
        <v>0</v>
      </c>
      <c r="F106" s="12"/>
      <c r="G106" s="14">
        <v>4307</v>
      </c>
      <c r="H106" s="12"/>
      <c r="I106" s="12">
        <f t="shared" si="9"/>
        <v>4307</v>
      </c>
      <c r="J106" s="12"/>
      <c r="K106" s="12"/>
      <c r="L106" s="12">
        <f t="shared" si="10"/>
        <v>4307</v>
      </c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AA106" s="19">
        <f>+L106</f>
        <v>4307</v>
      </c>
    </row>
    <row r="107" spans="1:28" ht="15.75" x14ac:dyDescent="0.25">
      <c r="A107" s="8" t="s">
        <v>101</v>
      </c>
      <c r="B107" s="14">
        <v>4142.3100000000004</v>
      </c>
      <c r="C107" s="9">
        <v>4142.3100000000004</v>
      </c>
      <c r="D107" s="9"/>
      <c r="E107" s="14">
        <f t="shared" si="8"/>
        <v>0</v>
      </c>
      <c r="F107" s="12"/>
      <c r="G107" s="14">
        <v>27.98</v>
      </c>
      <c r="H107" s="12"/>
      <c r="I107" s="12">
        <f t="shared" si="9"/>
        <v>27.98</v>
      </c>
      <c r="J107" s="12"/>
      <c r="K107" s="12"/>
      <c r="L107" s="12">
        <f t="shared" si="10"/>
        <v>27.98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AB107" s="19">
        <f>+L107</f>
        <v>27.98</v>
      </c>
    </row>
    <row r="108" spans="1:28" ht="15.75" x14ac:dyDescent="0.25">
      <c r="A108" s="8" t="s">
        <v>102</v>
      </c>
      <c r="B108" s="14">
        <v>0</v>
      </c>
      <c r="C108" s="9">
        <v>871.54</v>
      </c>
      <c r="D108" s="9"/>
      <c r="E108" s="14">
        <f t="shared" si="8"/>
        <v>871.54</v>
      </c>
      <c r="F108" s="12"/>
      <c r="G108" s="14">
        <v>525.96</v>
      </c>
      <c r="H108" s="12"/>
      <c r="I108" s="12">
        <f t="shared" si="9"/>
        <v>1397.5</v>
      </c>
      <c r="J108" s="12"/>
      <c r="K108" s="12"/>
      <c r="L108" s="12">
        <f t="shared" si="10"/>
        <v>1397.5</v>
      </c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AB108" s="19">
        <f t="shared" ref="AB108:AB120" si="16">+L108</f>
        <v>1397.5</v>
      </c>
    </row>
    <row r="109" spans="1:28" ht="15.75" x14ac:dyDescent="0.25">
      <c r="A109" s="8" t="s">
        <v>103</v>
      </c>
      <c r="B109" s="14">
        <v>828.25</v>
      </c>
      <c r="C109" s="9">
        <v>867.36</v>
      </c>
      <c r="D109" s="9"/>
      <c r="E109" s="14">
        <f t="shared" si="8"/>
        <v>39.110000000000014</v>
      </c>
      <c r="F109" s="12"/>
      <c r="G109" s="14">
        <v>1481.69</v>
      </c>
      <c r="H109" s="12"/>
      <c r="I109" s="12">
        <f t="shared" si="9"/>
        <v>1520.8000000000002</v>
      </c>
      <c r="J109" s="12"/>
      <c r="K109" s="12"/>
      <c r="L109" s="12">
        <f t="shared" si="10"/>
        <v>1520.8000000000002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AB109" s="19">
        <f t="shared" si="16"/>
        <v>1520.8000000000002</v>
      </c>
    </row>
    <row r="110" spans="1:28" ht="15.75" x14ac:dyDescent="0.25">
      <c r="A110" s="8" t="s">
        <v>104</v>
      </c>
      <c r="B110" s="14">
        <v>0</v>
      </c>
      <c r="C110" s="9">
        <v>110.19</v>
      </c>
      <c r="D110" s="9"/>
      <c r="E110" s="14">
        <f t="shared" si="8"/>
        <v>110.19</v>
      </c>
      <c r="F110" s="12"/>
      <c r="G110" s="14">
        <v>0</v>
      </c>
      <c r="H110" s="12"/>
      <c r="I110" s="12">
        <f t="shared" si="9"/>
        <v>110.19</v>
      </c>
      <c r="J110" s="12"/>
      <c r="K110" s="12"/>
      <c r="L110" s="12">
        <f t="shared" si="10"/>
        <v>110.19</v>
      </c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AB110" s="19">
        <f t="shared" si="16"/>
        <v>110.19</v>
      </c>
    </row>
    <row r="111" spans="1:28" ht="15.75" x14ac:dyDescent="0.25">
      <c r="A111" s="8" t="s">
        <v>105</v>
      </c>
      <c r="B111" s="14">
        <v>2320.46</v>
      </c>
      <c r="C111" s="9">
        <v>4497.8100000000004</v>
      </c>
      <c r="D111" s="9"/>
      <c r="E111" s="14">
        <f t="shared" si="8"/>
        <v>2177.3500000000004</v>
      </c>
      <c r="F111" s="12"/>
      <c r="G111" s="14">
        <v>2616.88</v>
      </c>
      <c r="H111" s="12"/>
      <c r="I111" s="12">
        <f t="shared" si="9"/>
        <v>4794.2300000000005</v>
      </c>
      <c r="J111" s="12"/>
      <c r="K111" s="12"/>
      <c r="L111" s="12">
        <f t="shared" si="10"/>
        <v>4794.2300000000005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AB111" s="19">
        <f t="shared" si="16"/>
        <v>4794.2300000000005</v>
      </c>
    </row>
    <row r="112" spans="1:28" ht="15.75" x14ac:dyDescent="0.25">
      <c r="A112" s="8" t="s">
        <v>106</v>
      </c>
      <c r="B112" s="14">
        <v>39396.29</v>
      </c>
      <c r="C112" s="9">
        <v>74179.649999999994</v>
      </c>
      <c r="D112" s="9"/>
      <c r="E112" s="14">
        <f t="shared" si="8"/>
        <v>34783.359999999993</v>
      </c>
      <c r="F112" s="12"/>
      <c r="G112" s="14">
        <v>40970.870000000003</v>
      </c>
      <c r="H112" s="12"/>
      <c r="I112" s="12">
        <f t="shared" si="9"/>
        <v>75754.23</v>
      </c>
      <c r="J112" s="12"/>
      <c r="K112" s="12"/>
      <c r="L112" s="12">
        <f t="shared" si="10"/>
        <v>75754.23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AB112" s="19">
        <f t="shared" si="16"/>
        <v>75754.23</v>
      </c>
    </row>
    <row r="113" spans="1:30" ht="15.75" x14ac:dyDescent="0.25">
      <c r="A113" s="8" t="s">
        <v>107</v>
      </c>
      <c r="B113" s="14">
        <v>1300.45</v>
      </c>
      <c r="C113" s="9">
        <v>1363.3</v>
      </c>
      <c r="D113" s="9"/>
      <c r="E113" s="14">
        <f t="shared" si="8"/>
        <v>62.849999999999909</v>
      </c>
      <c r="F113" s="12"/>
      <c r="G113" s="14">
        <v>632.54</v>
      </c>
      <c r="H113" s="12"/>
      <c r="I113" s="12">
        <f t="shared" si="9"/>
        <v>695.38999999999987</v>
      </c>
      <c r="J113" s="12"/>
      <c r="K113" s="12"/>
      <c r="L113" s="12">
        <f t="shared" si="10"/>
        <v>695.38999999999987</v>
      </c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AB113" s="19">
        <f t="shared" si="16"/>
        <v>695.38999999999987</v>
      </c>
    </row>
    <row r="114" spans="1:30" ht="15.75" x14ac:dyDescent="0.25">
      <c r="A114" s="8" t="s">
        <v>108</v>
      </c>
      <c r="B114" s="14">
        <v>1374.5</v>
      </c>
      <c r="C114" s="9">
        <v>1793.97</v>
      </c>
      <c r="D114" s="9"/>
      <c r="E114" s="14">
        <f t="shared" si="8"/>
        <v>419.47</v>
      </c>
      <c r="F114" s="12"/>
      <c r="G114" s="14">
        <v>191.83</v>
      </c>
      <c r="H114" s="12"/>
      <c r="I114" s="12">
        <f t="shared" si="9"/>
        <v>611.30000000000007</v>
      </c>
      <c r="J114" s="12"/>
      <c r="K114" s="12"/>
      <c r="L114" s="12">
        <f t="shared" si="10"/>
        <v>611.30000000000007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AB114" s="19">
        <f t="shared" si="16"/>
        <v>611.30000000000007</v>
      </c>
    </row>
    <row r="115" spans="1:30" ht="15.75" x14ac:dyDescent="0.25">
      <c r="A115" s="8" t="s">
        <v>109</v>
      </c>
      <c r="B115" s="14">
        <v>976.34</v>
      </c>
      <c r="C115" s="9">
        <v>2219.84</v>
      </c>
      <c r="D115" s="9"/>
      <c r="E115" s="14">
        <f t="shared" si="8"/>
        <v>1243.5</v>
      </c>
      <c r="F115" s="12"/>
      <c r="G115" s="14">
        <v>0</v>
      </c>
      <c r="H115" s="12"/>
      <c r="I115" s="12">
        <f t="shared" si="9"/>
        <v>1243.5</v>
      </c>
      <c r="J115" s="12"/>
      <c r="K115" s="12"/>
      <c r="L115" s="12">
        <f t="shared" si="10"/>
        <v>1243.5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AB115" s="19">
        <f t="shared" si="16"/>
        <v>1243.5</v>
      </c>
    </row>
    <row r="116" spans="1:30" ht="15.75" x14ac:dyDescent="0.25">
      <c r="A116" s="8" t="s">
        <v>110</v>
      </c>
      <c r="B116" s="14">
        <v>0</v>
      </c>
      <c r="C116" s="9">
        <v>0</v>
      </c>
      <c r="D116" s="9"/>
      <c r="E116" s="14">
        <f t="shared" si="8"/>
        <v>0</v>
      </c>
      <c r="F116" s="12"/>
      <c r="G116" s="14">
        <v>270.33999999999997</v>
      </c>
      <c r="H116" s="12"/>
      <c r="I116" s="12">
        <f t="shared" si="9"/>
        <v>270.33999999999997</v>
      </c>
      <c r="J116" s="12"/>
      <c r="K116" s="12"/>
      <c r="L116" s="12">
        <f t="shared" si="10"/>
        <v>270.33999999999997</v>
      </c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AB116" s="19">
        <f t="shared" si="16"/>
        <v>270.33999999999997</v>
      </c>
    </row>
    <row r="117" spans="1:30" ht="15.75" x14ac:dyDescent="0.25">
      <c r="A117" s="8" t="s">
        <v>111</v>
      </c>
      <c r="B117" s="14">
        <v>14.64</v>
      </c>
      <c r="C117" s="9">
        <v>20.48</v>
      </c>
      <c r="D117" s="9"/>
      <c r="E117" s="14">
        <f t="shared" si="8"/>
        <v>5.84</v>
      </c>
      <c r="F117" s="12"/>
      <c r="G117" s="14">
        <v>0</v>
      </c>
      <c r="H117" s="12"/>
      <c r="I117" s="12">
        <f t="shared" si="9"/>
        <v>5.84</v>
      </c>
      <c r="J117" s="12"/>
      <c r="K117" s="12"/>
      <c r="L117" s="12">
        <f t="shared" si="10"/>
        <v>5.84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AB117" s="19">
        <f t="shared" si="16"/>
        <v>5.84</v>
      </c>
    </row>
    <row r="118" spans="1:30" ht="15.75" x14ac:dyDescent="0.25">
      <c r="A118" s="8" t="s">
        <v>112</v>
      </c>
      <c r="B118" s="14">
        <v>1177.55</v>
      </c>
      <c r="C118" s="9">
        <v>1246.3499999999999</v>
      </c>
      <c r="D118" s="9"/>
      <c r="E118" s="14">
        <f t="shared" si="8"/>
        <v>68.799999999999955</v>
      </c>
      <c r="F118" s="12"/>
      <c r="G118" s="14">
        <v>725.18</v>
      </c>
      <c r="H118" s="12"/>
      <c r="I118" s="12">
        <f t="shared" si="9"/>
        <v>793.9799999999999</v>
      </c>
      <c r="J118" s="12"/>
      <c r="K118" s="12"/>
      <c r="L118" s="12">
        <f t="shared" si="10"/>
        <v>793.9799999999999</v>
      </c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AB118" s="19">
        <f t="shared" si="16"/>
        <v>793.9799999999999</v>
      </c>
    </row>
    <row r="119" spans="1:30" ht="15.75" x14ac:dyDescent="0.25">
      <c r="A119" s="8" t="s">
        <v>113</v>
      </c>
      <c r="B119" s="14">
        <v>955.74</v>
      </c>
      <c r="C119" s="9">
        <v>1010</v>
      </c>
      <c r="D119" s="9"/>
      <c r="E119" s="14">
        <f t="shared" si="8"/>
        <v>54.259999999999991</v>
      </c>
      <c r="F119" s="12"/>
      <c r="G119" s="14">
        <v>1335.45</v>
      </c>
      <c r="H119" s="12"/>
      <c r="I119" s="12">
        <f t="shared" si="9"/>
        <v>1389.71</v>
      </c>
      <c r="J119" s="12"/>
      <c r="K119" s="12"/>
      <c r="L119" s="12">
        <f t="shared" si="10"/>
        <v>1389.71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AB119" s="19">
        <f t="shared" si="16"/>
        <v>1389.71</v>
      </c>
    </row>
    <row r="120" spans="1:30" ht="15.75" x14ac:dyDescent="0.25">
      <c r="A120" s="8" t="s">
        <v>114</v>
      </c>
      <c r="B120" s="14">
        <v>24.72</v>
      </c>
      <c r="C120" s="9">
        <v>173.32</v>
      </c>
      <c r="D120" s="9"/>
      <c r="E120" s="14">
        <f t="shared" si="8"/>
        <v>148.6</v>
      </c>
      <c r="F120" s="12"/>
      <c r="G120" s="14">
        <v>1254.71</v>
      </c>
      <c r="H120" s="12"/>
      <c r="I120" s="12">
        <f t="shared" si="9"/>
        <v>1403.31</v>
      </c>
      <c r="J120" s="12"/>
      <c r="K120" s="12"/>
      <c r="L120" s="12">
        <f t="shared" si="10"/>
        <v>1403.31</v>
      </c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AB120" s="19">
        <f t="shared" si="16"/>
        <v>1403.31</v>
      </c>
    </row>
    <row r="121" spans="1:30" ht="15.75" x14ac:dyDescent="0.25">
      <c r="A121" s="8" t="s">
        <v>115</v>
      </c>
      <c r="B121" s="14">
        <v>0</v>
      </c>
      <c r="C121" s="9">
        <v>1200.1500000000001</v>
      </c>
      <c r="D121" s="9"/>
      <c r="E121" s="14">
        <f t="shared" si="8"/>
        <v>1200.1500000000001</v>
      </c>
      <c r="F121" s="12"/>
      <c r="G121" s="14">
        <v>0</v>
      </c>
      <c r="H121" s="12"/>
      <c r="I121" s="12">
        <f t="shared" si="9"/>
        <v>1200.1500000000001</v>
      </c>
      <c r="J121" s="12"/>
      <c r="K121" s="12"/>
      <c r="L121" s="12">
        <f t="shared" si="10"/>
        <v>1200.1500000000001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AC121" s="19">
        <f>+L121</f>
        <v>1200.1500000000001</v>
      </c>
    </row>
    <row r="122" spans="1:30" ht="15.75" x14ac:dyDescent="0.25">
      <c r="A122" s="8" t="s">
        <v>116</v>
      </c>
      <c r="B122" s="14">
        <v>3816</v>
      </c>
      <c r="C122" s="9">
        <v>1284.04</v>
      </c>
      <c r="D122" s="9"/>
      <c r="E122" s="14">
        <f t="shared" si="8"/>
        <v>-2531.96</v>
      </c>
      <c r="F122" s="12"/>
      <c r="G122" s="14">
        <v>785.62</v>
      </c>
      <c r="H122" s="12"/>
      <c r="I122" s="12">
        <f t="shared" si="9"/>
        <v>-1746.3400000000001</v>
      </c>
      <c r="J122" s="12"/>
      <c r="K122" s="12"/>
      <c r="L122" s="12">
        <f t="shared" si="10"/>
        <v>-1746.3400000000001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AC122" s="19">
        <f t="shared" ref="AC122:AC123" si="17">+L122</f>
        <v>-1746.3400000000001</v>
      </c>
    </row>
    <row r="123" spans="1:30" ht="15.75" x14ac:dyDescent="0.25">
      <c r="A123" s="8" t="s">
        <v>117</v>
      </c>
      <c r="B123" s="14">
        <v>1564.74</v>
      </c>
      <c r="C123" s="9">
        <v>1564.74</v>
      </c>
      <c r="D123" s="9"/>
      <c r="E123" s="14">
        <f t="shared" si="8"/>
        <v>0</v>
      </c>
      <c r="F123" s="12"/>
      <c r="G123" s="14">
        <v>0</v>
      </c>
      <c r="H123" s="12"/>
      <c r="I123" s="12">
        <f t="shared" si="9"/>
        <v>0</v>
      </c>
      <c r="J123" s="12"/>
      <c r="K123" s="12"/>
      <c r="L123" s="12">
        <f t="shared" si="10"/>
        <v>0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AC123" s="19">
        <f t="shared" si="17"/>
        <v>0</v>
      </c>
    </row>
    <row r="124" spans="1:30" ht="15.75" x14ac:dyDescent="0.25">
      <c r="A124" s="8" t="s">
        <v>118</v>
      </c>
      <c r="B124" s="14">
        <v>0</v>
      </c>
      <c r="C124" s="14">
        <f t="shared" ref="C124" si="18">IF(525367.55&lt;&gt;0, (B124/525367.55)*100, 0)</f>
        <v>0</v>
      </c>
      <c r="D124" s="14"/>
      <c r="E124" s="14">
        <f t="shared" si="8"/>
        <v>0</v>
      </c>
      <c r="F124" s="12"/>
      <c r="G124" s="14">
        <v>195.66</v>
      </c>
      <c r="H124" s="12"/>
      <c r="I124" s="12">
        <f t="shared" si="9"/>
        <v>195.66</v>
      </c>
      <c r="J124" s="12"/>
      <c r="K124" s="12"/>
      <c r="L124" s="12">
        <f t="shared" si="10"/>
        <v>195.66</v>
      </c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Z124" s="19">
        <f>+L124</f>
        <v>195.66</v>
      </c>
    </row>
    <row r="125" spans="1:30" ht="15.75" x14ac:dyDescent="0.25">
      <c r="A125" s="8" t="s">
        <v>119</v>
      </c>
      <c r="B125" s="14">
        <v>18525.28</v>
      </c>
      <c r="C125" s="9">
        <v>63328.63</v>
      </c>
      <c r="D125" s="9"/>
      <c r="E125" s="14">
        <f t="shared" si="8"/>
        <v>44803.35</v>
      </c>
      <c r="F125" s="12"/>
      <c r="G125" s="14">
        <v>53584.639999999999</v>
      </c>
      <c r="H125" s="12"/>
      <c r="I125" s="12">
        <f t="shared" si="9"/>
        <v>98387.989999999991</v>
      </c>
      <c r="J125" s="12">
        <v>1208.8399999999999</v>
      </c>
      <c r="K125" s="12"/>
      <c r="L125" s="12">
        <f t="shared" si="10"/>
        <v>99596.829999999987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AD125" s="19">
        <f>+L125</f>
        <v>99596.829999999987</v>
      </c>
    </row>
    <row r="126" spans="1:30" ht="15.75" x14ac:dyDescent="0.25">
      <c r="A126" s="8" t="s">
        <v>120</v>
      </c>
      <c r="B126" s="14">
        <v>919697.68</v>
      </c>
      <c r="C126" s="9">
        <v>1800781.61</v>
      </c>
      <c r="D126" s="9"/>
      <c r="E126" s="14">
        <f t="shared" ref="E126:E136" si="19">+C126-B126</f>
        <v>881083.93</v>
      </c>
      <c r="F126" s="12"/>
      <c r="G126" s="14">
        <v>839173.99</v>
      </c>
      <c r="H126" s="12"/>
      <c r="I126" s="12">
        <f t="shared" ref="I126:I136" si="20">+E126+G126</f>
        <v>1720257.92</v>
      </c>
      <c r="J126" s="12">
        <f>6857.44+5284.82+1726.65-3480.89-72055.66</f>
        <v>-61667.640000000007</v>
      </c>
      <c r="K126" s="12">
        <f>-6503.95-8897</f>
        <v>-15400.95</v>
      </c>
      <c r="L126" s="12">
        <f t="shared" ref="L126:L189" si="21">+I126+J126+K126</f>
        <v>1643189.33</v>
      </c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AD126" s="19">
        <f t="shared" ref="AD126:AD130" si="22">+L126</f>
        <v>1643189.33</v>
      </c>
    </row>
    <row r="127" spans="1:30" ht="15.75" x14ac:dyDescent="0.25">
      <c r="A127" s="8" t="s">
        <v>121</v>
      </c>
      <c r="B127" s="14">
        <v>1563.11</v>
      </c>
      <c r="C127" s="9">
        <v>1858.79</v>
      </c>
      <c r="D127" s="9"/>
      <c r="E127" s="14">
        <f t="shared" si="19"/>
        <v>295.68000000000006</v>
      </c>
      <c r="F127" s="12"/>
      <c r="G127" s="14">
        <v>192.6</v>
      </c>
      <c r="H127" s="12"/>
      <c r="I127" s="12">
        <f t="shared" si="20"/>
        <v>488.28000000000009</v>
      </c>
      <c r="J127" s="12"/>
      <c r="K127" s="12"/>
      <c r="L127" s="12">
        <f t="shared" si="21"/>
        <v>488.28000000000009</v>
      </c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AD127" s="19">
        <f t="shared" si="22"/>
        <v>488.28000000000009</v>
      </c>
    </row>
    <row r="128" spans="1:30" ht="15.75" x14ac:dyDescent="0.25">
      <c r="A128" s="8" t="s">
        <v>122</v>
      </c>
      <c r="B128" s="14">
        <v>0</v>
      </c>
      <c r="C128" s="9">
        <v>67363.67</v>
      </c>
      <c r="D128" s="9"/>
      <c r="E128" s="14">
        <f t="shared" si="19"/>
        <v>67363.67</v>
      </c>
      <c r="F128" s="12"/>
      <c r="G128" s="14">
        <v>0</v>
      </c>
      <c r="H128" s="12"/>
      <c r="I128" s="12">
        <f t="shared" si="20"/>
        <v>67363.67</v>
      </c>
      <c r="J128" s="12"/>
      <c r="K128" s="12"/>
      <c r="L128" s="12">
        <f t="shared" si="21"/>
        <v>67363.67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AD128" s="19">
        <f t="shared" si="22"/>
        <v>67363.67</v>
      </c>
    </row>
    <row r="129" spans="1:35" ht="15.75" x14ac:dyDescent="0.25">
      <c r="A129" s="8" t="s">
        <v>123</v>
      </c>
      <c r="B129" s="14">
        <v>74662.289999999994</v>
      </c>
      <c r="C129" s="9">
        <v>132183.60999999999</v>
      </c>
      <c r="D129" s="9"/>
      <c r="E129" s="14">
        <f t="shared" si="19"/>
        <v>57521.319999999992</v>
      </c>
      <c r="F129" s="12"/>
      <c r="G129" s="14">
        <v>152665.10999999999</v>
      </c>
      <c r="H129" s="12"/>
      <c r="I129" s="12">
        <f t="shared" si="20"/>
        <v>210186.43</v>
      </c>
      <c r="J129" s="12">
        <f>-51936.45+189.13</f>
        <v>-51747.32</v>
      </c>
      <c r="K129" s="12">
        <v>32312.81</v>
      </c>
      <c r="L129" s="12">
        <f t="shared" si="21"/>
        <v>190751.91999999998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AD129" s="19">
        <f t="shared" si="22"/>
        <v>190751.91999999998</v>
      </c>
    </row>
    <row r="130" spans="1:35" ht="15.75" x14ac:dyDescent="0.25">
      <c r="A130" s="8" t="s">
        <v>124</v>
      </c>
      <c r="B130" s="14">
        <v>12343.35</v>
      </c>
      <c r="C130" s="9">
        <v>13613.95</v>
      </c>
      <c r="D130" s="9"/>
      <c r="E130" s="14">
        <f t="shared" si="19"/>
        <v>1270.6000000000004</v>
      </c>
      <c r="F130" s="12"/>
      <c r="G130" s="14">
        <v>26055.29</v>
      </c>
      <c r="H130" s="12"/>
      <c r="I130" s="12">
        <f t="shared" si="20"/>
        <v>27325.89</v>
      </c>
      <c r="J130" s="12"/>
      <c r="K130" s="12"/>
      <c r="L130" s="12">
        <f t="shared" si="21"/>
        <v>27325.89</v>
      </c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AD130" s="19">
        <f t="shared" si="22"/>
        <v>27325.89</v>
      </c>
    </row>
    <row r="131" spans="1:35" ht="15.75" x14ac:dyDescent="0.25">
      <c r="A131" s="8" t="s">
        <v>125</v>
      </c>
      <c r="B131" s="14">
        <v>67956.5</v>
      </c>
      <c r="C131" s="9">
        <v>131263.19</v>
      </c>
      <c r="D131" s="9"/>
      <c r="E131" s="14">
        <f t="shared" si="19"/>
        <v>63306.69</v>
      </c>
      <c r="F131" s="12"/>
      <c r="G131" s="14">
        <v>96679.59</v>
      </c>
      <c r="H131" s="12"/>
      <c r="I131" s="12">
        <f t="shared" si="20"/>
        <v>159986.28</v>
      </c>
      <c r="J131" s="12"/>
      <c r="K131" s="12"/>
      <c r="L131" s="12">
        <f t="shared" si="21"/>
        <v>159986.28</v>
      </c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AE131" s="19">
        <f>+L131</f>
        <v>159986.28</v>
      </c>
    </row>
    <row r="132" spans="1:35" ht="15.75" x14ac:dyDescent="0.25">
      <c r="A132" s="8" t="s">
        <v>126</v>
      </c>
      <c r="B132" s="14">
        <v>1748.13</v>
      </c>
      <c r="C132" s="9">
        <v>2038.3</v>
      </c>
      <c r="D132" s="9"/>
      <c r="E132" s="14">
        <f t="shared" si="19"/>
        <v>290.16999999999985</v>
      </c>
      <c r="F132" s="12"/>
      <c r="G132" s="14">
        <v>1906.61</v>
      </c>
      <c r="H132" s="12"/>
      <c r="I132" s="12">
        <f t="shared" si="20"/>
        <v>2196.7799999999997</v>
      </c>
      <c r="J132" s="12"/>
      <c r="K132" s="12"/>
      <c r="L132" s="12">
        <f t="shared" si="21"/>
        <v>2196.7799999999997</v>
      </c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AE132" s="19">
        <f t="shared" ref="AE132:AE134" si="23">+L132</f>
        <v>2196.7799999999997</v>
      </c>
    </row>
    <row r="133" spans="1:35" ht="15.75" x14ac:dyDescent="0.25">
      <c r="A133" s="8" t="s">
        <v>127</v>
      </c>
      <c r="B133" s="14">
        <v>12231.4</v>
      </c>
      <c r="C133" s="9">
        <v>12693.89</v>
      </c>
      <c r="D133" s="9"/>
      <c r="E133" s="14">
        <f t="shared" si="19"/>
        <v>462.48999999999978</v>
      </c>
      <c r="F133" s="12"/>
      <c r="G133" s="14">
        <v>14859.66</v>
      </c>
      <c r="H133" s="12"/>
      <c r="I133" s="12">
        <f t="shared" si="20"/>
        <v>15322.15</v>
      </c>
      <c r="J133" s="12"/>
      <c r="K133" s="12"/>
      <c r="L133" s="12">
        <f t="shared" si="21"/>
        <v>15322.15</v>
      </c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AE133" s="19">
        <f t="shared" si="23"/>
        <v>15322.15</v>
      </c>
    </row>
    <row r="134" spans="1:35" ht="15.75" x14ac:dyDescent="0.25">
      <c r="A134" s="8" t="s">
        <v>128</v>
      </c>
      <c r="B134" s="14">
        <v>4484.41</v>
      </c>
      <c r="C134" s="9">
        <v>7210.51</v>
      </c>
      <c r="D134" s="9"/>
      <c r="E134" s="14">
        <f t="shared" si="19"/>
        <v>2726.1000000000004</v>
      </c>
      <c r="F134" s="12"/>
      <c r="G134" s="14">
        <v>1563.26</v>
      </c>
      <c r="H134" s="12"/>
      <c r="I134" s="12">
        <f t="shared" si="20"/>
        <v>4289.3600000000006</v>
      </c>
      <c r="J134" s="12"/>
      <c r="K134" s="12"/>
      <c r="L134" s="12">
        <f t="shared" si="21"/>
        <v>4289.3600000000006</v>
      </c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AE134" s="19">
        <f t="shared" si="23"/>
        <v>4289.3600000000006</v>
      </c>
    </row>
    <row r="135" spans="1:35" ht="15.75" x14ac:dyDescent="0.25">
      <c r="A135" s="8" t="s">
        <v>129</v>
      </c>
      <c r="B135" s="14">
        <v>2290.31</v>
      </c>
      <c r="C135" s="9">
        <v>2594.6999999999998</v>
      </c>
      <c r="D135" s="9"/>
      <c r="E135" s="14">
        <f t="shared" si="19"/>
        <v>304.38999999999987</v>
      </c>
      <c r="F135" s="12"/>
      <c r="G135" s="14">
        <v>1960.6</v>
      </c>
      <c r="H135" s="12"/>
      <c r="I135" s="12">
        <f t="shared" si="20"/>
        <v>2264.9899999999998</v>
      </c>
      <c r="J135" s="12"/>
      <c r="K135" s="12"/>
      <c r="L135" s="12">
        <f t="shared" si="21"/>
        <v>2264.9899999999998</v>
      </c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AA135" s="19">
        <f>+I135</f>
        <v>2264.9899999999998</v>
      </c>
    </row>
    <row r="136" spans="1:35" ht="15.75" x14ac:dyDescent="0.25">
      <c r="A136" s="8" t="s">
        <v>130</v>
      </c>
      <c r="B136" s="20">
        <v>4098.3599999999997</v>
      </c>
      <c r="C136" s="21">
        <v>6554.87</v>
      </c>
      <c r="D136" s="21"/>
      <c r="E136" s="20">
        <f t="shared" si="19"/>
        <v>2456.5100000000002</v>
      </c>
      <c r="F136" s="22"/>
      <c r="G136" s="20">
        <v>204.85</v>
      </c>
      <c r="H136" s="22"/>
      <c r="I136" s="22">
        <f t="shared" si="20"/>
        <v>2661.36</v>
      </c>
      <c r="J136" s="22"/>
      <c r="K136" s="22"/>
      <c r="L136" s="12">
        <f t="shared" si="21"/>
        <v>2661.36</v>
      </c>
      <c r="M136" s="2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Z136" s="19">
        <f>+I136</f>
        <v>2661.36</v>
      </c>
      <c r="AA136" s="19"/>
    </row>
    <row r="137" spans="1:35" ht="15.75" x14ac:dyDescent="0.25">
      <c r="A137" s="8" t="s">
        <v>131</v>
      </c>
      <c r="B137" s="14">
        <v>0</v>
      </c>
      <c r="C137" s="14">
        <v>328</v>
      </c>
      <c r="D137" s="14"/>
      <c r="E137" s="14">
        <f t="shared" ref="E137:E192" si="24">+C137-B137</f>
        <v>328</v>
      </c>
      <c r="F137" s="12"/>
      <c r="G137" s="14">
        <v>331</v>
      </c>
      <c r="H137" s="12"/>
      <c r="I137" s="12">
        <f t="shared" ref="I137:I192" si="25">+E137+G137</f>
        <v>659</v>
      </c>
      <c r="J137" s="12"/>
      <c r="K137" s="12"/>
      <c r="L137" s="12">
        <f t="shared" si="21"/>
        <v>659</v>
      </c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AF137" s="19">
        <f>+L137</f>
        <v>659</v>
      </c>
    </row>
    <row r="138" spans="1:35" ht="15.75" x14ac:dyDescent="0.25">
      <c r="A138" s="8" t="s">
        <v>132</v>
      </c>
      <c r="B138" s="14">
        <v>0</v>
      </c>
      <c r="C138" s="14"/>
      <c r="D138" s="14"/>
      <c r="E138" s="14">
        <f t="shared" si="24"/>
        <v>0</v>
      </c>
      <c r="F138" s="12"/>
      <c r="G138" s="14">
        <v>707.51</v>
      </c>
      <c r="H138" s="12"/>
      <c r="I138" s="12">
        <f t="shared" si="25"/>
        <v>707.51</v>
      </c>
      <c r="J138" s="12"/>
      <c r="K138" s="12"/>
      <c r="L138" s="12">
        <f t="shared" si="21"/>
        <v>707.51</v>
      </c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AF138" s="19">
        <f t="shared" ref="AF138:AF140" si="26">+L138</f>
        <v>707.51</v>
      </c>
    </row>
    <row r="139" spans="1:35" ht="15.75" x14ac:dyDescent="0.25">
      <c r="A139" s="8" t="s">
        <v>133</v>
      </c>
      <c r="B139" s="14">
        <v>0</v>
      </c>
      <c r="C139" s="14"/>
      <c r="D139" s="14"/>
      <c r="E139" s="14">
        <f t="shared" si="24"/>
        <v>0</v>
      </c>
      <c r="F139" s="12"/>
      <c r="G139" s="14">
        <v>5952.5</v>
      </c>
      <c r="H139" s="12"/>
      <c r="I139" s="12">
        <f t="shared" si="25"/>
        <v>5952.5</v>
      </c>
      <c r="J139" s="12"/>
      <c r="K139" s="12"/>
      <c r="L139" s="12">
        <f t="shared" si="21"/>
        <v>5952.5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AF139" s="19">
        <f t="shared" si="26"/>
        <v>5952.5</v>
      </c>
    </row>
    <row r="140" spans="1:35" ht="15.75" x14ac:dyDescent="0.25">
      <c r="A140" s="8" t="s">
        <v>134</v>
      </c>
      <c r="B140" s="14">
        <v>2144.9499999999998</v>
      </c>
      <c r="C140" s="9">
        <v>2144.9499999999998</v>
      </c>
      <c r="D140" s="9"/>
      <c r="E140" s="14">
        <f t="shared" si="24"/>
        <v>0</v>
      </c>
      <c r="F140" s="12"/>
      <c r="G140" s="14">
        <v>0</v>
      </c>
      <c r="H140" s="12"/>
      <c r="I140" s="12">
        <f t="shared" si="25"/>
        <v>0</v>
      </c>
      <c r="J140" s="12"/>
      <c r="K140" s="12"/>
      <c r="L140" s="12">
        <f t="shared" si="21"/>
        <v>0</v>
      </c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AF140" s="19">
        <f t="shared" si="26"/>
        <v>0</v>
      </c>
    </row>
    <row r="141" spans="1:35" ht="15.75" x14ac:dyDescent="0.25">
      <c r="A141" s="8" t="s">
        <v>135</v>
      </c>
      <c r="B141" s="14">
        <v>78597.119999999995</v>
      </c>
      <c r="C141" s="9">
        <v>141835.20000000001</v>
      </c>
      <c r="D141" s="9"/>
      <c r="E141" s="14">
        <f t="shared" si="24"/>
        <v>63238.080000000016</v>
      </c>
      <c r="F141" s="12"/>
      <c r="G141" s="14">
        <v>78597.119999999995</v>
      </c>
      <c r="H141" s="12"/>
      <c r="I141" s="12">
        <f t="shared" si="25"/>
        <v>141835.20000000001</v>
      </c>
      <c r="J141" s="12"/>
      <c r="K141" s="12"/>
      <c r="L141" s="12">
        <f t="shared" si="21"/>
        <v>141835.20000000001</v>
      </c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AG141" s="19">
        <f>+L141</f>
        <v>141835.20000000001</v>
      </c>
    </row>
    <row r="142" spans="1:35" ht="15.75" x14ac:dyDescent="0.25">
      <c r="A142" s="8" t="s">
        <v>136</v>
      </c>
      <c r="B142" s="14">
        <v>205665.86</v>
      </c>
      <c r="C142" s="9">
        <v>366446.97</v>
      </c>
      <c r="D142" s="9"/>
      <c r="E142" s="14">
        <f t="shared" si="24"/>
        <v>160781.10999999999</v>
      </c>
      <c r="F142" s="12"/>
      <c r="G142" s="14">
        <v>96705</v>
      </c>
      <c r="H142" s="12"/>
      <c r="I142" s="12">
        <f t="shared" si="25"/>
        <v>257486.11</v>
      </c>
      <c r="J142" s="12"/>
      <c r="K142" s="12"/>
      <c r="L142" s="12">
        <f t="shared" si="21"/>
        <v>257486.11</v>
      </c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AH142" s="19">
        <f>+L142</f>
        <v>257486.11</v>
      </c>
    </row>
    <row r="143" spans="1:35" ht="15.75" x14ac:dyDescent="0.25">
      <c r="A143" s="8" t="s">
        <v>137</v>
      </c>
      <c r="B143" s="14">
        <v>27988.49</v>
      </c>
      <c r="C143" s="9">
        <v>60338.85</v>
      </c>
      <c r="D143" s="9"/>
      <c r="E143" s="14">
        <f t="shared" si="24"/>
        <v>32350.359999999997</v>
      </c>
      <c r="F143" s="12"/>
      <c r="G143" s="14">
        <v>29022.78</v>
      </c>
      <c r="H143" s="12"/>
      <c r="I143" s="12">
        <f t="shared" si="25"/>
        <v>61373.14</v>
      </c>
      <c r="J143" s="12"/>
      <c r="K143" s="12"/>
      <c r="L143" s="12">
        <f t="shared" si="21"/>
        <v>61373.14</v>
      </c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AI143" s="19">
        <f>+L143</f>
        <v>61373.14</v>
      </c>
    </row>
    <row r="144" spans="1:35" ht="15.75" x14ac:dyDescent="0.25">
      <c r="A144" s="8" t="s">
        <v>138</v>
      </c>
      <c r="B144" s="14">
        <v>253.93</v>
      </c>
      <c r="C144" s="9">
        <v>313.89999999999998</v>
      </c>
      <c r="D144" s="9"/>
      <c r="E144" s="14">
        <f t="shared" si="24"/>
        <v>59.96999999999997</v>
      </c>
      <c r="F144" s="12"/>
      <c r="G144" s="14">
        <v>89.91</v>
      </c>
      <c r="H144" s="12"/>
      <c r="I144" s="12">
        <f t="shared" si="25"/>
        <v>149.87999999999997</v>
      </c>
      <c r="J144" s="12"/>
      <c r="K144" s="12"/>
      <c r="L144" s="12">
        <f t="shared" si="21"/>
        <v>149.87999999999997</v>
      </c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AI144" s="19">
        <f>+L144</f>
        <v>149.87999999999997</v>
      </c>
    </row>
    <row r="145" spans="1:45" ht="15.75" x14ac:dyDescent="0.25">
      <c r="A145" s="8" t="s">
        <v>139</v>
      </c>
      <c r="B145" s="14">
        <v>19657.45</v>
      </c>
      <c r="C145" s="9">
        <v>37673.31</v>
      </c>
      <c r="D145" s="9"/>
      <c r="E145" s="14">
        <f t="shared" si="24"/>
        <v>18015.859999999997</v>
      </c>
      <c r="F145" s="12"/>
      <c r="G145" s="14">
        <v>14329.54</v>
      </c>
      <c r="H145" s="12"/>
      <c r="I145" s="12">
        <f t="shared" si="25"/>
        <v>32345.399999999998</v>
      </c>
      <c r="J145" s="12"/>
      <c r="K145" s="12"/>
      <c r="L145" s="12">
        <f t="shared" si="21"/>
        <v>32345.399999999998</v>
      </c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AJ145" s="19">
        <f>+L145</f>
        <v>32345.399999999998</v>
      </c>
    </row>
    <row r="146" spans="1:45" ht="15.75" x14ac:dyDescent="0.25">
      <c r="A146" s="8" t="s">
        <v>140</v>
      </c>
      <c r="B146" s="14">
        <v>10734.72</v>
      </c>
      <c r="C146" s="9">
        <v>26836.799999999999</v>
      </c>
      <c r="D146" s="9"/>
      <c r="E146" s="14">
        <f t="shared" si="24"/>
        <v>16102.08</v>
      </c>
      <c r="F146" s="12"/>
      <c r="G146" s="14">
        <v>0</v>
      </c>
      <c r="H146" s="12"/>
      <c r="I146" s="12">
        <f t="shared" si="25"/>
        <v>16102.08</v>
      </c>
      <c r="J146" s="12"/>
      <c r="K146" s="12"/>
      <c r="L146" s="12">
        <f t="shared" si="21"/>
        <v>16102.08</v>
      </c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AL146" s="19">
        <f>+L146</f>
        <v>16102.08</v>
      </c>
    </row>
    <row r="147" spans="1:45" ht="15.75" x14ac:dyDescent="0.25">
      <c r="A147" s="8" t="s">
        <v>141</v>
      </c>
      <c r="B147" s="14">
        <v>10018.74</v>
      </c>
      <c r="C147" s="9">
        <v>51959.47</v>
      </c>
      <c r="D147" s="9"/>
      <c r="E147" s="14">
        <f t="shared" si="24"/>
        <v>41940.730000000003</v>
      </c>
      <c r="F147" s="12"/>
      <c r="G147" s="14">
        <v>55550.82</v>
      </c>
      <c r="H147" s="12"/>
      <c r="I147" s="12">
        <f t="shared" si="25"/>
        <v>97491.55</v>
      </c>
      <c r="J147" s="12"/>
      <c r="K147" s="12"/>
      <c r="L147" s="12">
        <f t="shared" si="21"/>
        <v>97491.55</v>
      </c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AL147" s="19">
        <f>+L147</f>
        <v>97491.55</v>
      </c>
    </row>
    <row r="148" spans="1:45" ht="15.75" x14ac:dyDescent="0.25">
      <c r="A148" s="8" t="s">
        <v>142</v>
      </c>
      <c r="B148" s="14">
        <v>35569.99</v>
      </c>
      <c r="C148" s="9">
        <v>161153.47</v>
      </c>
      <c r="D148" s="9"/>
      <c r="E148" s="14">
        <f t="shared" si="24"/>
        <v>125583.48000000001</v>
      </c>
      <c r="F148" s="12"/>
      <c r="G148" s="14">
        <v>143556.75</v>
      </c>
      <c r="H148" s="12"/>
      <c r="I148" s="12">
        <f t="shared" si="25"/>
        <v>269140.23</v>
      </c>
      <c r="J148" s="12"/>
      <c r="K148" s="12"/>
      <c r="L148" s="12">
        <f t="shared" si="21"/>
        <v>269140.23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AK148" s="19">
        <f>+L148</f>
        <v>269140.23</v>
      </c>
    </row>
    <row r="149" spans="1:45" ht="15.75" x14ac:dyDescent="0.25">
      <c r="A149" s="8" t="s">
        <v>143</v>
      </c>
      <c r="B149" s="14">
        <v>15322.39</v>
      </c>
      <c r="C149" s="9">
        <v>39622.18</v>
      </c>
      <c r="D149" s="9"/>
      <c r="E149" s="14">
        <f t="shared" si="24"/>
        <v>24299.79</v>
      </c>
      <c r="F149" s="12"/>
      <c r="G149" s="14">
        <v>19541.34</v>
      </c>
      <c r="H149" s="12"/>
      <c r="I149" s="12">
        <f t="shared" si="25"/>
        <v>43841.130000000005</v>
      </c>
      <c r="J149" s="12"/>
      <c r="K149" s="12"/>
      <c r="L149" s="12">
        <f t="shared" si="21"/>
        <v>43841.130000000005</v>
      </c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AM149" s="19">
        <f>+L149</f>
        <v>43841.130000000005</v>
      </c>
    </row>
    <row r="150" spans="1:45" ht="15.75" x14ac:dyDescent="0.25">
      <c r="A150" s="8" t="s">
        <v>144</v>
      </c>
      <c r="B150" s="14">
        <v>8994.4599999999991</v>
      </c>
      <c r="C150" s="9">
        <v>16581.740000000002</v>
      </c>
      <c r="D150" s="9"/>
      <c r="E150" s="14">
        <f t="shared" si="24"/>
        <v>7587.2800000000025</v>
      </c>
      <c r="F150" s="12"/>
      <c r="G150" s="14">
        <v>1675.23</v>
      </c>
      <c r="H150" s="12"/>
      <c r="I150" s="12">
        <f t="shared" si="25"/>
        <v>9262.510000000002</v>
      </c>
      <c r="J150" s="12"/>
      <c r="K150" s="12"/>
      <c r="L150" s="12">
        <f t="shared" si="21"/>
        <v>9262.510000000002</v>
      </c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AN150" s="19">
        <f>+L150</f>
        <v>9262.510000000002</v>
      </c>
    </row>
    <row r="151" spans="1:45" ht="15.75" x14ac:dyDescent="0.25">
      <c r="A151" s="8" t="s">
        <v>145</v>
      </c>
      <c r="B151" s="14">
        <v>482.34</v>
      </c>
      <c r="C151" s="9">
        <v>2728.94</v>
      </c>
      <c r="D151" s="9"/>
      <c r="E151" s="14">
        <f t="shared" si="24"/>
        <v>2246.6</v>
      </c>
      <c r="F151" s="12"/>
      <c r="G151" s="14">
        <v>163.85</v>
      </c>
      <c r="H151" s="12"/>
      <c r="I151" s="12">
        <f t="shared" si="25"/>
        <v>2410.4499999999998</v>
      </c>
      <c r="J151" s="12"/>
      <c r="K151" s="12"/>
      <c r="L151" s="12">
        <f t="shared" si="21"/>
        <v>2410.4499999999998</v>
      </c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AO151" s="19">
        <f>+L151</f>
        <v>2410.4499999999998</v>
      </c>
    </row>
    <row r="152" spans="1:45" ht="15.75" x14ac:dyDescent="0.25">
      <c r="A152" s="8" t="s">
        <v>754</v>
      </c>
      <c r="B152" s="14">
        <v>1435</v>
      </c>
      <c r="C152" s="9">
        <v>1435</v>
      </c>
      <c r="D152" s="9"/>
      <c r="E152" s="14">
        <f t="shared" si="24"/>
        <v>0</v>
      </c>
      <c r="F152" s="12"/>
      <c r="G152" s="14">
        <v>0</v>
      </c>
      <c r="H152" s="12"/>
      <c r="I152" s="12">
        <f t="shared" si="25"/>
        <v>0</v>
      </c>
      <c r="J152" s="12"/>
      <c r="K152" s="12"/>
      <c r="L152" s="12">
        <f t="shared" si="21"/>
        <v>0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45" ht="15.75" x14ac:dyDescent="0.25">
      <c r="A153" s="8" t="s">
        <v>146</v>
      </c>
      <c r="B153" s="14">
        <v>1970.5</v>
      </c>
      <c r="C153" s="9">
        <v>263.61</v>
      </c>
      <c r="D153" s="9"/>
      <c r="E153" s="14">
        <f t="shared" si="24"/>
        <v>-1706.8899999999999</v>
      </c>
      <c r="F153" s="12"/>
      <c r="G153" s="14">
        <v>3728.52</v>
      </c>
      <c r="H153" s="12"/>
      <c r="I153" s="12">
        <f t="shared" si="25"/>
        <v>2021.63</v>
      </c>
      <c r="J153" s="12"/>
      <c r="K153" s="12"/>
      <c r="L153" s="12">
        <f t="shared" si="21"/>
        <v>2021.63</v>
      </c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AP153" s="19">
        <f>+L153</f>
        <v>2021.63</v>
      </c>
    </row>
    <row r="154" spans="1:45" ht="15.75" x14ac:dyDescent="0.25">
      <c r="A154" s="8" t="s">
        <v>147</v>
      </c>
      <c r="B154" s="14">
        <v>50342.879999999997</v>
      </c>
      <c r="C154" s="9">
        <v>324443.83</v>
      </c>
      <c r="D154" s="9"/>
      <c r="E154" s="14">
        <f t="shared" si="24"/>
        <v>274100.95</v>
      </c>
      <c r="F154" s="12"/>
      <c r="G154" s="14">
        <v>160000.88</v>
      </c>
      <c r="H154" s="12"/>
      <c r="I154" s="12">
        <f t="shared" si="25"/>
        <v>434101.83</v>
      </c>
      <c r="J154" s="12"/>
      <c r="K154" s="12"/>
      <c r="L154" s="12">
        <f t="shared" si="21"/>
        <v>434101.83</v>
      </c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AQ154" s="19">
        <f>+L154</f>
        <v>434101.83</v>
      </c>
    </row>
    <row r="155" spans="1:45" ht="15.75" x14ac:dyDescent="0.25">
      <c r="A155" s="8" t="s">
        <v>148</v>
      </c>
      <c r="B155" s="14">
        <v>2903.43</v>
      </c>
      <c r="C155" s="9">
        <v>3553.43</v>
      </c>
      <c r="D155" s="9"/>
      <c r="E155" s="14">
        <f t="shared" si="24"/>
        <v>650</v>
      </c>
      <c r="F155" s="12"/>
      <c r="G155" s="14">
        <v>2276</v>
      </c>
      <c r="H155" s="12"/>
      <c r="I155" s="12">
        <f t="shared" si="25"/>
        <v>2926</v>
      </c>
      <c r="J155" s="12"/>
      <c r="K155" s="12"/>
      <c r="L155" s="12">
        <f t="shared" si="21"/>
        <v>2926</v>
      </c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AI155" s="19">
        <f>+L155</f>
        <v>2926</v>
      </c>
    </row>
    <row r="156" spans="1:45" ht="15.75" x14ac:dyDescent="0.25">
      <c r="A156" s="8" t="s">
        <v>149</v>
      </c>
      <c r="B156" s="14">
        <v>1980.3</v>
      </c>
      <c r="C156" s="9">
        <v>5088</v>
      </c>
      <c r="D156" s="9"/>
      <c r="E156" s="14">
        <f t="shared" si="24"/>
        <v>3107.7</v>
      </c>
      <c r="F156" s="12"/>
      <c r="G156" s="14">
        <v>21096.68</v>
      </c>
      <c r="H156" s="12"/>
      <c r="I156" s="12">
        <f t="shared" si="25"/>
        <v>24204.38</v>
      </c>
      <c r="J156" s="12"/>
      <c r="K156" s="12"/>
      <c r="L156" s="12">
        <f t="shared" si="21"/>
        <v>24204.38</v>
      </c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AR156" s="19">
        <f>+L156</f>
        <v>24204.38</v>
      </c>
    </row>
    <row r="157" spans="1:45" ht="15.75" x14ac:dyDescent="0.25">
      <c r="A157" s="8" t="s">
        <v>150</v>
      </c>
      <c r="B157" s="14">
        <v>17775.46</v>
      </c>
      <c r="C157" s="9">
        <v>23977.279999999999</v>
      </c>
      <c r="D157" s="9"/>
      <c r="E157" s="14">
        <f t="shared" si="24"/>
        <v>6201.82</v>
      </c>
      <c r="F157" s="12"/>
      <c r="G157" s="14">
        <v>10567.46</v>
      </c>
      <c r="H157" s="12"/>
      <c r="I157" s="12">
        <f t="shared" si="25"/>
        <v>16769.28</v>
      </c>
      <c r="J157" s="12"/>
      <c r="K157" s="12"/>
      <c r="L157" s="12">
        <f t="shared" si="21"/>
        <v>16769.28</v>
      </c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AI157" s="19">
        <f>+L157</f>
        <v>16769.28</v>
      </c>
    </row>
    <row r="158" spans="1:45" ht="15.75" x14ac:dyDescent="0.25">
      <c r="A158" s="8" t="s">
        <v>151</v>
      </c>
      <c r="B158" s="14">
        <v>31483.34</v>
      </c>
      <c r="C158" s="9">
        <v>60762.42</v>
      </c>
      <c r="D158" s="9"/>
      <c r="E158" s="14">
        <f t="shared" si="24"/>
        <v>29279.079999999998</v>
      </c>
      <c r="F158" s="12"/>
      <c r="G158" s="14">
        <v>26315.41</v>
      </c>
      <c r="H158" s="12"/>
      <c r="I158" s="12">
        <f t="shared" si="25"/>
        <v>55594.49</v>
      </c>
      <c r="J158" s="12"/>
      <c r="K158" s="12"/>
      <c r="L158" s="12">
        <f t="shared" si="21"/>
        <v>55594.49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AS158" s="19">
        <f>+L158</f>
        <v>55594.49</v>
      </c>
    </row>
    <row r="159" spans="1:45" ht="15.75" x14ac:dyDescent="0.25">
      <c r="A159" s="8" t="s">
        <v>152</v>
      </c>
      <c r="B159" s="14">
        <v>46.92</v>
      </c>
      <c r="C159" s="9">
        <v>5765.91</v>
      </c>
      <c r="D159" s="9"/>
      <c r="E159" s="14">
        <f t="shared" si="24"/>
        <v>5718.99</v>
      </c>
      <c r="F159" s="12"/>
      <c r="G159" s="14">
        <v>4015.44</v>
      </c>
      <c r="H159" s="12"/>
      <c r="I159" s="12">
        <f t="shared" si="25"/>
        <v>9734.43</v>
      </c>
      <c r="J159" s="12"/>
      <c r="K159" s="12"/>
      <c r="L159" s="12">
        <f t="shared" si="21"/>
        <v>9734.43</v>
      </c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AS159" s="19">
        <f>+L159</f>
        <v>9734.43</v>
      </c>
    </row>
    <row r="160" spans="1:45" ht="15.75" x14ac:dyDescent="0.25">
      <c r="A160" s="8" t="s">
        <v>153</v>
      </c>
      <c r="B160" s="14">
        <v>330</v>
      </c>
      <c r="C160" s="9">
        <v>858.17</v>
      </c>
      <c r="D160" s="9"/>
      <c r="E160" s="14">
        <f t="shared" si="24"/>
        <v>528.16999999999996</v>
      </c>
      <c r="F160" s="12"/>
      <c r="G160" s="14">
        <v>0</v>
      </c>
      <c r="H160" s="12"/>
      <c r="I160" s="12">
        <f t="shared" si="25"/>
        <v>528.16999999999996</v>
      </c>
      <c r="J160" s="12"/>
      <c r="K160" s="12"/>
      <c r="L160" s="12">
        <f t="shared" si="21"/>
        <v>528.16999999999996</v>
      </c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AA160" s="19">
        <f>+I160</f>
        <v>528.16999999999996</v>
      </c>
    </row>
    <row r="161" spans="1:52" ht="15.75" x14ac:dyDescent="0.25">
      <c r="A161" s="8" t="s">
        <v>154</v>
      </c>
      <c r="B161" s="14">
        <v>16091.04</v>
      </c>
      <c r="C161" s="9">
        <v>36576.97</v>
      </c>
      <c r="D161" s="9"/>
      <c r="E161" s="14">
        <f t="shared" si="24"/>
        <v>20485.93</v>
      </c>
      <c r="F161" s="12"/>
      <c r="G161" s="14">
        <v>25315.71</v>
      </c>
      <c r="H161" s="12"/>
      <c r="I161" s="12">
        <f t="shared" si="25"/>
        <v>45801.64</v>
      </c>
      <c r="J161" s="12"/>
      <c r="K161" s="12"/>
      <c r="L161" s="12">
        <f t="shared" si="21"/>
        <v>45801.64</v>
      </c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AT161" s="19">
        <f>+L161</f>
        <v>45801.64</v>
      </c>
    </row>
    <row r="162" spans="1:52" ht="15.75" x14ac:dyDescent="0.25">
      <c r="A162" s="8" t="s">
        <v>155</v>
      </c>
      <c r="B162" s="14">
        <v>94627.18</v>
      </c>
      <c r="C162" s="9">
        <v>144757.87</v>
      </c>
      <c r="D162" s="9"/>
      <c r="E162" s="14">
        <f t="shared" si="24"/>
        <v>50130.69</v>
      </c>
      <c r="F162" s="12"/>
      <c r="G162" s="14">
        <v>96976.84</v>
      </c>
      <c r="H162" s="12"/>
      <c r="I162" s="12">
        <f t="shared" si="25"/>
        <v>147107.53</v>
      </c>
      <c r="J162" s="12"/>
      <c r="K162" s="12"/>
      <c r="L162" s="12">
        <f t="shared" si="21"/>
        <v>147107.53</v>
      </c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AU162" s="19">
        <f>+L162</f>
        <v>147107.53</v>
      </c>
    </row>
    <row r="163" spans="1:52" ht="15.75" x14ac:dyDescent="0.25">
      <c r="A163" s="8" t="s">
        <v>156</v>
      </c>
      <c r="B163" s="14">
        <v>0</v>
      </c>
      <c r="C163" s="9">
        <v>23865.56</v>
      </c>
      <c r="D163" s="9"/>
      <c r="E163" s="14">
        <f t="shared" si="24"/>
        <v>23865.56</v>
      </c>
      <c r="F163" s="12"/>
      <c r="G163" s="14">
        <v>5370.1</v>
      </c>
      <c r="H163" s="12"/>
      <c r="I163" s="12">
        <f t="shared" si="25"/>
        <v>29235.660000000003</v>
      </c>
      <c r="J163" s="12"/>
      <c r="K163" s="12"/>
      <c r="L163" s="12">
        <f t="shared" si="21"/>
        <v>29235.660000000003</v>
      </c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AU163" s="19">
        <f>+L163</f>
        <v>29235.660000000003</v>
      </c>
    </row>
    <row r="164" spans="1:52" ht="15.75" x14ac:dyDescent="0.25">
      <c r="A164" s="8" t="s">
        <v>157</v>
      </c>
      <c r="B164" s="14">
        <v>105354.57</v>
      </c>
      <c r="C164" s="9">
        <v>193083.13</v>
      </c>
      <c r="D164" s="9"/>
      <c r="E164" s="14">
        <f t="shared" si="24"/>
        <v>87728.56</v>
      </c>
      <c r="F164" s="12"/>
      <c r="G164" s="14">
        <v>58891.66</v>
      </c>
      <c r="H164" s="12"/>
      <c r="I164" s="12">
        <f t="shared" si="25"/>
        <v>146620.22</v>
      </c>
      <c r="J164" s="12"/>
      <c r="K164" s="12"/>
      <c r="L164" s="12">
        <f t="shared" si="21"/>
        <v>146620.22</v>
      </c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AI164" s="19">
        <f>+I164</f>
        <v>146620.22</v>
      </c>
    </row>
    <row r="165" spans="1:52" ht="15.75" x14ac:dyDescent="0.25">
      <c r="A165" s="8" t="s">
        <v>158</v>
      </c>
      <c r="B165" s="14">
        <v>2079.3000000000002</v>
      </c>
      <c r="C165" s="9">
        <v>3133.3</v>
      </c>
      <c r="D165" s="9"/>
      <c r="E165" s="14">
        <f t="shared" si="24"/>
        <v>1054</v>
      </c>
      <c r="F165" s="12"/>
      <c r="G165" s="14">
        <v>0</v>
      </c>
      <c r="H165" s="12"/>
      <c r="I165" s="12">
        <f t="shared" si="25"/>
        <v>1054</v>
      </c>
      <c r="J165" s="12"/>
      <c r="K165" s="12"/>
      <c r="L165" s="12">
        <f t="shared" si="21"/>
        <v>1054</v>
      </c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AU165" s="19">
        <f>+L165</f>
        <v>1054</v>
      </c>
    </row>
    <row r="166" spans="1:52" ht="15.75" x14ac:dyDescent="0.25">
      <c r="A166" s="8" t="s">
        <v>159</v>
      </c>
      <c r="B166" s="14">
        <v>26918.63</v>
      </c>
      <c r="C166" s="9">
        <v>34026.129999999997</v>
      </c>
      <c r="D166" s="9"/>
      <c r="E166" s="14">
        <f t="shared" si="24"/>
        <v>7107.4999999999964</v>
      </c>
      <c r="F166" s="12"/>
      <c r="G166" s="14">
        <v>4106.34</v>
      </c>
      <c r="H166" s="12"/>
      <c r="I166" s="12">
        <f t="shared" si="25"/>
        <v>11213.839999999997</v>
      </c>
      <c r="J166" s="12"/>
      <c r="K166" s="12"/>
      <c r="L166" s="12">
        <f t="shared" si="21"/>
        <v>11213.839999999997</v>
      </c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AV166" s="19">
        <f>+L166</f>
        <v>11213.839999999997</v>
      </c>
    </row>
    <row r="167" spans="1:52" ht="15.75" x14ac:dyDescent="0.25">
      <c r="A167" s="8" t="s">
        <v>160</v>
      </c>
      <c r="B167" s="14">
        <v>26</v>
      </c>
      <c r="C167" s="9">
        <v>-146.44</v>
      </c>
      <c r="D167" s="9"/>
      <c r="E167" s="14">
        <f t="shared" si="24"/>
        <v>-172.44</v>
      </c>
      <c r="F167" s="12"/>
      <c r="G167" s="14">
        <v>97.17</v>
      </c>
      <c r="H167" s="12"/>
      <c r="I167" s="12">
        <f t="shared" si="25"/>
        <v>-75.27</v>
      </c>
      <c r="J167" s="12"/>
      <c r="K167" s="12"/>
      <c r="L167" s="12">
        <f t="shared" si="21"/>
        <v>-75.27</v>
      </c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AP167" s="19">
        <f>+I167</f>
        <v>-75.27</v>
      </c>
    </row>
    <row r="168" spans="1:52" ht="15.75" x14ac:dyDescent="0.25">
      <c r="A168" s="8" t="s">
        <v>161</v>
      </c>
      <c r="B168" s="14">
        <v>68723.03</v>
      </c>
      <c r="C168" s="9">
        <v>141867.1</v>
      </c>
      <c r="D168" s="9"/>
      <c r="E168" s="14">
        <f t="shared" si="24"/>
        <v>73144.070000000007</v>
      </c>
      <c r="F168" s="12"/>
      <c r="G168" s="14">
        <v>51641.37</v>
      </c>
      <c r="H168" s="12"/>
      <c r="I168" s="12">
        <f t="shared" si="25"/>
        <v>124785.44</v>
      </c>
      <c r="J168" s="12"/>
      <c r="K168" s="12"/>
      <c r="L168" s="12">
        <f t="shared" si="21"/>
        <v>124785.44</v>
      </c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AO168" s="19">
        <f>+I168</f>
        <v>124785.44</v>
      </c>
    </row>
    <row r="169" spans="1:52" ht="15.75" x14ac:dyDescent="0.25">
      <c r="A169" s="8" t="s">
        <v>162</v>
      </c>
      <c r="B169" s="14">
        <v>4840.13</v>
      </c>
      <c r="C169" s="9">
        <v>8366.66</v>
      </c>
      <c r="D169" s="9"/>
      <c r="E169" s="14">
        <f t="shared" si="24"/>
        <v>3526.5299999999997</v>
      </c>
      <c r="F169" s="12"/>
      <c r="G169" s="14">
        <v>5543.67</v>
      </c>
      <c r="H169" s="12"/>
      <c r="I169" s="12">
        <f t="shared" si="25"/>
        <v>9070.2000000000007</v>
      </c>
      <c r="J169" s="12"/>
      <c r="K169" s="12"/>
      <c r="L169" s="12">
        <f t="shared" si="21"/>
        <v>9070.2000000000007</v>
      </c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AO169" s="19">
        <f>+L169</f>
        <v>9070.2000000000007</v>
      </c>
    </row>
    <row r="170" spans="1:52" ht="15.75" x14ac:dyDescent="0.25">
      <c r="A170" s="8" t="s">
        <v>163</v>
      </c>
      <c r="B170" s="14">
        <v>17116.21</v>
      </c>
      <c r="C170" s="9">
        <v>18632.990000000002</v>
      </c>
      <c r="D170" s="9"/>
      <c r="E170" s="14">
        <f t="shared" si="24"/>
        <v>1516.7800000000025</v>
      </c>
      <c r="F170" s="12"/>
      <c r="G170" s="14">
        <v>834.12</v>
      </c>
      <c r="H170" s="12"/>
      <c r="I170" s="12">
        <f t="shared" si="25"/>
        <v>2350.9000000000024</v>
      </c>
      <c r="J170" s="12"/>
      <c r="K170" s="12"/>
      <c r="L170" s="12">
        <f t="shared" si="21"/>
        <v>2350.9000000000024</v>
      </c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AK170" s="19"/>
      <c r="AZ170" s="19">
        <f>+L170</f>
        <v>2350.9000000000024</v>
      </c>
    </row>
    <row r="171" spans="1:52" ht="15.75" x14ac:dyDescent="0.25">
      <c r="A171" s="8" t="s">
        <v>164</v>
      </c>
      <c r="B171" s="14">
        <v>43437.79</v>
      </c>
      <c r="C171" s="9">
        <v>111617.51</v>
      </c>
      <c r="D171" s="9"/>
      <c r="E171" s="14">
        <f t="shared" si="24"/>
        <v>68179.72</v>
      </c>
      <c r="F171" s="12"/>
      <c r="G171" s="14">
        <v>52716.480000000003</v>
      </c>
      <c r="H171" s="12"/>
      <c r="I171" s="12">
        <f t="shared" si="25"/>
        <v>120896.20000000001</v>
      </c>
      <c r="J171" s="12"/>
      <c r="K171" s="12"/>
      <c r="L171" s="12">
        <f t="shared" si="21"/>
        <v>120896.20000000001</v>
      </c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AW171" s="19">
        <f>+L171</f>
        <v>120896.20000000001</v>
      </c>
    </row>
    <row r="172" spans="1:52" ht="15.75" x14ac:dyDescent="0.25">
      <c r="A172" s="8" t="s">
        <v>165</v>
      </c>
      <c r="B172" s="14">
        <v>112.13</v>
      </c>
      <c r="C172" s="9">
        <v>205.25</v>
      </c>
      <c r="D172" s="9"/>
      <c r="E172" s="14">
        <f t="shared" si="24"/>
        <v>93.12</v>
      </c>
      <c r="F172" s="12"/>
      <c r="G172" s="14">
        <v>1138.58</v>
      </c>
      <c r="H172" s="12"/>
      <c r="I172" s="12">
        <f t="shared" si="25"/>
        <v>1231.6999999999998</v>
      </c>
      <c r="J172" s="12"/>
      <c r="K172" s="12"/>
      <c r="L172" s="12">
        <f t="shared" si="21"/>
        <v>1231.6999999999998</v>
      </c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AX172" s="19">
        <f>+L172</f>
        <v>1231.6999999999998</v>
      </c>
    </row>
    <row r="173" spans="1:52" ht="15.75" x14ac:dyDescent="0.25">
      <c r="A173" s="8" t="s">
        <v>166</v>
      </c>
      <c r="B173" s="14">
        <v>20273.28</v>
      </c>
      <c r="C173" s="9">
        <v>40230.86</v>
      </c>
      <c r="D173" s="9"/>
      <c r="E173" s="14">
        <f t="shared" si="24"/>
        <v>19957.580000000002</v>
      </c>
      <c r="F173" s="12"/>
      <c r="G173" s="14">
        <v>14163.51</v>
      </c>
      <c r="H173" s="12"/>
      <c r="I173" s="12">
        <f t="shared" si="25"/>
        <v>34121.090000000004</v>
      </c>
      <c r="J173" s="12"/>
      <c r="K173" s="12"/>
      <c r="L173" s="12">
        <f t="shared" si="21"/>
        <v>34121.090000000004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AX173" s="19">
        <f t="shared" ref="AX173:AX180" si="27">+L173</f>
        <v>34121.090000000004</v>
      </c>
    </row>
    <row r="174" spans="1:52" ht="15.75" x14ac:dyDescent="0.25">
      <c r="A174" s="8" t="s">
        <v>167</v>
      </c>
      <c r="B174" s="14">
        <v>1413.7</v>
      </c>
      <c r="C174" s="9">
        <v>5764.32</v>
      </c>
      <c r="D174" s="9"/>
      <c r="E174" s="14">
        <f t="shared" si="24"/>
        <v>4350.62</v>
      </c>
      <c r="F174" s="12"/>
      <c r="G174" s="14">
        <v>1251.25</v>
      </c>
      <c r="H174" s="12"/>
      <c r="I174" s="12">
        <f t="shared" si="25"/>
        <v>5601.87</v>
      </c>
      <c r="J174" s="12"/>
      <c r="K174" s="12"/>
      <c r="L174" s="12">
        <f t="shared" si="21"/>
        <v>5601.87</v>
      </c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AX174" s="19">
        <f t="shared" si="27"/>
        <v>5601.87</v>
      </c>
    </row>
    <row r="175" spans="1:52" ht="15.75" x14ac:dyDescent="0.25">
      <c r="A175" s="8" t="s">
        <v>168</v>
      </c>
      <c r="B175" s="14">
        <v>1266.56</v>
      </c>
      <c r="C175" s="9">
        <v>3122.92</v>
      </c>
      <c r="D175" s="9"/>
      <c r="E175" s="14">
        <f t="shared" si="24"/>
        <v>1856.3600000000001</v>
      </c>
      <c r="F175" s="12"/>
      <c r="G175" s="14">
        <v>0</v>
      </c>
      <c r="H175" s="12"/>
      <c r="I175" s="12">
        <f t="shared" si="25"/>
        <v>1856.3600000000001</v>
      </c>
      <c r="J175" s="12"/>
      <c r="K175" s="12"/>
      <c r="L175" s="12">
        <f t="shared" si="21"/>
        <v>1856.3600000000001</v>
      </c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AX175" s="19">
        <f t="shared" si="27"/>
        <v>1856.3600000000001</v>
      </c>
    </row>
    <row r="176" spans="1:52" ht="15.75" x14ac:dyDescent="0.25">
      <c r="A176" s="8" t="s">
        <v>169</v>
      </c>
      <c r="B176" s="14">
        <v>1572.5</v>
      </c>
      <c r="C176" s="9">
        <v>2426.2399999999998</v>
      </c>
      <c r="D176" s="9"/>
      <c r="E176" s="14">
        <f t="shared" si="24"/>
        <v>853.73999999999978</v>
      </c>
      <c r="F176" s="12"/>
      <c r="G176" s="14">
        <v>6118.66</v>
      </c>
      <c r="H176" s="12"/>
      <c r="I176" s="12">
        <f t="shared" si="25"/>
        <v>6972.4</v>
      </c>
      <c r="J176" s="12"/>
      <c r="K176" s="12"/>
      <c r="L176" s="12">
        <f t="shared" si="21"/>
        <v>6972.4</v>
      </c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AX176" s="19">
        <f t="shared" si="27"/>
        <v>6972.4</v>
      </c>
    </row>
    <row r="177" spans="1:57" ht="15.75" x14ac:dyDescent="0.25">
      <c r="A177" s="8" t="s">
        <v>170</v>
      </c>
      <c r="B177" s="14">
        <v>58.07</v>
      </c>
      <c r="C177" s="9">
        <v>58.07</v>
      </c>
      <c r="D177" s="9"/>
      <c r="E177" s="14">
        <f t="shared" si="24"/>
        <v>0</v>
      </c>
      <c r="F177" s="12"/>
      <c r="G177" s="14">
        <v>0</v>
      </c>
      <c r="H177" s="12"/>
      <c r="I177" s="12">
        <f t="shared" si="25"/>
        <v>0</v>
      </c>
      <c r="J177" s="12"/>
      <c r="K177" s="12"/>
      <c r="L177" s="12">
        <f t="shared" si="21"/>
        <v>0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AX177" s="19">
        <f t="shared" si="27"/>
        <v>0</v>
      </c>
    </row>
    <row r="178" spans="1:57" ht="15.75" x14ac:dyDescent="0.25">
      <c r="A178" s="2" t="s">
        <v>171</v>
      </c>
      <c r="B178" s="17">
        <v>0</v>
      </c>
      <c r="C178" s="17">
        <f t="shared" ref="C178" si="28">IF(525367.55&lt;&gt;0, (B178/525367.55)*100, 0)</f>
        <v>0</v>
      </c>
      <c r="D178" s="17"/>
      <c r="E178" s="14">
        <f t="shared" si="24"/>
        <v>0</v>
      </c>
      <c r="F178" s="12"/>
      <c r="G178" s="17">
        <v>18.88</v>
      </c>
      <c r="H178" s="12"/>
      <c r="I178" s="12">
        <f t="shared" si="25"/>
        <v>18.88</v>
      </c>
      <c r="J178" s="12"/>
      <c r="K178" s="12"/>
      <c r="L178" s="12">
        <f t="shared" si="21"/>
        <v>18.88</v>
      </c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AX178" s="19">
        <f t="shared" si="27"/>
        <v>18.88</v>
      </c>
    </row>
    <row r="179" spans="1:57" ht="15.75" x14ac:dyDescent="0.25">
      <c r="A179" s="8" t="s">
        <v>172</v>
      </c>
      <c r="B179" s="14">
        <v>2458.3200000000002</v>
      </c>
      <c r="C179" s="9">
        <v>2761.02</v>
      </c>
      <c r="D179" s="9"/>
      <c r="E179" s="14">
        <f t="shared" si="24"/>
        <v>302.69999999999982</v>
      </c>
      <c r="F179" s="12"/>
      <c r="G179" s="14">
        <v>107.8</v>
      </c>
      <c r="H179" s="12"/>
      <c r="I179" s="12">
        <f t="shared" si="25"/>
        <v>410.49999999999983</v>
      </c>
      <c r="J179" s="12"/>
      <c r="K179" s="12"/>
      <c r="L179" s="12">
        <f t="shared" si="21"/>
        <v>410.49999999999983</v>
      </c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AX179" s="19">
        <f t="shared" si="27"/>
        <v>410.49999999999983</v>
      </c>
    </row>
    <row r="180" spans="1:57" ht="15.75" x14ac:dyDescent="0.25">
      <c r="A180" s="8" t="s">
        <v>173</v>
      </c>
      <c r="B180" s="14">
        <v>0</v>
      </c>
      <c r="C180" s="9">
        <v>0</v>
      </c>
      <c r="D180" s="9"/>
      <c r="E180" s="14">
        <f t="shared" si="24"/>
        <v>0</v>
      </c>
      <c r="F180" s="12"/>
      <c r="G180" s="14">
        <v>42.33</v>
      </c>
      <c r="H180" s="12"/>
      <c r="I180" s="12">
        <f t="shared" si="25"/>
        <v>42.33</v>
      </c>
      <c r="J180" s="12"/>
      <c r="K180" s="12"/>
      <c r="L180" s="12">
        <f t="shared" si="21"/>
        <v>42.33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AX180" s="19">
        <f t="shared" si="27"/>
        <v>42.33</v>
      </c>
    </row>
    <row r="181" spans="1:57" ht="15.75" x14ac:dyDescent="0.25">
      <c r="A181" s="8" t="s">
        <v>174</v>
      </c>
      <c r="B181" s="14">
        <v>541.42999999999995</v>
      </c>
      <c r="C181" s="9">
        <v>2193.25</v>
      </c>
      <c r="D181" s="9"/>
      <c r="E181" s="14">
        <f t="shared" si="24"/>
        <v>1651.8200000000002</v>
      </c>
      <c r="F181" s="12"/>
      <c r="G181" s="14">
        <v>551.20000000000005</v>
      </c>
      <c r="H181" s="12"/>
      <c r="I181" s="12">
        <f t="shared" si="25"/>
        <v>2203.0200000000004</v>
      </c>
      <c r="J181" s="12"/>
      <c r="K181" s="12"/>
      <c r="L181" s="12">
        <f t="shared" si="21"/>
        <v>2203.0200000000004</v>
      </c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AO181" s="19">
        <f>+I181</f>
        <v>2203.0200000000004</v>
      </c>
    </row>
    <row r="182" spans="1:57" ht="15.75" x14ac:dyDescent="0.25">
      <c r="A182" s="8" t="s">
        <v>175</v>
      </c>
      <c r="B182" s="14">
        <v>3950</v>
      </c>
      <c r="C182" s="9">
        <v>5534.53</v>
      </c>
      <c r="D182" s="9"/>
      <c r="E182" s="14">
        <f t="shared" si="24"/>
        <v>1584.5299999999997</v>
      </c>
      <c r="F182" s="12"/>
      <c r="G182" s="14">
        <v>5427.19</v>
      </c>
      <c r="H182" s="12"/>
      <c r="I182" s="12">
        <f t="shared" si="25"/>
        <v>7011.7199999999993</v>
      </c>
      <c r="J182" s="12"/>
      <c r="K182" s="12"/>
      <c r="L182" s="12">
        <f t="shared" si="21"/>
        <v>7011.7199999999993</v>
      </c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AY182" s="19">
        <f>+L182</f>
        <v>7011.7199999999993</v>
      </c>
      <c r="AZ182" s="19"/>
    </row>
    <row r="183" spans="1:57" ht="15.75" x14ac:dyDescent="0.25">
      <c r="A183" s="8" t="s">
        <v>176</v>
      </c>
      <c r="B183" s="14">
        <v>21350.74</v>
      </c>
      <c r="C183" s="9">
        <v>40909.08</v>
      </c>
      <c r="D183" s="9"/>
      <c r="E183" s="14">
        <f t="shared" si="24"/>
        <v>19558.34</v>
      </c>
      <c r="F183" s="12"/>
      <c r="G183" s="14">
        <v>21941.98</v>
      </c>
      <c r="H183" s="12"/>
      <c r="I183" s="12">
        <f t="shared" si="25"/>
        <v>41500.32</v>
      </c>
      <c r="J183" s="12"/>
      <c r="K183" s="12"/>
      <c r="L183" s="12">
        <f t="shared" si="21"/>
        <v>41500.32</v>
      </c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BA183" s="19">
        <f>+L183</f>
        <v>41500.32</v>
      </c>
    </row>
    <row r="184" spans="1:57" ht="15.75" x14ac:dyDescent="0.25">
      <c r="A184" s="8" t="s">
        <v>177</v>
      </c>
      <c r="B184" s="14">
        <v>899.85</v>
      </c>
      <c r="C184" s="9">
        <v>899.85</v>
      </c>
      <c r="D184" s="9"/>
      <c r="E184" s="14">
        <f t="shared" si="24"/>
        <v>0</v>
      </c>
      <c r="F184" s="12"/>
      <c r="G184" s="14">
        <v>0</v>
      </c>
      <c r="H184" s="12"/>
      <c r="I184" s="12">
        <f t="shared" si="25"/>
        <v>0</v>
      </c>
      <c r="J184" s="12"/>
      <c r="K184" s="12"/>
      <c r="L184" s="12">
        <f t="shared" si="21"/>
        <v>0</v>
      </c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57" ht="15.75" x14ac:dyDescent="0.25">
      <c r="A185" s="8" t="s">
        <v>178</v>
      </c>
      <c r="B185" s="14">
        <v>44629.4</v>
      </c>
      <c r="C185" s="9">
        <v>94420.21</v>
      </c>
      <c r="D185" s="9"/>
      <c r="E185" s="14">
        <f t="shared" si="24"/>
        <v>49790.810000000005</v>
      </c>
      <c r="F185" s="12"/>
      <c r="G185" s="14">
        <v>32586.16</v>
      </c>
      <c r="H185" s="12"/>
      <c r="I185" s="12">
        <f t="shared" si="25"/>
        <v>82376.97</v>
      </c>
      <c r="J185" s="12"/>
      <c r="K185" s="12"/>
      <c r="L185" s="12">
        <f t="shared" si="21"/>
        <v>82376.97</v>
      </c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BB185" s="19">
        <f>+L185</f>
        <v>82376.97</v>
      </c>
    </row>
    <row r="186" spans="1:57" ht="15.75" x14ac:dyDescent="0.25">
      <c r="A186" s="8" t="s">
        <v>179</v>
      </c>
      <c r="B186" s="14">
        <v>2243.5</v>
      </c>
      <c r="C186" s="9">
        <v>3928.45</v>
      </c>
      <c r="D186" s="9"/>
      <c r="E186" s="14">
        <f t="shared" si="24"/>
        <v>1684.9499999999998</v>
      </c>
      <c r="F186" s="12"/>
      <c r="G186" s="14">
        <v>822.39</v>
      </c>
      <c r="H186" s="12"/>
      <c r="I186" s="12">
        <f t="shared" si="25"/>
        <v>2507.3399999999997</v>
      </c>
      <c r="J186" s="12"/>
      <c r="K186" s="12"/>
      <c r="L186" s="12">
        <f t="shared" si="21"/>
        <v>2507.3399999999997</v>
      </c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BC186" s="19">
        <f>+L186</f>
        <v>2507.3399999999997</v>
      </c>
    </row>
    <row r="187" spans="1:57" ht="15.75" x14ac:dyDescent="0.25">
      <c r="A187" s="8" t="s">
        <v>249</v>
      </c>
      <c r="B187" s="14">
        <v>72788.320000000007</v>
      </c>
      <c r="C187" s="9">
        <v>141696.43</v>
      </c>
      <c r="D187" s="9"/>
      <c r="E187" s="14">
        <f t="shared" si="24"/>
        <v>68908.109999999986</v>
      </c>
      <c r="F187" s="12"/>
      <c r="G187" s="14">
        <v>92633.88</v>
      </c>
      <c r="H187" s="12"/>
      <c r="I187" s="12">
        <f t="shared" si="25"/>
        <v>161541.99</v>
      </c>
      <c r="J187" s="12"/>
      <c r="K187" s="12"/>
      <c r="L187" s="12">
        <f t="shared" si="21"/>
        <v>161541.99</v>
      </c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AS187" s="19">
        <f>+L187</f>
        <v>161541.99</v>
      </c>
    </row>
    <row r="188" spans="1:57" ht="15.75" x14ac:dyDescent="0.25">
      <c r="A188" s="8" t="s">
        <v>180</v>
      </c>
      <c r="B188" s="14">
        <v>1600</v>
      </c>
      <c r="C188" s="9">
        <v>1600</v>
      </c>
      <c r="D188" s="9"/>
      <c r="E188" s="14">
        <f t="shared" si="24"/>
        <v>0</v>
      </c>
      <c r="F188" s="12"/>
      <c r="G188" s="14">
        <v>2362.88</v>
      </c>
      <c r="H188" s="12"/>
      <c r="I188" s="12">
        <f t="shared" si="25"/>
        <v>2362.88</v>
      </c>
      <c r="J188" s="12"/>
      <c r="K188" s="12"/>
      <c r="L188" s="12">
        <f t="shared" si="21"/>
        <v>2362.88</v>
      </c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AS188" s="19">
        <f>+L188</f>
        <v>2362.88</v>
      </c>
    </row>
    <row r="189" spans="1:57" ht="15.75" x14ac:dyDescent="0.25">
      <c r="A189" s="8" t="s">
        <v>181</v>
      </c>
      <c r="B189" s="14">
        <v>14921.74</v>
      </c>
      <c r="C189" s="9">
        <v>36836.65</v>
      </c>
      <c r="D189" s="9"/>
      <c r="E189" s="14">
        <f t="shared" si="24"/>
        <v>21914.910000000003</v>
      </c>
      <c r="F189" s="12"/>
      <c r="G189" s="14">
        <v>9006.32</v>
      </c>
      <c r="H189" s="12"/>
      <c r="I189" s="12">
        <f t="shared" si="25"/>
        <v>30921.230000000003</v>
      </c>
      <c r="J189" s="12"/>
      <c r="K189" s="12"/>
      <c r="L189" s="12">
        <f t="shared" si="21"/>
        <v>30921.230000000003</v>
      </c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BD189" s="19">
        <f>+L189</f>
        <v>30921.230000000003</v>
      </c>
    </row>
    <row r="190" spans="1:57" ht="15.75" x14ac:dyDescent="0.25">
      <c r="A190" s="8" t="s">
        <v>182</v>
      </c>
      <c r="B190" s="14">
        <v>7611.24</v>
      </c>
      <c r="C190" s="9">
        <v>21798.28</v>
      </c>
      <c r="D190" s="9"/>
      <c r="E190" s="14">
        <f t="shared" si="24"/>
        <v>14187.039999999999</v>
      </c>
      <c r="F190" s="12"/>
      <c r="G190" s="14">
        <v>12183.12</v>
      </c>
      <c r="H190" s="12"/>
      <c r="I190" s="12">
        <f t="shared" si="25"/>
        <v>26370.16</v>
      </c>
      <c r="J190" s="12"/>
      <c r="K190" s="12"/>
      <c r="L190" s="12">
        <f t="shared" ref="L190:L192" si="29">+I190+J190+K190</f>
        <v>26370.16</v>
      </c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BE190" s="19">
        <f>+L190</f>
        <v>26370.16</v>
      </c>
    </row>
    <row r="191" spans="1:57" ht="15.75" x14ac:dyDescent="0.25">
      <c r="A191" s="8" t="s">
        <v>183</v>
      </c>
      <c r="B191" s="14">
        <v>27695.19</v>
      </c>
      <c r="C191" s="12">
        <v>84654.1</v>
      </c>
      <c r="D191" s="12"/>
      <c r="E191" s="14">
        <f t="shared" si="24"/>
        <v>56958.91</v>
      </c>
      <c r="F191" s="12"/>
      <c r="G191" s="14">
        <v>40122.85</v>
      </c>
      <c r="H191" s="12"/>
      <c r="I191" s="12">
        <f t="shared" si="25"/>
        <v>97081.760000000009</v>
      </c>
      <c r="J191" s="12"/>
      <c r="K191" s="12"/>
      <c r="L191" s="12">
        <f t="shared" si="29"/>
        <v>97081.760000000009</v>
      </c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AP191" s="19">
        <f>+L191</f>
        <v>97081.760000000009</v>
      </c>
    </row>
    <row r="192" spans="1:57" ht="15.75" x14ac:dyDescent="0.25">
      <c r="A192" s="8" t="s">
        <v>184</v>
      </c>
      <c r="B192" s="15">
        <v>13977.63</v>
      </c>
      <c r="C192" s="11">
        <v>30519.21</v>
      </c>
      <c r="D192" s="21"/>
      <c r="E192" s="14">
        <f t="shared" si="24"/>
        <v>16541.580000000002</v>
      </c>
      <c r="F192" s="22"/>
      <c r="G192" s="15">
        <v>16547.580000000002</v>
      </c>
      <c r="H192" s="22"/>
      <c r="I192" s="12">
        <f t="shared" si="25"/>
        <v>33089.160000000003</v>
      </c>
      <c r="J192" s="12"/>
      <c r="K192" s="12"/>
      <c r="L192" s="12">
        <f t="shared" si="29"/>
        <v>33089.160000000003</v>
      </c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30">
        <f>+L192</f>
        <v>33089.160000000003</v>
      </c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1:57" ht="15.75" x14ac:dyDescent="0.25">
      <c r="A193" s="8" t="s">
        <v>185</v>
      </c>
      <c r="B193" s="18">
        <f>SUM(B62:B192)</f>
        <v>2744711.0199999991</v>
      </c>
      <c r="C193" s="18">
        <f>SUM(C62:C192)</f>
        <v>5623593.3300000001</v>
      </c>
      <c r="D193" s="20"/>
      <c r="E193" s="18">
        <f>SUM(E62:E192)</f>
        <v>2878882.310000001</v>
      </c>
      <c r="F193" s="20"/>
      <c r="G193" s="18">
        <f>SUM(G62:G192)</f>
        <v>2871798.2000000007</v>
      </c>
      <c r="H193" s="20"/>
      <c r="I193" s="18">
        <f>SUM(I62:I192)</f>
        <v>5750680.5100000007</v>
      </c>
      <c r="J193" s="18">
        <f>SUM(J62:J192)</f>
        <v>-112206.12000000001</v>
      </c>
      <c r="K193" s="18">
        <f>SUM(K62:K192)</f>
        <v>16911.86</v>
      </c>
      <c r="L193" s="18">
        <f>SUM(L62:L192)</f>
        <v>5655386.25</v>
      </c>
      <c r="M193" s="18">
        <f t="shared" ref="M193" si="30">SUM(M137:M192)</f>
        <v>0</v>
      </c>
      <c r="N193" s="12">
        <f>SUM(N58:N192)-N59</f>
        <v>3558398.9699999997</v>
      </c>
      <c r="O193" s="19">
        <f t="shared" ref="O193:BE193" si="31">SUM(O58:O192)-O59</f>
        <v>352137.56</v>
      </c>
      <c r="P193" s="12">
        <f>SUM(P58:P192)-P59</f>
        <v>98866.42</v>
      </c>
      <c r="Q193" s="12">
        <f>SUM(Q58:Q192)-Q59</f>
        <v>643844.79999999993</v>
      </c>
      <c r="R193" s="19">
        <f t="shared" si="31"/>
        <v>974117.70000000007</v>
      </c>
      <c r="S193" s="12">
        <f>SUM(S58:S192)-S59</f>
        <v>4259.1400000000003</v>
      </c>
      <c r="T193" s="12">
        <f>SUM(T58:T192)-T59</f>
        <v>27228.27</v>
      </c>
      <c r="U193" s="12">
        <f>SUM(U58:U192)-U59</f>
        <v>0</v>
      </c>
      <c r="V193" s="19">
        <f t="shared" si="31"/>
        <v>3637.97</v>
      </c>
      <c r="W193" s="19">
        <f t="shared" si="31"/>
        <v>36524.649999999994</v>
      </c>
      <c r="X193" s="19">
        <f t="shared" si="31"/>
        <v>198528.6</v>
      </c>
      <c r="Y193" s="19">
        <f t="shared" si="31"/>
        <v>131415.93</v>
      </c>
      <c r="Z193" s="19">
        <f t="shared" si="31"/>
        <v>318805.56999999989</v>
      </c>
      <c r="AA193" s="19">
        <f t="shared" si="31"/>
        <v>7100.16</v>
      </c>
      <c r="AB193" s="19">
        <f t="shared" si="31"/>
        <v>90018.299999999988</v>
      </c>
      <c r="AC193" s="19">
        <f t="shared" si="31"/>
        <v>-546.19000000000005</v>
      </c>
      <c r="AD193" s="19">
        <f t="shared" si="31"/>
        <v>2028715.92</v>
      </c>
      <c r="AE193" s="19">
        <f t="shared" si="31"/>
        <v>181794.57</v>
      </c>
      <c r="AF193" s="19">
        <f t="shared" si="31"/>
        <v>7319.01</v>
      </c>
      <c r="AG193" s="19">
        <f t="shared" si="31"/>
        <v>141835.20000000001</v>
      </c>
      <c r="AH193" s="19">
        <f t="shared" si="31"/>
        <v>257486.11</v>
      </c>
      <c r="AI193" s="19">
        <f t="shared" si="31"/>
        <v>227838.52</v>
      </c>
      <c r="AJ193" s="19">
        <f t="shared" si="31"/>
        <v>32345.399999999998</v>
      </c>
      <c r="AK193" s="19">
        <f t="shared" si="31"/>
        <v>269140.23</v>
      </c>
      <c r="AL193" s="19">
        <f t="shared" si="31"/>
        <v>113593.63</v>
      </c>
      <c r="AM193" s="19">
        <f t="shared" si="31"/>
        <v>43841.130000000005</v>
      </c>
      <c r="AN193" s="19">
        <f t="shared" si="31"/>
        <v>9262.510000000002</v>
      </c>
      <c r="AO193" s="19">
        <f t="shared" si="31"/>
        <v>138469.10999999999</v>
      </c>
      <c r="AP193" s="19">
        <f t="shared" si="31"/>
        <v>132117.28000000003</v>
      </c>
      <c r="AQ193" s="19">
        <f t="shared" si="31"/>
        <v>434101.83</v>
      </c>
      <c r="AR193" s="19">
        <f t="shared" si="31"/>
        <v>24204.38</v>
      </c>
      <c r="AS193" s="19">
        <f t="shared" si="31"/>
        <v>229233.78999999998</v>
      </c>
      <c r="AT193" s="19">
        <f t="shared" si="31"/>
        <v>45801.64</v>
      </c>
      <c r="AU193" s="19">
        <f t="shared" si="31"/>
        <v>177397.19</v>
      </c>
      <c r="AV193" s="19">
        <f t="shared" si="31"/>
        <v>11213.839999999997</v>
      </c>
      <c r="AW193" s="19">
        <f t="shared" si="31"/>
        <v>120896.20000000001</v>
      </c>
      <c r="AX193" s="19">
        <f t="shared" si="31"/>
        <v>50255.130000000005</v>
      </c>
      <c r="AY193" s="19">
        <f t="shared" si="31"/>
        <v>7011.7199999999993</v>
      </c>
      <c r="AZ193" s="19">
        <f t="shared" si="31"/>
        <v>2350.9000000000024</v>
      </c>
      <c r="BA193" s="19">
        <f t="shared" si="31"/>
        <v>41500.32</v>
      </c>
      <c r="BB193" s="19">
        <f t="shared" si="31"/>
        <v>82376.97</v>
      </c>
      <c r="BC193" s="19">
        <f t="shared" si="31"/>
        <v>2507.3399999999997</v>
      </c>
      <c r="BD193" s="19">
        <f t="shared" si="31"/>
        <v>30921.230000000003</v>
      </c>
      <c r="BE193" s="19">
        <f t="shared" si="31"/>
        <v>26370.16</v>
      </c>
    </row>
    <row r="194" spans="1:57" customFormat="1" ht="15.75" x14ac:dyDescent="0.25">
      <c r="A194" s="10"/>
      <c r="B194" s="13"/>
      <c r="C194" s="13"/>
      <c r="D194" s="13"/>
      <c r="E194" s="13"/>
      <c r="F194" s="9"/>
      <c r="G194" s="13"/>
      <c r="H194" s="9"/>
      <c r="I194" s="12"/>
      <c r="J194" s="12"/>
      <c r="K194" s="12"/>
      <c r="L194" s="12"/>
      <c r="M194" s="9"/>
      <c r="N194" s="25"/>
      <c r="O194" s="25"/>
      <c r="P194" s="25"/>
      <c r="Q194" s="25"/>
      <c r="R194" s="25"/>
      <c r="S194" s="25"/>
      <c r="T194" s="25">
        <f>SUM(N193:T193)</f>
        <v>5658852.8599999994</v>
      </c>
      <c r="U194" s="25"/>
      <c r="V194" s="25">
        <f>SUM(V193:BE193)</f>
        <v>5655386.25</v>
      </c>
      <c r="W194" s="25"/>
    </row>
    <row r="195" spans="1:57" ht="15.75" x14ac:dyDescent="0.25">
      <c r="A195" s="8" t="s">
        <v>1</v>
      </c>
      <c r="B195" s="14">
        <f>+B58-B193</f>
        <v>-197065.57999999821</v>
      </c>
      <c r="C195" s="14">
        <f>+C58-C193</f>
        <v>-342438.50000000186</v>
      </c>
      <c r="D195" s="14"/>
      <c r="E195" s="14">
        <f>+E58-E193</f>
        <v>-145372.92000000179</v>
      </c>
      <c r="F195" s="14"/>
      <c r="G195" s="14">
        <f>+G58-G193</f>
        <v>53545.269999999553</v>
      </c>
      <c r="H195" s="14"/>
      <c r="I195" s="14">
        <f>+I58-I193</f>
        <v>-91827.650000002235</v>
      </c>
      <c r="J195" s="14"/>
      <c r="K195" s="14"/>
      <c r="L195" s="14">
        <f>+L58-L193</f>
        <v>3466.6099999984726</v>
      </c>
      <c r="M195" s="14"/>
      <c r="N195" s="12"/>
      <c r="O195" s="12"/>
      <c r="P195" s="12"/>
      <c r="Q195" s="12"/>
      <c r="R195" s="12"/>
      <c r="S195" s="12"/>
      <c r="T195" s="12"/>
      <c r="U195" s="12"/>
      <c r="V195" s="12">
        <f>+T194-V194</f>
        <v>3466.609999999404</v>
      </c>
      <c r="W195" s="12"/>
    </row>
    <row r="196" spans="1:57" ht="15.75" x14ac:dyDescent="0.25">
      <c r="A196" s="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f>+N58-N193</f>
        <v>0</v>
      </c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57" ht="15.75" x14ac:dyDescent="0.25">
      <c r="A197" s="3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57" ht="15.75" x14ac:dyDescent="0.25">
      <c r="A198" s="3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57" x14ac:dyDescent="0.2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</sheetData>
  <printOptions headings="1" gridLines="1"/>
  <pageMargins left="0.25" right="0.25" top="0.85" bottom="0.75" header="0.3" footer="0.3"/>
  <pageSetup scale="76" fitToHeight="0" orientation="portrait" r:id="rId1"/>
  <headerFooter>
    <oddHeader xml:space="preserve">&amp;L&amp;"Times New Roman,Regular"&amp;8
&amp;10
&amp;C&amp;"Times New Roman,Regular"&amp;8
&amp;10Arrow Launch Service
Income Statement
For the Test Period Ending June 30, 2017
</oddHeader>
    <oddFooter>&amp;L&amp;D&amp;C&amp;F&amp;A&amp;RPage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52" workbookViewId="0">
      <selection activeCell="O66" sqref="O66:O67"/>
    </sheetView>
  </sheetViews>
  <sheetFormatPr defaultRowHeight="15" x14ac:dyDescent="0.25"/>
  <cols>
    <col min="1" max="1" width="23.28515625" customWidth="1"/>
    <col min="2" max="3" width="12.7109375" customWidth="1"/>
    <col min="4" max="13" width="13.42578125" customWidth="1"/>
    <col min="14" max="14" width="12" customWidth="1"/>
    <col min="15" max="15" width="11.42578125" customWidth="1"/>
  </cols>
  <sheetData>
    <row r="1" spans="1:15" ht="15.75" x14ac:dyDescent="0.25">
      <c r="A1" s="130" t="s">
        <v>236</v>
      </c>
      <c r="B1" s="130"/>
      <c r="C1" s="130"/>
      <c r="D1" s="131"/>
      <c r="E1" s="131"/>
      <c r="F1" s="131"/>
      <c r="G1" s="131"/>
      <c r="H1" s="132"/>
      <c r="I1" s="132"/>
      <c r="J1" s="131"/>
      <c r="K1" s="133"/>
      <c r="L1" s="133"/>
      <c r="M1" s="134"/>
    </row>
    <row r="2" spans="1:15" ht="15.75" x14ac:dyDescent="0.25">
      <c r="A2" s="208" t="s">
        <v>774</v>
      </c>
      <c r="B2" s="208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8"/>
    </row>
    <row r="3" spans="1:15" ht="15.75" x14ac:dyDescent="0.25">
      <c r="A3" s="210" t="s">
        <v>775</v>
      </c>
      <c r="B3" s="67"/>
      <c r="C3" s="67"/>
      <c r="D3" s="67"/>
      <c r="E3" s="67"/>
      <c r="F3" s="67"/>
      <c r="G3" s="67"/>
      <c r="H3" s="67"/>
      <c r="I3" s="67"/>
      <c r="J3" s="67"/>
      <c r="K3" s="210"/>
      <c r="L3" s="210"/>
      <c r="M3" s="211"/>
    </row>
    <row r="4" spans="1:15" ht="15.75" x14ac:dyDescent="0.25">
      <c r="A4" s="135"/>
      <c r="B4" s="135"/>
      <c r="C4" s="135"/>
      <c r="D4" s="214" t="s">
        <v>689</v>
      </c>
      <c r="E4" s="214"/>
      <c r="F4" s="214" t="s">
        <v>690</v>
      </c>
      <c r="G4" s="214"/>
      <c r="H4" s="214" t="s">
        <v>691</v>
      </c>
      <c r="I4" s="214"/>
      <c r="J4" s="214" t="s">
        <v>692</v>
      </c>
      <c r="K4" s="214"/>
      <c r="L4" s="215" t="s">
        <v>693</v>
      </c>
      <c r="M4" s="215"/>
      <c r="N4" s="34" t="s">
        <v>778</v>
      </c>
      <c r="O4" s="34"/>
    </row>
    <row r="5" spans="1:15" ht="16.5" thickBot="1" x14ac:dyDescent="0.3">
      <c r="A5" s="136" t="s">
        <v>694</v>
      </c>
      <c r="B5" s="136" t="s">
        <v>695</v>
      </c>
      <c r="C5" s="136" t="s">
        <v>696</v>
      </c>
      <c r="D5" s="137" t="s">
        <v>697</v>
      </c>
      <c r="E5" s="137" t="s">
        <v>698</v>
      </c>
      <c r="F5" s="137" t="s">
        <v>697</v>
      </c>
      <c r="G5" s="137" t="s">
        <v>698</v>
      </c>
      <c r="H5" s="137" t="s">
        <v>697</v>
      </c>
      <c r="I5" s="137" t="s">
        <v>698</v>
      </c>
      <c r="J5" s="137" t="s">
        <v>697</v>
      </c>
      <c r="K5" s="137" t="s">
        <v>698</v>
      </c>
      <c r="L5" s="137" t="s">
        <v>697</v>
      </c>
      <c r="M5" s="138" t="s">
        <v>698</v>
      </c>
      <c r="N5" s="138" t="s">
        <v>779</v>
      </c>
      <c r="O5" s="213" t="s">
        <v>206</v>
      </c>
    </row>
    <row r="6" spans="1:15" ht="15.75" x14ac:dyDescent="0.25">
      <c r="A6" s="139"/>
      <c r="B6" s="139"/>
      <c r="C6" s="140">
        <v>1</v>
      </c>
      <c r="D6" s="141"/>
      <c r="E6" s="141"/>
      <c r="F6" s="60">
        <v>7</v>
      </c>
      <c r="G6" s="60">
        <v>183.21</v>
      </c>
      <c r="H6" s="14">
        <v>3</v>
      </c>
      <c r="I6" s="14">
        <v>70.92</v>
      </c>
      <c r="J6" s="142"/>
      <c r="K6" s="142"/>
      <c r="L6" s="143">
        <f t="shared" ref="L6:M37" si="0">+D6+F6+H6+J6</f>
        <v>10</v>
      </c>
      <c r="M6" s="143">
        <f t="shared" si="0"/>
        <v>254.13</v>
      </c>
    </row>
    <row r="7" spans="1:15" ht="15.75" x14ac:dyDescent="0.25">
      <c r="A7" s="200" t="s">
        <v>700</v>
      </c>
      <c r="B7" s="57"/>
      <c r="C7" s="144">
        <f>1+1</f>
        <v>2</v>
      </c>
      <c r="D7" s="21">
        <v>137.75</v>
      </c>
      <c r="E7" s="21">
        <v>2765</v>
      </c>
      <c r="F7" s="60"/>
      <c r="G7" s="60"/>
      <c r="H7" s="145"/>
      <c r="I7" s="145"/>
      <c r="J7" s="142"/>
      <c r="K7" s="142"/>
      <c r="L7" s="143">
        <f t="shared" si="0"/>
        <v>137.75</v>
      </c>
      <c r="M7" s="143">
        <f t="shared" si="0"/>
        <v>2765</v>
      </c>
    </row>
    <row r="8" spans="1:15" ht="15.75" x14ac:dyDescent="0.25">
      <c r="A8" s="200" t="s">
        <v>701</v>
      </c>
      <c r="B8" s="57"/>
      <c r="C8" s="144">
        <f>+C7+1</f>
        <v>3</v>
      </c>
      <c r="D8" s="146"/>
      <c r="E8" s="146"/>
      <c r="F8" s="60"/>
      <c r="G8" s="60"/>
      <c r="H8" s="14">
        <v>400</v>
      </c>
      <c r="I8" s="14">
        <v>7083.35</v>
      </c>
      <c r="J8" s="142">
        <v>480</v>
      </c>
      <c r="K8" s="142">
        <v>8500.02</v>
      </c>
      <c r="L8" s="143">
        <f t="shared" si="0"/>
        <v>880</v>
      </c>
      <c r="M8" s="143">
        <f t="shared" si="0"/>
        <v>15583.37</v>
      </c>
    </row>
    <row r="9" spans="1:15" ht="15.75" x14ac:dyDescent="0.25">
      <c r="A9" s="57"/>
      <c r="B9" s="57"/>
      <c r="C9" s="144">
        <f t="shared" ref="C9:C66" si="1">+C8+1</f>
        <v>4</v>
      </c>
      <c r="D9" s="14">
        <v>480</v>
      </c>
      <c r="E9" s="14">
        <v>24607.919999999998</v>
      </c>
      <c r="F9" s="60">
        <v>432</v>
      </c>
      <c r="G9" s="60">
        <v>21336</v>
      </c>
      <c r="H9" s="14">
        <v>384</v>
      </c>
      <c r="I9" s="14">
        <v>19700.04</v>
      </c>
      <c r="J9" s="142">
        <v>384</v>
      </c>
      <c r="K9" s="142">
        <v>34608.949999999997</v>
      </c>
      <c r="L9" s="143">
        <f t="shared" si="0"/>
        <v>1680</v>
      </c>
      <c r="M9" s="143">
        <f t="shared" si="0"/>
        <v>100252.90999999999</v>
      </c>
    </row>
    <row r="10" spans="1:15" ht="15.75" x14ac:dyDescent="0.25">
      <c r="A10" s="57"/>
      <c r="B10" s="57"/>
      <c r="C10" s="144">
        <f t="shared" si="1"/>
        <v>5</v>
      </c>
      <c r="D10" s="14">
        <v>480</v>
      </c>
      <c r="E10" s="14">
        <v>14791.67</v>
      </c>
      <c r="F10" s="60">
        <v>480</v>
      </c>
      <c r="G10" s="60">
        <v>13750.02</v>
      </c>
      <c r="H10" s="14">
        <v>480</v>
      </c>
      <c r="I10" s="14">
        <v>13750.02</v>
      </c>
      <c r="J10" s="142">
        <v>480</v>
      </c>
      <c r="K10" s="142">
        <v>13750.02</v>
      </c>
      <c r="L10" s="143">
        <f t="shared" si="0"/>
        <v>1920</v>
      </c>
      <c r="M10" s="143">
        <f t="shared" si="0"/>
        <v>56041.73000000001</v>
      </c>
      <c r="O10" s="77">
        <f>ROUND(+M10*0.025,2)</f>
        <v>1401.04</v>
      </c>
    </row>
    <row r="11" spans="1:15" ht="15.75" x14ac:dyDescent="0.25">
      <c r="A11" s="57"/>
      <c r="B11" s="57"/>
      <c r="C11" s="144">
        <f t="shared" si="1"/>
        <v>6</v>
      </c>
      <c r="D11" s="14">
        <v>480</v>
      </c>
      <c r="E11" s="14">
        <v>11250</v>
      </c>
      <c r="F11" s="60">
        <v>480</v>
      </c>
      <c r="G11" s="60">
        <v>11250</v>
      </c>
      <c r="H11" s="14">
        <v>480</v>
      </c>
      <c r="I11" s="14">
        <v>11250</v>
      </c>
      <c r="J11" s="142">
        <v>480</v>
      </c>
      <c r="K11" s="142">
        <v>11250</v>
      </c>
      <c r="L11" s="143">
        <f t="shared" si="0"/>
        <v>1920</v>
      </c>
      <c r="M11" s="143">
        <f t="shared" si="0"/>
        <v>45000</v>
      </c>
      <c r="O11" s="77">
        <f>ROUND(+M11*0.025,2)</f>
        <v>1125</v>
      </c>
    </row>
    <row r="12" spans="1:15" ht="15.75" x14ac:dyDescent="0.25">
      <c r="A12" s="57"/>
      <c r="B12" s="57"/>
      <c r="C12" s="144">
        <f t="shared" si="1"/>
        <v>7</v>
      </c>
      <c r="D12" s="14">
        <v>2</v>
      </c>
      <c r="E12" s="14">
        <v>40</v>
      </c>
      <c r="F12" s="60"/>
      <c r="G12" s="60"/>
      <c r="H12" s="145"/>
      <c r="I12" s="145"/>
      <c r="J12" s="142"/>
      <c r="K12" s="142"/>
      <c r="L12" s="143">
        <f t="shared" si="0"/>
        <v>2</v>
      </c>
      <c r="M12" s="143">
        <f t="shared" si="0"/>
        <v>40</v>
      </c>
    </row>
    <row r="13" spans="1:15" ht="15.75" x14ac:dyDescent="0.25">
      <c r="A13" s="57"/>
      <c r="B13" s="57"/>
      <c r="C13" s="144">
        <f t="shared" si="1"/>
        <v>8</v>
      </c>
      <c r="D13" s="14">
        <v>269.5</v>
      </c>
      <c r="E13" s="14">
        <v>9301.01</v>
      </c>
      <c r="F13" s="60">
        <v>323.5</v>
      </c>
      <c r="G13" s="60">
        <v>10966.19</v>
      </c>
      <c r="H13" s="14">
        <v>433.25</v>
      </c>
      <c r="I13" s="14">
        <v>14838.25</v>
      </c>
      <c r="J13" s="142">
        <v>432</v>
      </c>
      <c r="K13" s="142">
        <v>14561.38</v>
      </c>
      <c r="L13" s="143">
        <f t="shared" si="0"/>
        <v>1458.25</v>
      </c>
      <c r="M13" s="143">
        <f t="shared" si="0"/>
        <v>49666.829999999994</v>
      </c>
      <c r="N13" s="77">
        <f>ROUND(+M13*0.025,2)</f>
        <v>1241.67</v>
      </c>
    </row>
    <row r="14" spans="1:15" ht="15.75" x14ac:dyDescent="0.25">
      <c r="A14" s="57"/>
      <c r="B14" s="57"/>
      <c r="C14" s="144">
        <f t="shared" si="1"/>
        <v>9</v>
      </c>
      <c r="D14" s="14">
        <v>57.75</v>
      </c>
      <c r="E14" s="14">
        <v>1057.5</v>
      </c>
      <c r="F14" s="147"/>
      <c r="G14" s="147"/>
      <c r="H14" s="145"/>
      <c r="I14" s="145"/>
      <c r="J14" s="142"/>
      <c r="K14" s="142"/>
      <c r="L14" s="143">
        <f t="shared" si="0"/>
        <v>57.75</v>
      </c>
      <c r="M14" s="143">
        <f t="shared" si="0"/>
        <v>1057.5</v>
      </c>
    </row>
    <row r="15" spans="1:15" ht="15.75" x14ac:dyDescent="0.25">
      <c r="A15" s="148"/>
      <c r="B15" s="148"/>
      <c r="C15" s="144">
        <f t="shared" si="1"/>
        <v>10</v>
      </c>
      <c r="D15" s="149"/>
      <c r="E15" s="149"/>
      <c r="F15" s="60">
        <v>2</v>
      </c>
      <c r="G15" s="60">
        <v>64.2</v>
      </c>
      <c r="H15" s="14"/>
      <c r="I15" s="14"/>
      <c r="J15" s="142">
        <v>6</v>
      </c>
      <c r="K15" s="142">
        <v>192.6</v>
      </c>
      <c r="L15" s="143">
        <f t="shared" si="0"/>
        <v>8</v>
      </c>
      <c r="M15" s="143">
        <f t="shared" si="0"/>
        <v>256.8</v>
      </c>
      <c r="N15" s="77">
        <f>ROUND(+M15*0.025,2)</f>
        <v>6.42</v>
      </c>
    </row>
    <row r="16" spans="1:15" ht="15.75" x14ac:dyDescent="0.25">
      <c r="A16" s="57"/>
      <c r="B16" s="57"/>
      <c r="C16" s="144">
        <f t="shared" si="1"/>
        <v>11</v>
      </c>
      <c r="D16" s="14">
        <v>91.5</v>
      </c>
      <c r="E16" s="14">
        <v>3106.76</v>
      </c>
      <c r="F16" s="60">
        <v>2</v>
      </c>
      <c r="G16" s="60">
        <v>58.34</v>
      </c>
      <c r="H16" s="14"/>
      <c r="I16" s="14"/>
      <c r="J16" s="142"/>
      <c r="K16" s="142"/>
      <c r="L16" s="143">
        <f t="shared" si="0"/>
        <v>93.5</v>
      </c>
      <c r="M16" s="143">
        <f t="shared" si="0"/>
        <v>3165.1000000000004</v>
      </c>
    </row>
    <row r="17" spans="1:15" ht="15.75" x14ac:dyDescent="0.25">
      <c r="A17" s="57"/>
      <c r="B17" s="57"/>
      <c r="C17" s="144">
        <f t="shared" si="1"/>
        <v>12</v>
      </c>
      <c r="D17" s="14">
        <v>595</v>
      </c>
      <c r="E17" s="14">
        <v>9157.51</v>
      </c>
      <c r="F17" s="60">
        <v>568.5</v>
      </c>
      <c r="G17" s="60">
        <v>8761.8799999999992</v>
      </c>
      <c r="H17" s="14">
        <v>575.02</v>
      </c>
      <c r="I17" s="14">
        <v>8749.0499999999993</v>
      </c>
      <c r="J17" s="142">
        <v>553.75</v>
      </c>
      <c r="K17" s="142">
        <v>10158.129999999999</v>
      </c>
      <c r="L17" s="143">
        <f t="shared" si="0"/>
        <v>2292.27</v>
      </c>
      <c r="M17" s="143">
        <f t="shared" si="0"/>
        <v>36826.57</v>
      </c>
      <c r="N17" s="77">
        <f>ROUND(+M17*0.025,2)</f>
        <v>920.66</v>
      </c>
    </row>
    <row r="18" spans="1:15" ht="15.75" x14ac:dyDescent="0.25">
      <c r="A18" s="57"/>
      <c r="B18" s="57"/>
      <c r="C18" s="144">
        <f t="shared" si="1"/>
        <v>13</v>
      </c>
      <c r="D18" s="14"/>
      <c r="E18" s="14"/>
      <c r="F18" s="60"/>
      <c r="G18" s="60"/>
      <c r="H18" s="14">
        <v>202.25</v>
      </c>
      <c r="I18" s="14">
        <v>5467.06</v>
      </c>
      <c r="J18" s="142">
        <v>315</v>
      </c>
      <c r="K18" s="142">
        <v>8831</v>
      </c>
      <c r="L18" s="143">
        <f t="shared" si="0"/>
        <v>517.25</v>
      </c>
      <c r="M18" s="143">
        <f t="shared" si="0"/>
        <v>14298.060000000001</v>
      </c>
    </row>
    <row r="19" spans="1:15" ht="15.75" x14ac:dyDescent="0.25">
      <c r="A19" s="57"/>
      <c r="B19" s="57"/>
      <c r="C19" s="144">
        <f t="shared" si="1"/>
        <v>14</v>
      </c>
      <c r="D19" s="14">
        <v>490.95</v>
      </c>
      <c r="E19" s="14">
        <v>13757.94</v>
      </c>
      <c r="F19" s="60">
        <v>486.7</v>
      </c>
      <c r="G19" s="60">
        <v>13347.36</v>
      </c>
      <c r="H19" s="14">
        <v>533</v>
      </c>
      <c r="I19" s="14">
        <v>14675.34</v>
      </c>
      <c r="J19" s="142">
        <v>458.4</v>
      </c>
      <c r="K19" s="142">
        <v>12439.67</v>
      </c>
      <c r="L19" s="143">
        <f t="shared" si="0"/>
        <v>1969.0500000000002</v>
      </c>
      <c r="M19" s="143">
        <f t="shared" si="0"/>
        <v>54220.31</v>
      </c>
      <c r="N19" s="77">
        <f>ROUND(+M19*0.025,2)</f>
        <v>1355.51</v>
      </c>
    </row>
    <row r="20" spans="1:15" ht="15.75" x14ac:dyDescent="0.25">
      <c r="A20" s="57"/>
      <c r="B20" s="57"/>
      <c r="C20" s="144">
        <f t="shared" si="1"/>
        <v>15</v>
      </c>
      <c r="D20" s="14"/>
      <c r="E20" s="14"/>
      <c r="F20" s="60"/>
      <c r="G20" s="60"/>
      <c r="H20" s="14">
        <v>16</v>
      </c>
      <c r="I20" s="14">
        <v>288</v>
      </c>
      <c r="J20" s="142">
        <v>602</v>
      </c>
      <c r="K20" s="142">
        <v>11209.5</v>
      </c>
      <c r="L20" s="143">
        <f t="shared" si="0"/>
        <v>618</v>
      </c>
      <c r="M20" s="143">
        <f t="shared" si="0"/>
        <v>11497.5</v>
      </c>
      <c r="N20" s="77">
        <f>ROUND(+M20*0.025,2)</f>
        <v>287.44</v>
      </c>
    </row>
    <row r="21" spans="1:15" ht="15.75" x14ac:dyDescent="0.25">
      <c r="A21" s="57"/>
      <c r="B21" s="57"/>
      <c r="C21" s="144">
        <f t="shared" si="1"/>
        <v>16</v>
      </c>
      <c r="D21" s="14">
        <v>480</v>
      </c>
      <c r="E21" s="14">
        <v>18360</v>
      </c>
      <c r="F21" s="60">
        <v>480</v>
      </c>
      <c r="G21" s="60">
        <v>18360</v>
      </c>
      <c r="H21" s="14">
        <v>480</v>
      </c>
      <c r="I21" s="14">
        <v>18360</v>
      </c>
      <c r="J21" s="142">
        <v>480</v>
      </c>
      <c r="K21" s="142">
        <v>18360</v>
      </c>
      <c r="L21" s="143">
        <f t="shared" si="0"/>
        <v>1920</v>
      </c>
      <c r="M21" s="143">
        <f t="shared" si="0"/>
        <v>73440</v>
      </c>
      <c r="O21" s="77">
        <f>ROUND(+M21*0.025,2)</f>
        <v>1836</v>
      </c>
    </row>
    <row r="22" spans="1:15" ht="15.75" x14ac:dyDescent="0.25">
      <c r="A22" s="57"/>
      <c r="B22" s="57"/>
      <c r="C22" s="144">
        <f t="shared" si="1"/>
        <v>17</v>
      </c>
      <c r="D22" s="14">
        <v>582.5</v>
      </c>
      <c r="E22" s="14">
        <v>20686.62</v>
      </c>
      <c r="F22" s="60">
        <v>633.75</v>
      </c>
      <c r="G22" s="60">
        <v>22134.51</v>
      </c>
      <c r="H22" s="14">
        <v>668.17</v>
      </c>
      <c r="I22" s="14">
        <v>23328.2</v>
      </c>
      <c r="J22" s="142">
        <v>638.25</v>
      </c>
      <c r="K22" s="142">
        <v>22312.25</v>
      </c>
      <c r="L22" s="143">
        <f t="shared" si="0"/>
        <v>2522.67</v>
      </c>
      <c r="M22" s="143">
        <f t="shared" si="0"/>
        <v>88461.58</v>
      </c>
      <c r="N22" s="77">
        <f>ROUND(+M22*0.025,2)</f>
        <v>2211.54</v>
      </c>
    </row>
    <row r="23" spans="1:15" ht="15.75" x14ac:dyDescent="0.25">
      <c r="A23" s="57"/>
      <c r="B23" s="57"/>
      <c r="C23" s="144">
        <f t="shared" si="1"/>
        <v>18</v>
      </c>
      <c r="D23" s="14">
        <v>257</v>
      </c>
      <c r="E23" s="14">
        <v>8111.25</v>
      </c>
      <c r="F23" s="60">
        <v>755.75</v>
      </c>
      <c r="G23" s="60">
        <v>21942.880000000001</v>
      </c>
      <c r="H23" s="14">
        <v>715</v>
      </c>
      <c r="I23" s="14">
        <v>18416.400000000001</v>
      </c>
      <c r="J23" s="150">
        <v>643.75</v>
      </c>
      <c r="K23" s="150">
        <v>15978.39</v>
      </c>
      <c r="L23" s="143">
        <f t="shared" si="0"/>
        <v>2371.5</v>
      </c>
      <c r="M23" s="143">
        <f t="shared" si="0"/>
        <v>64448.92</v>
      </c>
    </row>
    <row r="24" spans="1:15" ht="15.75" x14ac:dyDescent="0.25">
      <c r="A24" s="57"/>
      <c r="B24" s="57"/>
      <c r="C24" s="144">
        <f t="shared" si="1"/>
        <v>19</v>
      </c>
      <c r="D24" s="151">
        <f>80+80</f>
        <v>160</v>
      </c>
      <c r="E24" s="151">
        <v>7679.52</v>
      </c>
      <c r="F24" s="148">
        <v>480</v>
      </c>
      <c r="G24" s="148">
        <v>23038.560000000001</v>
      </c>
      <c r="H24" s="151">
        <v>480</v>
      </c>
      <c r="I24" s="151">
        <v>23038.560000000001</v>
      </c>
      <c r="J24" s="152">
        <v>480</v>
      </c>
      <c r="K24" s="150">
        <v>23038.560000000001</v>
      </c>
      <c r="L24" s="143">
        <f t="shared" si="0"/>
        <v>1600</v>
      </c>
      <c r="M24" s="143">
        <f t="shared" si="0"/>
        <v>76795.199999999997</v>
      </c>
    </row>
    <row r="25" spans="1:15" ht="15.75" x14ac:dyDescent="0.25">
      <c r="A25" s="57"/>
      <c r="B25" s="57"/>
      <c r="C25" s="144">
        <f t="shared" si="1"/>
        <v>20</v>
      </c>
      <c r="D25" s="14">
        <v>16.5</v>
      </c>
      <c r="E25" s="14">
        <v>849.75</v>
      </c>
      <c r="F25" s="60">
        <v>200.75</v>
      </c>
      <c r="G25" s="60">
        <v>9038.26</v>
      </c>
      <c r="H25" s="14">
        <v>141</v>
      </c>
      <c r="I25" s="14">
        <v>6092.45</v>
      </c>
      <c r="J25" s="150">
        <v>139</v>
      </c>
      <c r="K25" s="150">
        <v>5881.3</v>
      </c>
      <c r="L25" s="143">
        <f t="shared" si="0"/>
        <v>497.25</v>
      </c>
      <c r="M25" s="143">
        <f t="shared" si="0"/>
        <v>21861.759999999998</v>
      </c>
    </row>
    <row r="26" spans="1:15" ht="15.75" x14ac:dyDescent="0.25">
      <c r="A26" s="57"/>
      <c r="B26" s="57"/>
      <c r="C26" s="144">
        <f t="shared" si="1"/>
        <v>21</v>
      </c>
      <c r="D26" s="14">
        <v>360</v>
      </c>
      <c r="E26" s="14">
        <v>10296</v>
      </c>
      <c r="F26" s="60">
        <v>360</v>
      </c>
      <c r="G26" s="60">
        <v>10296</v>
      </c>
      <c r="H26" s="14">
        <v>360</v>
      </c>
      <c r="I26" s="14">
        <v>10296</v>
      </c>
      <c r="J26" s="150">
        <v>360</v>
      </c>
      <c r="K26" s="150">
        <v>10296</v>
      </c>
      <c r="L26" s="143">
        <f t="shared" si="0"/>
        <v>1440</v>
      </c>
      <c r="M26" s="143">
        <f t="shared" si="0"/>
        <v>41184</v>
      </c>
    </row>
    <row r="27" spans="1:15" ht="15.75" x14ac:dyDescent="0.25">
      <c r="A27" s="57"/>
      <c r="B27" s="57"/>
      <c r="C27" s="144">
        <f t="shared" si="1"/>
        <v>22</v>
      </c>
      <c r="D27" s="14">
        <v>480</v>
      </c>
      <c r="E27" s="14">
        <v>10206.120000000001</v>
      </c>
      <c r="F27" s="60">
        <v>480</v>
      </c>
      <c r="G27" s="60">
        <v>10206.120000000001</v>
      </c>
      <c r="H27" s="14">
        <v>480</v>
      </c>
      <c r="I27" s="14">
        <v>10206.120000000001</v>
      </c>
      <c r="J27" s="150">
        <v>360</v>
      </c>
      <c r="K27" s="150">
        <v>10206.120000000001</v>
      </c>
      <c r="L27" s="143">
        <f t="shared" si="0"/>
        <v>1800</v>
      </c>
      <c r="M27" s="143">
        <f t="shared" si="0"/>
        <v>40824.480000000003</v>
      </c>
      <c r="O27" s="77">
        <f>ROUND(+M27*0.025,2)</f>
        <v>1020.61</v>
      </c>
    </row>
    <row r="28" spans="1:15" ht="15.75" x14ac:dyDescent="0.25">
      <c r="A28" s="57"/>
      <c r="B28" s="57"/>
      <c r="C28" s="144">
        <f t="shared" si="1"/>
        <v>23</v>
      </c>
      <c r="D28" s="14">
        <v>120</v>
      </c>
      <c r="E28" s="14">
        <v>1693.2</v>
      </c>
      <c r="F28" s="60">
        <v>120</v>
      </c>
      <c r="G28" s="60">
        <v>1693.2</v>
      </c>
      <c r="H28" s="14">
        <v>120</v>
      </c>
      <c r="I28" s="14">
        <v>1693.2</v>
      </c>
      <c r="J28" s="150">
        <v>120</v>
      </c>
      <c r="K28" s="150">
        <v>1693.2</v>
      </c>
      <c r="L28" s="143">
        <f t="shared" si="0"/>
        <v>480</v>
      </c>
      <c r="M28" s="143">
        <f t="shared" si="0"/>
        <v>6772.8</v>
      </c>
    </row>
    <row r="29" spans="1:15" ht="15.75" x14ac:dyDescent="0.25">
      <c r="A29" s="57"/>
      <c r="B29" s="57"/>
      <c r="C29" s="144">
        <f t="shared" si="1"/>
        <v>24</v>
      </c>
      <c r="D29" s="14">
        <v>528</v>
      </c>
      <c r="E29" s="14">
        <v>16260</v>
      </c>
      <c r="F29" s="60">
        <v>528</v>
      </c>
      <c r="G29" s="60">
        <v>16260</v>
      </c>
      <c r="H29" s="14">
        <v>528</v>
      </c>
      <c r="I29" s="14">
        <v>16260</v>
      </c>
      <c r="J29" s="150">
        <v>528</v>
      </c>
      <c r="K29" s="150">
        <v>16260</v>
      </c>
      <c r="L29" s="143">
        <f t="shared" si="0"/>
        <v>2112</v>
      </c>
      <c r="M29" s="143">
        <f t="shared" si="0"/>
        <v>65040</v>
      </c>
    </row>
    <row r="30" spans="1:15" ht="15.75" x14ac:dyDescent="0.25">
      <c r="A30" s="57"/>
      <c r="B30" s="57"/>
      <c r="C30" s="144">
        <f t="shared" si="1"/>
        <v>25</v>
      </c>
      <c r="D30" s="14"/>
      <c r="E30" s="14"/>
      <c r="F30" s="60"/>
      <c r="G30" s="60"/>
      <c r="H30" s="14"/>
      <c r="I30" s="14"/>
      <c r="J30" s="150">
        <v>433</v>
      </c>
      <c r="K30" s="150">
        <v>11724.75</v>
      </c>
      <c r="L30" s="143">
        <f t="shared" si="0"/>
        <v>433</v>
      </c>
      <c r="M30" s="143">
        <f t="shared" si="0"/>
        <v>11724.75</v>
      </c>
      <c r="N30" s="77">
        <f>ROUND(+M30*0.025,2)</f>
        <v>293.12</v>
      </c>
    </row>
    <row r="31" spans="1:15" ht="15.75" x14ac:dyDescent="0.25">
      <c r="A31" s="57"/>
      <c r="B31" s="57"/>
      <c r="C31" s="144">
        <f t="shared" si="1"/>
        <v>26</v>
      </c>
      <c r="D31" s="14">
        <v>164</v>
      </c>
      <c r="E31" s="14">
        <v>5400.83</v>
      </c>
      <c r="F31" s="60">
        <v>12.75</v>
      </c>
      <c r="G31" s="60">
        <v>409.28</v>
      </c>
      <c r="H31" s="14">
        <v>125.03</v>
      </c>
      <c r="I31" s="14">
        <v>4045.56</v>
      </c>
      <c r="J31" s="150">
        <v>123.25</v>
      </c>
      <c r="K31" s="150">
        <v>4084.74</v>
      </c>
      <c r="L31" s="143">
        <f t="shared" si="0"/>
        <v>425.03</v>
      </c>
      <c r="M31" s="143">
        <f t="shared" si="0"/>
        <v>13940.41</v>
      </c>
      <c r="N31" s="77">
        <f t="shared" ref="N31:N35" si="2">ROUND(+M31*0.025,2)</f>
        <v>348.51</v>
      </c>
    </row>
    <row r="32" spans="1:15" ht="15.75" x14ac:dyDescent="0.25">
      <c r="A32" s="57"/>
      <c r="B32" s="57"/>
      <c r="C32" s="144">
        <f t="shared" si="1"/>
        <v>27</v>
      </c>
      <c r="D32" s="14">
        <v>23.25</v>
      </c>
      <c r="E32" s="14">
        <v>866.75</v>
      </c>
      <c r="F32" s="60"/>
      <c r="G32" s="60"/>
      <c r="H32" s="14">
        <v>259.75</v>
      </c>
      <c r="I32" s="14">
        <v>9709.32</v>
      </c>
      <c r="J32" s="150">
        <v>144.75</v>
      </c>
      <c r="K32" s="150">
        <v>5270.52</v>
      </c>
      <c r="L32" s="143">
        <f t="shared" si="0"/>
        <v>427.75</v>
      </c>
      <c r="M32" s="143">
        <f t="shared" si="0"/>
        <v>15846.59</v>
      </c>
      <c r="N32" s="77">
        <f t="shared" si="2"/>
        <v>396.16</v>
      </c>
    </row>
    <row r="33" spans="1:15" ht="15.75" x14ac:dyDescent="0.25">
      <c r="A33" s="57"/>
      <c r="B33" s="57"/>
      <c r="C33" s="144">
        <f t="shared" si="1"/>
        <v>28</v>
      </c>
      <c r="D33" s="14">
        <v>19.75</v>
      </c>
      <c r="E33" s="14">
        <v>670.1</v>
      </c>
      <c r="F33" s="60">
        <v>108.5</v>
      </c>
      <c r="G33" s="60">
        <v>3599.23</v>
      </c>
      <c r="H33" s="14">
        <v>72</v>
      </c>
      <c r="I33" s="14">
        <v>2367.38</v>
      </c>
      <c r="J33" s="150">
        <v>235.75</v>
      </c>
      <c r="K33" s="150">
        <v>7776.25</v>
      </c>
      <c r="L33" s="143">
        <f t="shared" si="0"/>
        <v>436</v>
      </c>
      <c r="M33" s="143">
        <f t="shared" si="0"/>
        <v>14412.96</v>
      </c>
      <c r="N33" s="77">
        <f t="shared" si="2"/>
        <v>360.32</v>
      </c>
    </row>
    <row r="34" spans="1:15" ht="15.75" x14ac:dyDescent="0.25">
      <c r="A34" s="57"/>
      <c r="B34" s="57"/>
      <c r="C34" s="144">
        <f t="shared" si="1"/>
        <v>29</v>
      </c>
      <c r="D34" s="14">
        <v>480</v>
      </c>
      <c r="E34" s="14">
        <v>23082.63</v>
      </c>
      <c r="F34" s="60">
        <v>485.75</v>
      </c>
      <c r="G34" s="60">
        <v>23347.29</v>
      </c>
      <c r="H34" s="14">
        <v>487.25</v>
      </c>
      <c r="I34" s="14">
        <v>26951.48</v>
      </c>
      <c r="J34" s="150">
        <v>484</v>
      </c>
      <c r="K34" s="150">
        <v>23308.04</v>
      </c>
      <c r="L34" s="143">
        <f t="shared" si="0"/>
        <v>1937</v>
      </c>
      <c r="M34" s="143">
        <f t="shared" si="0"/>
        <v>96689.44</v>
      </c>
      <c r="N34" s="77">
        <f t="shared" si="2"/>
        <v>2417.2399999999998</v>
      </c>
    </row>
    <row r="35" spans="1:15" ht="15.75" x14ac:dyDescent="0.25">
      <c r="A35" s="57"/>
      <c r="B35" s="57"/>
      <c r="C35" s="144">
        <f t="shared" si="1"/>
        <v>30</v>
      </c>
      <c r="D35" s="14">
        <v>497.5</v>
      </c>
      <c r="E35" s="14">
        <v>17439.71</v>
      </c>
      <c r="F35" s="60">
        <v>579.4</v>
      </c>
      <c r="G35" s="60">
        <v>20301.669999999998</v>
      </c>
      <c r="H35" s="14">
        <v>531.19000000000005</v>
      </c>
      <c r="I35" s="14">
        <v>18530.05</v>
      </c>
      <c r="J35" s="150">
        <v>559.25</v>
      </c>
      <c r="K35" s="150">
        <v>19563.86</v>
      </c>
      <c r="L35" s="143">
        <f t="shared" si="0"/>
        <v>2167.34</v>
      </c>
      <c r="M35" s="143">
        <f t="shared" si="0"/>
        <v>75835.289999999994</v>
      </c>
      <c r="N35" s="77">
        <f t="shared" si="2"/>
        <v>1895.88</v>
      </c>
    </row>
    <row r="36" spans="1:15" ht="15.75" x14ac:dyDescent="0.25">
      <c r="A36" s="57"/>
      <c r="B36" s="57"/>
      <c r="C36" s="144">
        <f t="shared" si="1"/>
        <v>31</v>
      </c>
      <c r="D36" s="14">
        <v>480</v>
      </c>
      <c r="E36" s="14">
        <v>18742.5</v>
      </c>
      <c r="F36" s="60">
        <v>480</v>
      </c>
      <c r="G36" s="60">
        <v>18742.5</v>
      </c>
      <c r="H36" s="14">
        <v>480</v>
      </c>
      <c r="I36" s="14">
        <v>18742.5</v>
      </c>
      <c r="J36" s="150">
        <v>480</v>
      </c>
      <c r="K36" s="150">
        <v>18742.5</v>
      </c>
      <c r="L36" s="143">
        <f t="shared" si="0"/>
        <v>1920</v>
      </c>
      <c r="M36" s="143">
        <f t="shared" si="0"/>
        <v>74970</v>
      </c>
      <c r="O36" s="77">
        <f>ROUND(+M36*0.025,2)</f>
        <v>1874.25</v>
      </c>
    </row>
    <row r="37" spans="1:15" ht="15.75" x14ac:dyDescent="0.25">
      <c r="A37" s="57"/>
      <c r="B37" s="57"/>
      <c r="C37" s="144">
        <f t="shared" si="1"/>
        <v>32</v>
      </c>
      <c r="D37" s="14">
        <v>480</v>
      </c>
      <c r="E37" s="14">
        <v>20000.04</v>
      </c>
      <c r="F37" s="60">
        <v>480</v>
      </c>
      <c r="G37" s="60">
        <v>20000.04</v>
      </c>
      <c r="H37" s="14">
        <v>480</v>
      </c>
      <c r="I37" s="14">
        <v>20000.04</v>
      </c>
      <c r="J37" s="150">
        <v>480</v>
      </c>
      <c r="K37" s="150">
        <v>20000.04</v>
      </c>
      <c r="L37" s="143">
        <f t="shared" si="0"/>
        <v>1920</v>
      </c>
      <c r="M37" s="143">
        <f t="shared" si="0"/>
        <v>80000.160000000003</v>
      </c>
      <c r="O37" s="77">
        <f>ROUND(+M37*0.025,2)</f>
        <v>2000</v>
      </c>
    </row>
    <row r="38" spans="1:15" ht="15.75" x14ac:dyDescent="0.25">
      <c r="A38" s="57"/>
      <c r="B38" s="57"/>
      <c r="C38" s="144">
        <f t="shared" si="1"/>
        <v>33</v>
      </c>
      <c r="D38" s="14">
        <v>240</v>
      </c>
      <c r="E38" s="14">
        <v>4030</v>
      </c>
      <c r="F38" s="60">
        <v>480</v>
      </c>
      <c r="G38" s="60">
        <v>12345</v>
      </c>
      <c r="H38" s="14">
        <v>80</v>
      </c>
      <c r="I38" s="14">
        <v>2165</v>
      </c>
      <c r="J38" s="150">
        <v>309.5</v>
      </c>
      <c r="K38" s="150">
        <v>12131.14</v>
      </c>
      <c r="L38" s="143">
        <f t="shared" ref="L38:M66" si="3">+D38+F38+H38+J38</f>
        <v>1109.5</v>
      </c>
      <c r="M38" s="143">
        <f t="shared" si="3"/>
        <v>30671.14</v>
      </c>
    </row>
    <row r="39" spans="1:15" ht="15.75" x14ac:dyDescent="0.25">
      <c r="A39" s="57"/>
      <c r="B39" s="57"/>
      <c r="C39" s="144">
        <f t="shared" si="1"/>
        <v>34</v>
      </c>
      <c r="D39" s="14">
        <v>480</v>
      </c>
      <c r="E39" s="14">
        <v>17072.28</v>
      </c>
      <c r="F39" s="60">
        <v>480</v>
      </c>
      <c r="G39" s="60">
        <v>17072.28</v>
      </c>
      <c r="H39" s="14">
        <v>480</v>
      </c>
      <c r="I39" s="14">
        <v>17072.28</v>
      </c>
      <c r="J39" s="150"/>
      <c r="K39" s="150"/>
      <c r="L39" s="143">
        <f t="shared" si="3"/>
        <v>1440</v>
      </c>
      <c r="M39" s="143">
        <f t="shared" si="3"/>
        <v>51216.84</v>
      </c>
      <c r="N39" s="77">
        <f>ROUND(+M39*0.025,2)</f>
        <v>1280.42</v>
      </c>
    </row>
    <row r="40" spans="1:15" ht="15.75" x14ac:dyDescent="0.25">
      <c r="A40" s="57"/>
      <c r="B40" s="57"/>
      <c r="C40" s="144">
        <f t="shared" si="1"/>
        <v>35</v>
      </c>
      <c r="D40" s="14">
        <v>537.25</v>
      </c>
      <c r="E40" s="14">
        <v>11125.65</v>
      </c>
      <c r="F40" s="60">
        <v>546.5</v>
      </c>
      <c r="G40" s="60">
        <v>11010.9</v>
      </c>
      <c r="H40" s="14">
        <v>510.75</v>
      </c>
      <c r="I40" s="14">
        <v>10475.4</v>
      </c>
      <c r="J40" s="150">
        <v>529.75</v>
      </c>
      <c r="K40" s="150">
        <v>10735.5</v>
      </c>
      <c r="L40" s="143">
        <f t="shared" si="3"/>
        <v>2124.25</v>
      </c>
      <c r="M40" s="143">
        <f t="shared" si="3"/>
        <v>43347.45</v>
      </c>
    </row>
    <row r="41" spans="1:15" ht="15.75" x14ac:dyDescent="0.25">
      <c r="A41" s="57"/>
      <c r="B41" s="57"/>
      <c r="C41" s="144">
        <f t="shared" si="1"/>
        <v>36</v>
      </c>
      <c r="D41" s="14">
        <v>532</v>
      </c>
      <c r="E41" s="14">
        <v>13760.46</v>
      </c>
      <c r="F41" s="60">
        <v>511.25</v>
      </c>
      <c r="G41" s="60">
        <v>12969.95</v>
      </c>
      <c r="H41" s="14">
        <v>536.25</v>
      </c>
      <c r="I41" s="14">
        <v>13977.21</v>
      </c>
      <c r="J41" s="150">
        <v>570</v>
      </c>
      <c r="K41" s="150">
        <v>14656.14</v>
      </c>
      <c r="L41" s="143">
        <f t="shared" si="3"/>
        <v>2149.5</v>
      </c>
      <c r="M41" s="143">
        <f t="shared" si="3"/>
        <v>55363.759999999995</v>
      </c>
      <c r="N41" s="77">
        <f>ROUND(+M41*0.025,2)</f>
        <v>1384.09</v>
      </c>
    </row>
    <row r="42" spans="1:15" ht="15.75" x14ac:dyDescent="0.25">
      <c r="A42" s="57"/>
      <c r="B42" s="57"/>
      <c r="C42" s="144">
        <f t="shared" si="1"/>
        <v>37</v>
      </c>
      <c r="D42" s="14">
        <v>148.75</v>
      </c>
      <c r="E42" s="14">
        <v>3976.6</v>
      </c>
      <c r="F42" s="60">
        <v>293.5</v>
      </c>
      <c r="G42" s="60">
        <v>7923.61</v>
      </c>
      <c r="H42" s="14">
        <v>72.25</v>
      </c>
      <c r="I42" s="14">
        <v>1914.42</v>
      </c>
      <c r="J42" s="150">
        <v>216.5</v>
      </c>
      <c r="K42" s="150">
        <v>5739.98</v>
      </c>
      <c r="L42" s="143">
        <f t="shared" si="3"/>
        <v>731</v>
      </c>
      <c r="M42" s="143">
        <f t="shared" si="3"/>
        <v>19554.61</v>
      </c>
      <c r="N42" s="77">
        <f t="shared" ref="N42:N44" si="4">ROUND(+M42*0.025,2)</f>
        <v>488.87</v>
      </c>
    </row>
    <row r="43" spans="1:15" ht="15.75" x14ac:dyDescent="0.25">
      <c r="A43" s="57"/>
      <c r="B43" s="57"/>
      <c r="C43" s="144">
        <f t="shared" si="1"/>
        <v>38</v>
      </c>
      <c r="D43" s="14">
        <v>480</v>
      </c>
      <c r="E43" s="14">
        <v>18765.5</v>
      </c>
      <c r="F43" s="60">
        <v>480</v>
      </c>
      <c r="G43" s="60">
        <v>10104.5</v>
      </c>
      <c r="H43" s="14">
        <v>480</v>
      </c>
      <c r="I43" s="14">
        <v>12991.5</v>
      </c>
      <c r="J43" s="150">
        <v>14</v>
      </c>
      <c r="K43" s="150">
        <v>23344.04</v>
      </c>
      <c r="L43" s="143">
        <f t="shared" si="3"/>
        <v>1454</v>
      </c>
      <c r="M43" s="143">
        <f t="shared" si="3"/>
        <v>65205.54</v>
      </c>
      <c r="N43" s="77">
        <f t="shared" si="4"/>
        <v>1630.14</v>
      </c>
    </row>
    <row r="44" spans="1:15" ht="15.75" x14ac:dyDescent="0.25">
      <c r="A44" s="57"/>
      <c r="B44" s="57"/>
      <c r="C44" s="144">
        <f t="shared" si="1"/>
        <v>39</v>
      </c>
      <c r="D44" s="14">
        <v>554.25</v>
      </c>
      <c r="E44" s="14">
        <v>10964.25</v>
      </c>
      <c r="F44" s="60">
        <v>513.5</v>
      </c>
      <c r="G44" s="60">
        <v>9987.99</v>
      </c>
      <c r="H44" s="14">
        <v>538.25</v>
      </c>
      <c r="I44" s="14">
        <v>10448.27</v>
      </c>
      <c r="J44" s="150">
        <v>555.75</v>
      </c>
      <c r="K44" s="150">
        <v>10702.62</v>
      </c>
      <c r="L44" s="143">
        <f t="shared" si="3"/>
        <v>2161.75</v>
      </c>
      <c r="M44" s="143">
        <f t="shared" si="3"/>
        <v>42103.13</v>
      </c>
      <c r="N44" s="77">
        <f t="shared" si="4"/>
        <v>1052.58</v>
      </c>
    </row>
    <row r="45" spans="1:15" ht="15.75" x14ac:dyDescent="0.25">
      <c r="A45" s="57"/>
      <c r="B45" s="57"/>
      <c r="C45" s="144">
        <f t="shared" si="1"/>
        <v>40</v>
      </c>
      <c r="D45" s="14">
        <v>480</v>
      </c>
      <c r="E45" s="14">
        <v>9450</v>
      </c>
      <c r="F45" s="60">
        <v>160</v>
      </c>
      <c r="G45" s="60">
        <v>3894.03</v>
      </c>
      <c r="H45" s="14"/>
      <c r="I45" s="14"/>
      <c r="J45" s="150"/>
      <c r="K45" s="150"/>
      <c r="L45" s="143">
        <f t="shared" si="3"/>
        <v>640</v>
      </c>
      <c r="M45" s="143">
        <f t="shared" si="3"/>
        <v>13344.03</v>
      </c>
    </row>
    <row r="46" spans="1:15" ht="15.75" x14ac:dyDescent="0.25">
      <c r="A46" s="57"/>
      <c r="B46" s="57"/>
      <c r="C46" s="144">
        <f t="shared" si="1"/>
        <v>41</v>
      </c>
      <c r="D46" s="14">
        <v>535.25</v>
      </c>
      <c r="E46" s="14">
        <v>10705</v>
      </c>
      <c r="F46" s="60">
        <v>420.25</v>
      </c>
      <c r="G46" s="60">
        <v>8645</v>
      </c>
      <c r="H46" s="14">
        <v>570.5</v>
      </c>
      <c r="I46" s="14">
        <v>12836.26</v>
      </c>
      <c r="J46" s="150">
        <v>603</v>
      </c>
      <c r="K46" s="150">
        <v>13567.51</v>
      </c>
      <c r="L46" s="143">
        <f t="shared" si="3"/>
        <v>2129</v>
      </c>
      <c r="M46" s="143">
        <f t="shared" si="3"/>
        <v>45753.770000000004</v>
      </c>
    </row>
    <row r="47" spans="1:15" ht="15.75" x14ac:dyDescent="0.25">
      <c r="A47" s="148"/>
      <c r="B47" s="57"/>
      <c r="C47" s="144">
        <f t="shared" si="1"/>
        <v>42</v>
      </c>
      <c r="D47" s="14"/>
      <c r="E47" s="14"/>
      <c r="F47" s="60">
        <v>3.75</v>
      </c>
      <c r="G47" s="60">
        <v>120.38</v>
      </c>
      <c r="H47" s="14"/>
      <c r="I47" s="14"/>
      <c r="J47" s="150"/>
      <c r="K47" s="150"/>
      <c r="L47" s="143">
        <f t="shared" si="3"/>
        <v>3.75</v>
      </c>
      <c r="M47" s="143">
        <f t="shared" si="3"/>
        <v>120.38</v>
      </c>
    </row>
    <row r="48" spans="1:15" ht="15.75" x14ac:dyDescent="0.25">
      <c r="A48" s="57"/>
      <c r="B48" s="57"/>
      <c r="C48" s="144">
        <f t="shared" si="1"/>
        <v>43</v>
      </c>
      <c r="D48" s="151">
        <v>509</v>
      </c>
      <c r="E48" s="151">
        <v>27265.5</v>
      </c>
      <c r="F48" s="148">
        <f>+'[1]Qtr 12-31-16'!F313</f>
        <v>522.25</v>
      </c>
      <c r="G48" s="60">
        <v>26020.36</v>
      </c>
      <c r="H48" s="14">
        <v>504</v>
      </c>
      <c r="I48" s="14">
        <v>25579.63</v>
      </c>
      <c r="J48" s="150">
        <v>500</v>
      </c>
      <c r="K48" s="150">
        <v>25483.040000000001</v>
      </c>
      <c r="L48" s="143">
        <f t="shared" si="3"/>
        <v>2035.25</v>
      </c>
      <c r="M48" s="143">
        <f t="shared" si="3"/>
        <v>104348.53</v>
      </c>
    </row>
    <row r="49" spans="1:14" ht="15.75" x14ac:dyDescent="0.25">
      <c r="A49" s="57"/>
      <c r="B49" s="57"/>
      <c r="C49" s="144">
        <f t="shared" si="1"/>
        <v>44</v>
      </c>
      <c r="D49" s="14">
        <v>519.20000000000005</v>
      </c>
      <c r="E49" s="14">
        <v>15201.49</v>
      </c>
      <c r="F49" s="60">
        <v>415.45</v>
      </c>
      <c r="G49" s="60">
        <v>12188.86</v>
      </c>
      <c r="H49" s="14">
        <v>36.1</v>
      </c>
      <c r="I49" s="14">
        <v>1042.21</v>
      </c>
      <c r="J49" s="150"/>
      <c r="K49" s="150"/>
      <c r="L49" s="143">
        <f t="shared" si="3"/>
        <v>970.75000000000011</v>
      </c>
      <c r="M49" s="143">
        <f t="shared" si="3"/>
        <v>28432.559999999998</v>
      </c>
    </row>
    <row r="50" spans="1:14" ht="15.75" x14ac:dyDescent="0.25">
      <c r="A50" s="57"/>
      <c r="B50" s="57"/>
      <c r="C50" s="144">
        <f t="shared" si="1"/>
        <v>45</v>
      </c>
      <c r="D50" s="14">
        <v>602.45000000000005</v>
      </c>
      <c r="E50" s="14">
        <v>12829.85</v>
      </c>
      <c r="F50" s="60">
        <v>500</v>
      </c>
      <c r="G50" s="60">
        <v>11117.2</v>
      </c>
      <c r="H50" s="14">
        <v>516.85</v>
      </c>
      <c r="I50" s="14">
        <v>11292.58</v>
      </c>
      <c r="J50" s="150">
        <v>471.5</v>
      </c>
      <c r="K50" s="150">
        <v>10429.09</v>
      </c>
      <c r="L50" s="143">
        <f t="shared" si="3"/>
        <v>2090.8000000000002</v>
      </c>
      <c r="M50" s="143">
        <f t="shared" si="3"/>
        <v>45668.72</v>
      </c>
    </row>
    <row r="51" spans="1:14" ht="15.75" x14ac:dyDescent="0.25">
      <c r="A51" s="57"/>
      <c r="B51" s="57"/>
      <c r="C51" s="144">
        <f t="shared" si="1"/>
        <v>46</v>
      </c>
      <c r="D51" s="151">
        <v>500.75</v>
      </c>
      <c r="E51" s="151">
        <v>25492.19</v>
      </c>
      <c r="F51" s="148">
        <v>519.75</v>
      </c>
      <c r="G51" s="148">
        <v>24109.91</v>
      </c>
      <c r="H51" s="151">
        <v>506.5</v>
      </c>
      <c r="I51" s="151">
        <v>37370.239999999998</v>
      </c>
      <c r="J51" s="152">
        <v>511</v>
      </c>
      <c r="K51" s="152">
        <v>30698.03</v>
      </c>
      <c r="L51" s="143">
        <f t="shared" si="3"/>
        <v>2038</v>
      </c>
      <c r="M51" s="143">
        <f t="shared" si="3"/>
        <v>117670.37</v>
      </c>
      <c r="N51" s="77">
        <f>ROUND(+M51*0.025,2)</f>
        <v>2941.76</v>
      </c>
    </row>
    <row r="52" spans="1:14" ht="15.75" x14ac:dyDescent="0.25">
      <c r="A52" s="57"/>
      <c r="B52" s="57"/>
      <c r="C52" s="144">
        <f t="shared" si="1"/>
        <v>47</v>
      </c>
      <c r="D52" s="14">
        <v>51.25</v>
      </c>
      <c r="E52" s="14">
        <v>795.61</v>
      </c>
      <c r="F52" s="60">
        <v>13.75</v>
      </c>
      <c r="G52" s="60">
        <v>210.38</v>
      </c>
      <c r="H52" s="14">
        <v>22</v>
      </c>
      <c r="I52" s="14">
        <v>336.6</v>
      </c>
      <c r="J52" s="150"/>
      <c r="K52" s="150"/>
      <c r="L52" s="143">
        <f t="shared" si="3"/>
        <v>87</v>
      </c>
      <c r="M52" s="143">
        <f t="shared" si="3"/>
        <v>1342.5900000000001</v>
      </c>
      <c r="N52" s="77">
        <f>ROUND(+M52*0.025,2)</f>
        <v>33.56</v>
      </c>
    </row>
    <row r="53" spans="1:14" ht="15.75" x14ac:dyDescent="0.25">
      <c r="A53" s="57"/>
      <c r="B53" s="57"/>
      <c r="C53" s="144">
        <f t="shared" si="1"/>
        <v>48</v>
      </c>
      <c r="D53" s="14">
        <v>480</v>
      </c>
      <c r="E53" s="14">
        <v>22012.5</v>
      </c>
      <c r="F53" s="60">
        <v>480</v>
      </c>
      <c r="G53" s="60">
        <v>22012.5</v>
      </c>
      <c r="H53" s="14">
        <v>480</v>
      </c>
      <c r="I53" s="14">
        <v>22012.5</v>
      </c>
      <c r="J53" s="152">
        <v>495</v>
      </c>
      <c r="K53" s="152">
        <v>26795.29</v>
      </c>
      <c r="L53" s="143">
        <f t="shared" si="3"/>
        <v>1935</v>
      </c>
      <c r="M53" s="143">
        <f t="shared" si="3"/>
        <v>92832.790000000008</v>
      </c>
      <c r="N53" s="77">
        <f>ROUND(+M53*0.025,2)</f>
        <v>2320.8200000000002</v>
      </c>
    </row>
    <row r="54" spans="1:14" ht="15.75" x14ac:dyDescent="0.25">
      <c r="A54" s="57"/>
      <c r="B54" s="57"/>
      <c r="C54" s="144">
        <f t="shared" si="1"/>
        <v>49</v>
      </c>
      <c r="D54" s="14">
        <v>571.25</v>
      </c>
      <c r="E54" s="14">
        <v>14037</v>
      </c>
      <c r="F54" s="60">
        <v>555</v>
      </c>
      <c r="G54" s="60">
        <v>13302</v>
      </c>
      <c r="H54" s="14">
        <v>53.25</v>
      </c>
      <c r="I54" s="14">
        <v>12555</v>
      </c>
      <c r="J54" s="150">
        <v>84</v>
      </c>
      <c r="K54" s="150">
        <v>2016</v>
      </c>
      <c r="L54" s="143">
        <f t="shared" si="3"/>
        <v>1263.5</v>
      </c>
      <c r="M54" s="143">
        <f t="shared" si="3"/>
        <v>41910</v>
      </c>
    </row>
    <row r="55" spans="1:14" ht="15.75" x14ac:dyDescent="0.25">
      <c r="A55" s="57"/>
      <c r="B55" s="57"/>
      <c r="C55" s="144">
        <f t="shared" si="1"/>
        <v>50</v>
      </c>
      <c r="D55" s="14">
        <v>480</v>
      </c>
      <c r="E55" s="14">
        <v>8500.02</v>
      </c>
      <c r="F55" s="60">
        <v>480</v>
      </c>
      <c r="G55" s="60">
        <v>8630.82</v>
      </c>
      <c r="H55" s="145"/>
      <c r="I55" s="145"/>
      <c r="J55" s="150"/>
      <c r="K55" s="150"/>
      <c r="L55" s="143">
        <f t="shared" si="3"/>
        <v>960</v>
      </c>
      <c r="M55" s="143">
        <f t="shared" si="3"/>
        <v>17130.84</v>
      </c>
    </row>
    <row r="56" spans="1:14" ht="15.75" x14ac:dyDescent="0.25">
      <c r="A56" s="57"/>
      <c r="B56" s="57"/>
      <c r="C56" s="144">
        <f t="shared" si="1"/>
        <v>51</v>
      </c>
      <c r="D56" s="14">
        <v>480</v>
      </c>
      <c r="E56" s="14">
        <v>17850.060000000001</v>
      </c>
      <c r="F56" s="60">
        <v>480</v>
      </c>
      <c r="G56" s="60">
        <v>17850.060000000001</v>
      </c>
      <c r="H56" s="14">
        <v>480</v>
      </c>
      <c r="I56" s="14">
        <v>17850.060000000001</v>
      </c>
      <c r="J56" s="150">
        <v>480</v>
      </c>
      <c r="K56" s="150">
        <v>18208.39</v>
      </c>
      <c r="L56" s="143">
        <f t="shared" si="3"/>
        <v>1920</v>
      </c>
      <c r="M56" s="143">
        <f t="shared" si="3"/>
        <v>71758.570000000007</v>
      </c>
      <c r="N56" s="77">
        <f>ROUND(+M56*0.025,2)</f>
        <v>1793.96</v>
      </c>
    </row>
    <row r="57" spans="1:14" ht="15.75" x14ac:dyDescent="0.25">
      <c r="A57" s="57"/>
      <c r="B57" s="57"/>
      <c r="C57" s="144">
        <f t="shared" si="1"/>
        <v>52</v>
      </c>
      <c r="D57" s="14">
        <v>390.75</v>
      </c>
      <c r="E57" s="14">
        <v>7078.76</v>
      </c>
      <c r="F57" s="60">
        <v>545.70000000000005</v>
      </c>
      <c r="G57" s="60">
        <v>10671.94</v>
      </c>
      <c r="H57" s="14">
        <v>549.19000000000005</v>
      </c>
      <c r="I57" s="14">
        <v>11338.8</v>
      </c>
      <c r="J57" s="150">
        <v>528.5</v>
      </c>
      <c r="K57" s="150">
        <v>10890</v>
      </c>
      <c r="L57" s="143">
        <f t="shared" si="3"/>
        <v>2014.14</v>
      </c>
      <c r="M57" s="143">
        <f t="shared" si="3"/>
        <v>39979.5</v>
      </c>
      <c r="N57" s="77">
        <f t="shared" ref="N57:N59" si="5">ROUND(+M57*0.025,2)</f>
        <v>999.49</v>
      </c>
    </row>
    <row r="58" spans="1:14" ht="15.75" x14ac:dyDescent="0.25">
      <c r="A58" s="57"/>
      <c r="B58" s="57"/>
      <c r="C58" s="144">
        <f t="shared" si="1"/>
        <v>53</v>
      </c>
      <c r="D58" s="14">
        <v>9.5</v>
      </c>
      <c r="E58" s="14">
        <v>217.99</v>
      </c>
      <c r="F58" s="60">
        <v>88</v>
      </c>
      <c r="G58" s="60">
        <v>2093.25</v>
      </c>
      <c r="H58" s="14">
        <v>51.5</v>
      </c>
      <c r="I58" s="14">
        <v>1126.68</v>
      </c>
      <c r="J58" s="150">
        <v>62.5</v>
      </c>
      <c r="K58" s="150">
        <v>1431.37</v>
      </c>
      <c r="L58" s="143">
        <f t="shared" si="3"/>
        <v>211.5</v>
      </c>
      <c r="M58" s="143">
        <f t="shared" si="3"/>
        <v>4869.29</v>
      </c>
      <c r="N58" s="77">
        <f t="shared" si="5"/>
        <v>121.73</v>
      </c>
    </row>
    <row r="59" spans="1:14" ht="15.75" x14ac:dyDescent="0.25">
      <c r="A59" s="57"/>
      <c r="B59" s="57"/>
      <c r="C59" s="144">
        <f t="shared" si="1"/>
        <v>54</v>
      </c>
      <c r="D59" s="14">
        <v>480</v>
      </c>
      <c r="E59" s="14">
        <v>8100</v>
      </c>
      <c r="F59" s="60">
        <v>480</v>
      </c>
      <c r="G59" s="60">
        <v>8550</v>
      </c>
      <c r="H59" s="14">
        <v>480</v>
      </c>
      <c r="I59" s="14">
        <v>9000</v>
      </c>
      <c r="J59" s="150">
        <v>480</v>
      </c>
      <c r="K59" s="150">
        <v>9000</v>
      </c>
      <c r="L59" s="143">
        <f t="shared" si="3"/>
        <v>1920</v>
      </c>
      <c r="M59" s="143">
        <f t="shared" si="3"/>
        <v>34650</v>
      </c>
      <c r="N59" s="77">
        <f t="shared" si="5"/>
        <v>866.25</v>
      </c>
    </row>
    <row r="60" spans="1:14" ht="15.75" x14ac:dyDescent="0.25">
      <c r="A60" s="57"/>
      <c r="B60" s="57"/>
      <c r="C60" s="144">
        <f t="shared" si="1"/>
        <v>55</v>
      </c>
      <c r="D60" s="14"/>
      <c r="E60" s="14"/>
      <c r="F60" s="60"/>
      <c r="G60" s="60"/>
      <c r="H60" s="14">
        <v>64.25</v>
      </c>
      <c r="I60" s="14">
        <v>1156.5</v>
      </c>
      <c r="J60" s="150">
        <v>530.75</v>
      </c>
      <c r="K60" s="150">
        <v>9618.75</v>
      </c>
      <c r="L60" s="143">
        <f t="shared" si="3"/>
        <v>595</v>
      </c>
      <c r="M60" s="143">
        <f t="shared" si="3"/>
        <v>10775.25</v>
      </c>
    </row>
    <row r="61" spans="1:14" ht="15.75" x14ac:dyDescent="0.25">
      <c r="A61" s="57"/>
      <c r="B61" s="57"/>
      <c r="C61" s="144">
        <f t="shared" si="1"/>
        <v>56</v>
      </c>
      <c r="D61" s="14">
        <v>573.4</v>
      </c>
      <c r="E61" s="14">
        <v>14989.65</v>
      </c>
      <c r="F61" s="60">
        <v>558.4</v>
      </c>
      <c r="G61" s="60">
        <v>14687.4</v>
      </c>
      <c r="H61" s="14">
        <v>602.27</v>
      </c>
      <c r="I61" s="14">
        <v>15880.02</v>
      </c>
      <c r="J61" s="150">
        <v>550.15</v>
      </c>
      <c r="K61" s="150">
        <v>14333.15</v>
      </c>
      <c r="L61" s="143">
        <f t="shared" si="3"/>
        <v>2284.2199999999998</v>
      </c>
      <c r="M61" s="143">
        <f t="shared" si="3"/>
        <v>59890.22</v>
      </c>
      <c r="N61" s="77">
        <f t="shared" ref="N61:N62" si="6">ROUND(+M61*0.025,2)</f>
        <v>1497.26</v>
      </c>
    </row>
    <row r="62" spans="1:14" ht="15.75" x14ac:dyDescent="0.25">
      <c r="A62" s="57"/>
      <c r="B62" s="57"/>
      <c r="C62" s="144">
        <f t="shared" si="1"/>
        <v>57</v>
      </c>
      <c r="D62" s="14">
        <v>482.25</v>
      </c>
      <c r="E62" s="14">
        <v>13955.88</v>
      </c>
      <c r="F62" s="60">
        <v>536.75</v>
      </c>
      <c r="G62" s="60">
        <v>15914.46</v>
      </c>
      <c r="H62" s="14">
        <v>479.25</v>
      </c>
      <c r="I62" s="14">
        <v>14048.8</v>
      </c>
      <c r="J62" s="150">
        <v>492.25</v>
      </c>
      <c r="K62" s="150">
        <v>14496.28</v>
      </c>
      <c r="L62" s="143">
        <f t="shared" si="3"/>
        <v>1990.5</v>
      </c>
      <c r="M62" s="143">
        <f t="shared" si="3"/>
        <v>58415.42</v>
      </c>
      <c r="N62" s="77">
        <f t="shared" si="6"/>
        <v>1460.39</v>
      </c>
    </row>
    <row r="63" spans="1:14" ht="15.75" x14ac:dyDescent="0.25">
      <c r="A63" s="148"/>
      <c r="B63" s="148"/>
      <c r="C63" s="144">
        <f t="shared" si="1"/>
        <v>58</v>
      </c>
      <c r="D63" s="14"/>
      <c r="E63" s="14"/>
      <c r="F63" s="60">
        <v>98.5</v>
      </c>
      <c r="G63" s="60">
        <v>1545.01</v>
      </c>
      <c r="H63" s="14">
        <v>473.75</v>
      </c>
      <c r="I63" s="14">
        <v>7996.14</v>
      </c>
      <c r="J63" s="150">
        <v>382.75</v>
      </c>
      <c r="K63" s="150">
        <v>7224.75</v>
      </c>
      <c r="L63" s="143">
        <f t="shared" si="3"/>
        <v>955</v>
      </c>
      <c r="M63" s="143">
        <f t="shared" si="3"/>
        <v>16765.900000000001</v>
      </c>
    </row>
    <row r="64" spans="1:14" ht="15.75" x14ac:dyDescent="0.25">
      <c r="A64" s="148"/>
      <c r="B64" s="148"/>
      <c r="C64" s="144">
        <f t="shared" si="1"/>
        <v>59</v>
      </c>
      <c r="D64" s="14"/>
      <c r="E64" s="14"/>
      <c r="F64" s="60">
        <v>150.5</v>
      </c>
      <c r="G64" s="60">
        <v>5690.63</v>
      </c>
      <c r="H64" s="14">
        <v>268.25</v>
      </c>
      <c r="I64" s="14">
        <v>10453.129999999999</v>
      </c>
      <c r="J64" s="150">
        <v>96</v>
      </c>
      <c r="K64" s="150">
        <v>3768.75</v>
      </c>
      <c r="L64" s="143">
        <f t="shared" si="3"/>
        <v>514.75</v>
      </c>
      <c r="M64" s="143">
        <f t="shared" si="3"/>
        <v>19912.509999999998</v>
      </c>
    </row>
    <row r="65" spans="1:15" ht="15.75" x14ac:dyDescent="0.25">
      <c r="A65" s="57"/>
      <c r="B65" s="57"/>
      <c r="C65" s="144">
        <f t="shared" si="1"/>
        <v>60</v>
      </c>
      <c r="D65" s="14">
        <v>362.25</v>
      </c>
      <c r="E65" s="14">
        <v>9857.25</v>
      </c>
      <c r="F65" s="60">
        <v>93.75</v>
      </c>
      <c r="G65" s="60">
        <v>2522</v>
      </c>
      <c r="H65" s="14">
        <v>440</v>
      </c>
      <c r="I65" s="14">
        <v>11947</v>
      </c>
      <c r="J65" s="150">
        <v>411</v>
      </c>
      <c r="K65" s="150">
        <v>11842.48</v>
      </c>
      <c r="L65" s="143">
        <f t="shared" si="3"/>
        <v>1307</v>
      </c>
      <c r="M65" s="143">
        <f t="shared" si="3"/>
        <v>36168.729999999996</v>
      </c>
    </row>
    <row r="66" spans="1:15" ht="15.75" x14ac:dyDescent="0.25">
      <c r="A66" s="57"/>
      <c r="B66" s="57"/>
      <c r="C66" s="144">
        <f t="shared" si="1"/>
        <v>61</v>
      </c>
      <c r="D66" s="14">
        <v>340</v>
      </c>
      <c r="E66" s="15">
        <v>5325.01</v>
      </c>
      <c r="F66" s="60">
        <v>17.5</v>
      </c>
      <c r="G66" s="153">
        <v>335.63</v>
      </c>
      <c r="H66" s="145"/>
      <c r="I66" s="154"/>
      <c r="J66" s="150"/>
      <c r="K66" s="155"/>
      <c r="L66" s="143">
        <f t="shared" si="3"/>
        <v>357.5</v>
      </c>
      <c r="M66" s="156">
        <f t="shared" si="3"/>
        <v>5660.64</v>
      </c>
      <c r="N66" s="212"/>
      <c r="O66" s="212"/>
    </row>
    <row r="67" spans="1:15" ht="15.75" x14ac:dyDescent="0.25">
      <c r="A67" s="157" t="s">
        <v>699</v>
      </c>
      <c r="B67" s="158"/>
      <c r="C67" s="159"/>
      <c r="D67" s="150"/>
      <c r="E67" s="150">
        <f>SUM(E6:E66)</f>
        <v>573538.83000000007</v>
      </c>
      <c r="F67" s="160"/>
      <c r="G67" s="150">
        <f>SUM(G6:G66)</f>
        <v>590612.79</v>
      </c>
      <c r="H67" s="14"/>
      <c r="I67" s="150">
        <f>SUM(I6:I66)</f>
        <v>616775.52000000025</v>
      </c>
      <c r="J67" s="150"/>
      <c r="K67" s="150">
        <f>SUM(K6:K66)</f>
        <v>647110.09000000008</v>
      </c>
      <c r="L67" s="161"/>
      <c r="M67" s="150">
        <f>SUM(M6:M66)</f>
        <v>2428037.23</v>
      </c>
      <c r="N67" s="150">
        <f>SUM(N6:N66)</f>
        <v>29605.79</v>
      </c>
      <c r="O67" s="150">
        <f>SUM(O6:O66)</f>
        <v>9256.9</v>
      </c>
    </row>
  </sheetData>
  <mergeCells count="5">
    <mergeCell ref="D4:E4"/>
    <mergeCell ref="F4:G4"/>
    <mergeCell ref="H4:I4"/>
    <mergeCell ref="J4:K4"/>
    <mergeCell ref="L4:M4"/>
  </mergeCells>
  <pageMargins left="0.25" right="0.25" top="0.75" bottom="0.75" header="0.3" footer="0.3"/>
  <pageSetup scale="73" fitToHeight="0" orientation="landscape" r:id="rId1"/>
  <headerFooter>
    <oddFooter>&amp;L&amp;F &amp;A &amp;T&amp;RPage &amp;P 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E6" sqref="E6"/>
    </sheetView>
  </sheetViews>
  <sheetFormatPr defaultRowHeight="15" x14ac:dyDescent="0.25"/>
  <cols>
    <col min="1" max="1" width="15.42578125" customWidth="1"/>
    <col min="2" max="2" width="33.140625" customWidth="1"/>
    <col min="4" max="4" width="11.7109375" customWidth="1"/>
    <col min="5" max="5" width="11.42578125" customWidth="1"/>
    <col min="7" max="7" width="11.140625" customWidth="1"/>
    <col min="8" max="8" width="14.28515625" bestFit="1" customWidth="1"/>
    <col min="9" max="9" width="13.85546875" customWidth="1"/>
    <col min="10" max="10" width="5.85546875" customWidth="1"/>
    <col min="11" max="11" width="16.42578125" customWidth="1"/>
    <col min="12" max="12" width="4.5703125" customWidth="1"/>
    <col min="13" max="13" width="16.42578125" customWidth="1"/>
    <col min="14" max="14" width="13.85546875" customWidth="1"/>
    <col min="15" max="15" width="12.5703125" bestFit="1" customWidth="1"/>
  </cols>
  <sheetData>
    <row r="1" spans="1:13" ht="23.25" x14ac:dyDescent="0.35">
      <c r="A1" s="216" t="s">
        <v>702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3" ht="15.75" thickBot="1" x14ac:dyDescent="0.3"/>
    <row r="3" spans="1:13" ht="18.75" x14ac:dyDescent="0.3">
      <c r="B3" s="162" t="s">
        <v>703</v>
      </c>
      <c r="D3" s="163"/>
      <c r="F3" s="217" t="s">
        <v>704</v>
      </c>
      <c r="G3" s="218"/>
      <c r="H3" s="218"/>
      <c r="I3" s="219"/>
    </row>
    <row r="4" spans="1:13" ht="30" x14ac:dyDescent="0.25">
      <c r="A4" s="164" t="s">
        <v>705</v>
      </c>
      <c r="B4" s="165" t="s">
        <v>706</v>
      </c>
      <c r="D4" s="166" t="s">
        <v>707</v>
      </c>
      <c r="E4" s="167" t="s">
        <v>708</v>
      </c>
      <c r="F4" s="220" t="s">
        <v>709</v>
      </c>
      <c r="G4" s="221"/>
      <c r="H4" s="168" t="s">
        <v>710</v>
      </c>
      <c r="I4" s="169" t="s">
        <v>425</v>
      </c>
      <c r="K4" s="66" t="s">
        <v>711</v>
      </c>
      <c r="M4" s="66" t="s">
        <v>712</v>
      </c>
    </row>
    <row r="5" spans="1:13" x14ac:dyDescent="0.25">
      <c r="A5" t="s">
        <v>153</v>
      </c>
      <c r="B5" s="65" t="s">
        <v>713</v>
      </c>
      <c r="D5" s="170">
        <v>255</v>
      </c>
      <c r="E5" s="171">
        <v>262.25</v>
      </c>
      <c r="F5" s="172">
        <v>1360.25</v>
      </c>
      <c r="G5" s="173"/>
      <c r="H5" s="174">
        <f>+F5*D5</f>
        <v>346863.75</v>
      </c>
      <c r="I5" s="175">
        <v>255</v>
      </c>
      <c r="K5" s="77">
        <f>+D5*F5</f>
        <v>346863.75</v>
      </c>
      <c r="M5" s="176">
        <f>+F5*E5</f>
        <v>356725.5625</v>
      </c>
    </row>
    <row r="6" spans="1:13" x14ac:dyDescent="0.25">
      <c r="A6" t="s">
        <v>714</v>
      </c>
      <c r="B6" s="65" t="s">
        <v>715</v>
      </c>
      <c r="D6" s="170">
        <f>+D5*1.5</f>
        <v>382.5</v>
      </c>
      <c r="E6" s="171">
        <f>+E5*1.5</f>
        <v>393.375</v>
      </c>
      <c r="F6" s="172">
        <v>64.75</v>
      </c>
      <c r="G6" s="173"/>
      <c r="H6" s="174">
        <f t="shared" ref="H6:H7" si="0">+F6*D6</f>
        <v>24766.875</v>
      </c>
      <c r="I6" s="175">
        <v>382.50084942084953</v>
      </c>
      <c r="K6" s="77">
        <f t="shared" ref="K6:K8" si="1">+D6*F6</f>
        <v>24766.875</v>
      </c>
      <c r="M6" s="176">
        <f t="shared" ref="M6:M8" si="2">+F6*E6</f>
        <v>25471.03125</v>
      </c>
    </row>
    <row r="7" spans="1:13" x14ac:dyDescent="0.25">
      <c r="A7" t="s">
        <v>716</v>
      </c>
      <c r="B7" s="65" t="s">
        <v>717</v>
      </c>
      <c r="D7" s="170">
        <f>+D5*2</f>
        <v>510</v>
      </c>
      <c r="E7" s="171">
        <f>+E5*2</f>
        <v>524.5</v>
      </c>
      <c r="F7" s="172">
        <v>5.5</v>
      </c>
      <c r="G7" s="173"/>
      <c r="H7" s="174">
        <f t="shared" si="0"/>
        <v>2805</v>
      </c>
      <c r="I7" s="175">
        <v>510</v>
      </c>
      <c r="K7" s="77">
        <f t="shared" si="1"/>
        <v>2805</v>
      </c>
      <c r="M7" s="176">
        <f t="shared" si="2"/>
        <v>2884.75</v>
      </c>
    </row>
    <row r="8" spans="1:13" ht="15.75" thickBot="1" x14ac:dyDescent="0.3">
      <c r="A8" s="177" t="s">
        <v>718</v>
      </c>
      <c r="B8" s="178" t="s">
        <v>719</v>
      </c>
      <c r="D8" s="179">
        <f>+D5*3</f>
        <v>765</v>
      </c>
      <c r="E8" s="180">
        <f>+E5*3</f>
        <v>786.75</v>
      </c>
      <c r="F8" s="181">
        <v>2</v>
      </c>
      <c r="G8" s="182"/>
      <c r="H8" s="183">
        <f>+F8*D8</f>
        <v>1530</v>
      </c>
      <c r="I8" s="184">
        <v>765</v>
      </c>
      <c r="K8" s="77">
        <f t="shared" si="1"/>
        <v>1530</v>
      </c>
      <c r="M8" s="176">
        <f t="shared" si="2"/>
        <v>1573.5</v>
      </c>
    </row>
    <row r="9" spans="1:13" x14ac:dyDescent="0.25">
      <c r="B9" s="185" t="s">
        <v>720</v>
      </c>
      <c r="D9" s="170"/>
      <c r="E9" s="186"/>
      <c r="F9" s="187" t="s">
        <v>721</v>
      </c>
      <c r="G9" s="188">
        <v>1432.5</v>
      </c>
      <c r="H9" s="189" t="s">
        <v>722</v>
      </c>
      <c r="I9" s="190">
        <f>SUM(H5:H8)</f>
        <v>375965.625</v>
      </c>
      <c r="K9" s="77"/>
    </row>
    <row r="10" spans="1:13" x14ac:dyDescent="0.25">
      <c r="D10" s="170"/>
      <c r="E10" s="186"/>
      <c r="F10" s="191"/>
      <c r="G10" s="173"/>
      <c r="H10" s="192"/>
      <c r="I10" s="175"/>
      <c r="K10" s="77"/>
    </row>
    <row r="11" spans="1:13" x14ac:dyDescent="0.25">
      <c r="A11" t="s">
        <v>723</v>
      </c>
      <c r="B11" s="65" t="s">
        <v>724</v>
      </c>
      <c r="D11" s="170">
        <v>255</v>
      </c>
      <c r="E11" s="171">
        <f>+E5</f>
        <v>262.25</v>
      </c>
      <c r="F11" s="172">
        <v>8781</v>
      </c>
      <c r="G11" s="173"/>
      <c r="H11" s="174">
        <f t="shared" ref="H11:H17" si="3">+F11*D11</f>
        <v>2239155</v>
      </c>
      <c r="I11" s="175">
        <v>254.61593212618152</v>
      </c>
      <c r="K11" s="77">
        <f t="shared" ref="K11:K18" si="4">+D11*F11</f>
        <v>2239155</v>
      </c>
      <c r="M11" s="176">
        <f t="shared" ref="M11:M18" si="5">+F11*E11</f>
        <v>2302817.25</v>
      </c>
    </row>
    <row r="12" spans="1:13" x14ac:dyDescent="0.25">
      <c r="A12" t="s">
        <v>725</v>
      </c>
      <c r="B12" s="65" t="s">
        <v>726</v>
      </c>
      <c r="D12" s="170">
        <f>+D11*1.5</f>
        <v>382.5</v>
      </c>
      <c r="E12" s="171">
        <f>+E11*1.5</f>
        <v>393.375</v>
      </c>
      <c r="F12" s="172">
        <v>517</v>
      </c>
      <c r="G12" s="173"/>
      <c r="H12" s="174">
        <f t="shared" si="3"/>
        <v>197752.5</v>
      </c>
      <c r="I12" s="175">
        <v>382.50063829787274</v>
      </c>
      <c r="K12" s="77">
        <f t="shared" si="4"/>
        <v>197752.5</v>
      </c>
      <c r="M12" s="176">
        <f t="shared" si="5"/>
        <v>203374.875</v>
      </c>
    </row>
    <row r="13" spans="1:13" x14ac:dyDescent="0.25">
      <c r="A13" t="s">
        <v>727</v>
      </c>
      <c r="B13" s="65" t="s">
        <v>728</v>
      </c>
      <c r="D13" s="170">
        <f>+D11*2</f>
        <v>510</v>
      </c>
      <c r="E13" s="171">
        <f>+E11*2</f>
        <v>524.5</v>
      </c>
      <c r="F13" s="172">
        <v>195.25</v>
      </c>
      <c r="G13" s="173"/>
      <c r="H13" s="174">
        <f t="shared" si="3"/>
        <v>99577.5</v>
      </c>
      <c r="I13" s="175">
        <v>510</v>
      </c>
      <c r="K13" s="77">
        <f t="shared" si="4"/>
        <v>99577.5</v>
      </c>
      <c r="M13" s="176">
        <f t="shared" si="5"/>
        <v>102408.625</v>
      </c>
    </row>
    <row r="14" spans="1:13" ht="30" x14ac:dyDescent="0.25">
      <c r="A14" t="s">
        <v>729</v>
      </c>
      <c r="B14" s="65" t="s">
        <v>730</v>
      </c>
      <c r="D14" s="193">
        <f>+D11*3</f>
        <v>765</v>
      </c>
      <c r="E14" s="194">
        <f>+E11*3</f>
        <v>786.75</v>
      </c>
      <c r="F14" s="172">
        <v>16.75</v>
      </c>
      <c r="G14" s="173"/>
      <c r="H14" s="174">
        <f t="shared" si="3"/>
        <v>12813.75</v>
      </c>
      <c r="I14" s="175">
        <v>765</v>
      </c>
      <c r="K14" s="77">
        <f t="shared" si="4"/>
        <v>12813.75</v>
      </c>
      <c r="M14" s="176">
        <f t="shared" si="5"/>
        <v>13178.0625</v>
      </c>
    </row>
    <row r="15" spans="1:13" x14ac:dyDescent="0.25">
      <c r="A15" t="s">
        <v>731</v>
      </c>
      <c r="B15" s="65" t="s">
        <v>732</v>
      </c>
      <c r="D15" s="170">
        <v>255</v>
      </c>
      <c r="E15" s="171">
        <f>+E5</f>
        <v>262.25</v>
      </c>
      <c r="F15" s="172">
        <v>2116</v>
      </c>
      <c r="G15" s="173"/>
      <c r="H15" s="174">
        <f t="shared" si="3"/>
        <v>539580</v>
      </c>
      <c r="I15" s="175">
        <v>255</v>
      </c>
      <c r="K15" s="77">
        <f t="shared" si="4"/>
        <v>539580</v>
      </c>
      <c r="M15" s="176">
        <f t="shared" si="5"/>
        <v>554921</v>
      </c>
    </row>
    <row r="16" spans="1:13" x14ac:dyDescent="0.25">
      <c r="A16" t="s">
        <v>733</v>
      </c>
      <c r="B16" s="65" t="s">
        <v>734</v>
      </c>
      <c r="D16" s="170">
        <f>+D15*1.5</f>
        <v>382.5</v>
      </c>
      <c r="E16" s="171">
        <f>+E15*1.5</f>
        <v>393.375</v>
      </c>
      <c r="F16" s="172">
        <v>736.75</v>
      </c>
      <c r="G16" s="173"/>
      <c r="H16" s="174">
        <f t="shared" si="3"/>
        <v>281806.875</v>
      </c>
      <c r="I16" s="175">
        <v>382.50092975907756</v>
      </c>
      <c r="K16" s="77">
        <f t="shared" si="4"/>
        <v>281806.875</v>
      </c>
      <c r="M16" s="176">
        <f t="shared" si="5"/>
        <v>289819.03125</v>
      </c>
    </row>
    <row r="17" spans="1:14" x14ac:dyDescent="0.25">
      <c r="A17" t="s">
        <v>735</v>
      </c>
      <c r="B17" s="65" t="s">
        <v>736</v>
      </c>
      <c r="D17" s="170">
        <f>+D15*2</f>
        <v>510</v>
      </c>
      <c r="E17" s="171">
        <f>+E15*2</f>
        <v>524.5</v>
      </c>
      <c r="F17" s="172">
        <v>50</v>
      </c>
      <c r="G17" s="173"/>
      <c r="H17" s="174">
        <f t="shared" si="3"/>
        <v>25500</v>
      </c>
      <c r="I17" s="175">
        <v>510</v>
      </c>
      <c r="K17" s="77">
        <f t="shared" si="4"/>
        <v>25500</v>
      </c>
      <c r="M17" s="176">
        <f t="shared" si="5"/>
        <v>26225</v>
      </c>
    </row>
    <row r="18" spans="1:14" ht="15.75" thickBot="1" x14ac:dyDescent="0.3">
      <c r="A18" s="177" t="s">
        <v>737</v>
      </c>
      <c r="B18" s="178" t="s">
        <v>738</v>
      </c>
      <c r="D18" s="179">
        <f>+D15*3</f>
        <v>765</v>
      </c>
      <c r="E18" s="180">
        <f>+E15*3</f>
        <v>786.75</v>
      </c>
      <c r="F18" s="181">
        <v>27.5</v>
      </c>
      <c r="G18" s="182"/>
      <c r="H18" s="183">
        <f>+F18*D18</f>
        <v>21037.5</v>
      </c>
      <c r="I18" s="184">
        <v>765</v>
      </c>
      <c r="K18" s="77">
        <f t="shared" si="4"/>
        <v>21037.5</v>
      </c>
      <c r="M18" s="176">
        <f t="shared" si="5"/>
        <v>21635.625</v>
      </c>
    </row>
    <row r="19" spans="1:14" x14ac:dyDescent="0.25">
      <c r="A19" s="195"/>
      <c r="B19" s="196" t="s">
        <v>739</v>
      </c>
      <c r="D19" s="193"/>
      <c r="E19" s="194"/>
      <c r="F19" s="187" t="s">
        <v>721</v>
      </c>
      <c r="G19" s="188">
        <v>12440.25</v>
      </c>
      <c r="H19" s="189" t="s">
        <v>722</v>
      </c>
      <c r="I19" s="190">
        <f>SUM(H11:H18)</f>
        <v>3417223.125</v>
      </c>
      <c r="K19" s="77"/>
    </row>
    <row r="20" spans="1:14" x14ac:dyDescent="0.25">
      <c r="A20" s="195"/>
      <c r="B20" s="195"/>
      <c r="D20" s="193"/>
      <c r="E20" s="194"/>
      <c r="F20" s="191"/>
      <c r="G20" s="173"/>
      <c r="H20" s="192"/>
      <c r="I20" s="175"/>
      <c r="K20" s="77"/>
    </row>
    <row r="21" spans="1:14" x14ac:dyDescent="0.25">
      <c r="A21" t="s">
        <v>740</v>
      </c>
      <c r="B21" s="65" t="s">
        <v>741</v>
      </c>
      <c r="D21" s="170">
        <v>46.25</v>
      </c>
      <c r="E21" s="171">
        <v>50</v>
      </c>
      <c r="F21" s="172">
        <v>14598.01</v>
      </c>
      <c r="G21" s="173"/>
      <c r="H21" s="174">
        <f t="shared" ref="H21:H23" si="6">+F21*D21</f>
        <v>675157.96250000002</v>
      </c>
      <c r="I21" s="175">
        <v>46.250223146853919</v>
      </c>
      <c r="K21" s="77">
        <f t="shared" ref="K21:K24" si="7">+D21*F21</f>
        <v>675157.96250000002</v>
      </c>
      <c r="M21" s="176">
        <f t="shared" ref="M21:M24" si="8">+F21*E21</f>
        <v>729900.5</v>
      </c>
    </row>
    <row r="22" spans="1:14" x14ac:dyDescent="0.25">
      <c r="A22" t="s">
        <v>742</v>
      </c>
      <c r="B22" s="65" t="s">
        <v>743</v>
      </c>
      <c r="D22" s="170">
        <f>+D21*1.5</f>
        <v>69.375</v>
      </c>
      <c r="E22" s="171">
        <f>+E21*1.5</f>
        <v>75</v>
      </c>
      <c r="F22" s="172">
        <v>1472.75</v>
      </c>
      <c r="G22" s="173"/>
      <c r="H22" s="174">
        <f t="shared" si="6"/>
        <v>102172.03125</v>
      </c>
      <c r="I22" s="175">
        <v>69.380770667119208</v>
      </c>
      <c r="K22" s="77">
        <f t="shared" si="7"/>
        <v>102172.03125</v>
      </c>
      <c r="M22" s="176">
        <f t="shared" si="8"/>
        <v>110456.25</v>
      </c>
    </row>
    <row r="23" spans="1:14" x14ac:dyDescent="0.25">
      <c r="A23" t="s">
        <v>744</v>
      </c>
      <c r="B23" s="65" t="s">
        <v>745</v>
      </c>
      <c r="D23" s="170">
        <f>50*2</f>
        <v>100</v>
      </c>
      <c r="E23" s="171">
        <f>50*2</f>
        <v>100</v>
      </c>
      <c r="F23" s="172">
        <v>268.75</v>
      </c>
      <c r="G23" s="173"/>
      <c r="H23" s="174">
        <f t="shared" si="6"/>
        <v>26875</v>
      </c>
      <c r="I23" s="175">
        <v>92.500279069767458</v>
      </c>
      <c r="K23" s="77">
        <f t="shared" si="7"/>
        <v>26875</v>
      </c>
      <c r="M23" s="176">
        <f t="shared" si="8"/>
        <v>26875</v>
      </c>
    </row>
    <row r="24" spans="1:14" ht="15.75" thickBot="1" x14ac:dyDescent="0.3">
      <c r="A24" s="177" t="s">
        <v>746</v>
      </c>
      <c r="B24" s="178" t="s">
        <v>747</v>
      </c>
      <c r="D24" s="179">
        <f>+D21*3</f>
        <v>138.75</v>
      </c>
      <c r="E24" s="180">
        <f>+E21*3</f>
        <v>150</v>
      </c>
      <c r="F24" s="181">
        <v>46.75</v>
      </c>
      <c r="G24" s="182"/>
      <c r="H24" s="183">
        <f>+F24*D24</f>
        <v>6486.5625</v>
      </c>
      <c r="I24" s="184">
        <v>138.75144385026741</v>
      </c>
      <c r="K24" s="77">
        <f t="shared" si="7"/>
        <v>6486.5625</v>
      </c>
      <c r="M24" s="176">
        <f t="shared" si="8"/>
        <v>7012.5</v>
      </c>
    </row>
    <row r="25" spans="1:14" x14ac:dyDescent="0.25">
      <c r="B25" s="197" t="s">
        <v>748</v>
      </c>
      <c r="D25" s="170"/>
      <c r="F25" s="187" t="s">
        <v>721</v>
      </c>
      <c r="G25" s="188">
        <v>16386.260000000002</v>
      </c>
      <c r="H25" s="189" t="s">
        <v>722</v>
      </c>
      <c r="I25" s="190">
        <f>SUM(H21:H24)</f>
        <v>810691.55625000002</v>
      </c>
      <c r="K25" s="198"/>
      <c r="M25" s="199"/>
    </row>
    <row r="26" spans="1:14" x14ac:dyDescent="0.25">
      <c r="A26" t="s">
        <v>749</v>
      </c>
      <c r="D26" s="170"/>
      <c r="F26" s="191"/>
      <c r="G26" s="173"/>
      <c r="H26" s="192"/>
      <c r="I26" s="175">
        <f>+I9+I19+I25</f>
        <v>4603880.3062500004</v>
      </c>
      <c r="K26" s="176">
        <f>SUM(K5:K24)</f>
        <v>4603880.3062500004</v>
      </c>
      <c r="M26" s="176">
        <f>SUM(M5:M24)</f>
        <v>4775278.5625</v>
      </c>
      <c r="N26" s="176">
        <f>+M26-K26</f>
        <v>171398.25624999963</v>
      </c>
    </row>
    <row r="27" spans="1:14" x14ac:dyDescent="0.25">
      <c r="A27" t="s">
        <v>750</v>
      </c>
      <c r="D27" s="170"/>
      <c r="F27" s="191"/>
      <c r="G27" s="173"/>
      <c r="H27" s="192"/>
      <c r="I27" s="175"/>
      <c r="K27" s="176">
        <v>4653248</v>
      </c>
      <c r="M27" s="176"/>
    </row>
    <row r="28" spans="1:14" x14ac:dyDescent="0.25">
      <c r="D28" s="170"/>
      <c r="F28" s="191"/>
      <c r="G28" s="173"/>
      <c r="H28" s="192"/>
      <c r="I28" s="175"/>
      <c r="K28" s="176"/>
      <c r="M28" s="176"/>
    </row>
  </sheetData>
  <mergeCells count="3">
    <mergeCell ref="A1:J1"/>
    <mergeCell ref="F3:I3"/>
    <mergeCell ref="F4:G4"/>
  </mergeCells>
  <pageMargins left="0.25" right="0.25" top="0.75" bottom="0.75" header="0.3" footer="0.3"/>
  <pageSetup scale="71" fitToHeight="0" orientation="landscape" r:id="rId1"/>
  <headerFooter>
    <oddHeader>&amp;CArrow Launch Service, Inc.
Price Out
Test Period ended 6/30/17</oddHeader>
    <oddFooter>&amp;L&amp;F  &amp;A  &amp;T&amp;RPage &amp;P 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opLeftCell="A45" workbookViewId="0">
      <selection activeCell="K63" sqref="K63"/>
    </sheetView>
  </sheetViews>
  <sheetFormatPr defaultRowHeight="15" x14ac:dyDescent="0.25"/>
  <cols>
    <col min="2" max="2" width="30.140625" customWidth="1"/>
    <col min="3" max="3" width="14.42578125" customWidth="1"/>
    <col min="4" max="6" width="12" customWidth="1"/>
    <col min="7" max="7" width="23" customWidth="1"/>
    <col min="8" max="8" width="12" customWidth="1"/>
    <col min="9" max="9" width="14.42578125" customWidth="1"/>
    <col min="10" max="14" width="12" customWidth="1"/>
  </cols>
  <sheetData>
    <row r="1" spans="1:22" ht="18.75" x14ac:dyDescent="0.3">
      <c r="A1" s="39" t="s">
        <v>236</v>
      </c>
      <c r="B1" s="39"/>
      <c r="C1" s="39"/>
      <c r="D1" s="39"/>
      <c r="E1" s="39"/>
      <c r="F1" s="39"/>
      <c r="G1" s="39"/>
      <c r="H1" s="39"/>
      <c r="I1" s="39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8.75" x14ac:dyDescent="0.3">
      <c r="A2" s="39" t="s">
        <v>356</v>
      </c>
      <c r="B2" s="39"/>
      <c r="C2" s="39"/>
      <c r="D2" s="39"/>
      <c r="E2" s="39"/>
      <c r="F2" s="39"/>
      <c r="G2" s="39"/>
      <c r="H2" s="39"/>
      <c r="I2" s="39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8.75" x14ac:dyDescent="0.3">
      <c r="A3" s="39" t="s">
        <v>237</v>
      </c>
      <c r="B3" s="39"/>
      <c r="C3" s="39"/>
      <c r="D3" s="39"/>
      <c r="E3" s="39"/>
      <c r="F3" s="39"/>
      <c r="G3" s="39"/>
      <c r="H3" s="39"/>
      <c r="I3" s="39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 x14ac:dyDescent="0.25">
      <c r="B4" s="40" t="s">
        <v>238</v>
      </c>
      <c r="C4" s="41" t="s">
        <v>223</v>
      </c>
      <c r="D4" s="41"/>
      <c r="E4" s="41" t="s">
        <v>224</v>
      </c>
      <c r="F4" s="41" t="s">
        <v>228</v>
      </c>
      <c r="G4" s="42" t="s">
        <v>229</v>
      </c>
      <c r="H4" s="41" t="s">
        <v>231</v>
      </c>
      <c r="I4" s="43" t="s">
        <v>189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8.75" x14ac:dyDescent="0.3">
      <c r="A5" s="44" t="s">
        <v>239</v>
      </c>
      <c r="B5" s="45" t="s">
        <v>240</v>
      </c>
      <c r="C5" s="45" t="s">
        <v>241</v>
      </c>
      <c r="D5" s="45" t="s">
        <v>242</v>
      </c>
      <c r="E5" s="45" t="s">
        <v>243</v>
      </c>
      <c r="F5" s="45" t="s">
        <v>244</v>
      </c>
      <c r="G5" s="46" t="s">
        <v>245</v>
      </c>
      <c r="H5" s="45" t="s">
        <v>246</v>
      </c>
      <c r="I5" s="45" t="s">
        <v>247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8.75" x14ac:dyDescent="0.3">
      <c r="A6" s="62"/>
      <c r="B6" s="63"/>
      <c r="C6" s="63"/>
      <c r="D6" s="63"/>
      <c r="E6" s="63"/>
      <c r="F6" s="63"/>
      <c r="G6" s="64"/>
      <c r="H6" s="63"/>
      <c r="I6" s="6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8.75" x14ac:dyDescent="0.3">
      <c r="A7" s="62"/>
      <c r="B7" s="63"/>
      <c r="C7" s="63"/>
      <c r="D7" s="63"/>
      <c r="E7" s="63"/>
      <c r="F7" s="63"/>
      <c r="G7" s="64"/>
      <c r="H7" s="63"/>
      <c r="I7" s="6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5.75" x14ac:dyDescent="0.25">
      <c r="A8">
        <v>10</v>
      </c>
      <c r="B8" s="24" t="s">
        <v>188</v>
      </c>
      <c r="C8" s="31">
        <f>+'Semi Annual '!N58</f>
        <v>3558398.9699999997</v>
      </c>
      <c r="D8" s="31"/>
      <c r="E8" s="31"/>
      <c r="F8" s="31">
        <f>+C8</f>
        <v>3558398.9699999997</v>
      </c>
      <c r="G8" s="38" t="s">
        <v>230</v>
      </c>
      <c r="H8" s="31">
        <f>+F8</f>
        <v>3558398.9699999997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23"/>
      <c r="U8" s="23"/>
      <c r="V8" s="23"/>
    </row>
    <row r="9" spans="1:22" ht="15.75" x14ac:dyDescent="0.25">
      <c r="A9">
        <v>11</v>
      </c>
      <c r="B9" s="24" t="s">
        <v>153</v>
      </c>
      <c r="C9" s="31">
        <f>+'Semi Annual '!O58</f>
        <v>352137.56</v>
      </c>
      <c r="D9" s="31"/>
      <c r="E9" s="31"/>
      <c r="F9" s="31">
        <f t="shared" ref="F9:F14" si="0">+C9</f>
        <v>352137.56</v>
      </c>
      <c r="G9" s="38" t="s">
        <v>230</v>
      </c>
      <c r="H9" s="31">
        <f>+F9</f>
        <v>352137.56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23"/>
      <c r="U9" s="23"/>
      <c r="V9" s="23"/>
    </row>
    <row r="10" spans="1:22" ht="15.75" x14ac:dyDescent="0.25">
      <c r="A10">
        <f>+A9+1</f>
        <v>12</v>
      </c>
      <c r="B10" s="24" t="s">
        <v>213</v>
      </c>
      <c r="C10" s="31">
        <f>+'Semi Annual '!P58</f>
        <v>98866.42</v>
      </c>
      <c r="D10" s="31"/>
      <c r="E10" s="31"/>
      <c r="F10" s="31">
        <f t="shared" si="0"/>
        <v>98866.42</v>
      </c>
      <c r="G10" s="38" t="s">
        <v>230</v>
      </c>
      <c r="H10" s="31">
        <f>+F10</f>
        <v>98866.42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23"/>
      <c r="U10" s="23"/>
      <c r="V10" s="23"/>
    </row>
    <row r="11" spans="1:22" ht="15.75" x14ac:dyDescent="0.25">
      <c r="A11">
        <f t="shared" ref="A11:A14" si="1">+A10+1</f>
        <v>13</v>
      </c>
      <c r="B11" s="24" t="s">
        <v>214</v>
      </c>
      <c r="C11" s="31">
        <f>+'Semi Annual '!Q58</f>
        <v>643844.79999999993</v>
      </c>
      <c r="D11" s="31"/>
      <c r="E11" s="31"/>
      <c r="F11" s="31">
        <f t="shared" si="0"/>
        <v>643844.79999999993</v>
      </c>
      <c r="G11" s="38" t="s">
        <v>230</v>
      </c>
      <c r="H11" s="31">
        <f>+F11</f>
        <v>643844.79999999993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23"/>
      <c r="U11" s="23"/>
      <c r="V11" s="23"/>
    </row>
    <row r="12" spans="1:22" ht="15.75" x14ac:dyDescent="0.25">
      <c r="A12">
        <f t="shared" si="1"/>
        <v>14</v>
      </c>
      <c r="B12" s="24" t="s">
        <v>16</v>
      </c>
      <c r="C12" s="31">
        <f>+'Semi Annual '!R58</f>
        <v>974117.70000000007</v>
      </c>
      <c r="D12" s="31"/>
      <c r="E12" s="31"/>
      <c r="F12" s="31">
        <f t="shared" si="0"/>
        <v>974117.70000000007</v>
      </c>
      <c r="G12" s="38" t="s">
        <v>230</v>
      </c>
      <c r="H12" s="31"/>
      <c r="I12" s="31">
        <f>+F12</f>
        <v>974117.70000000007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3"/>
      <c r="U12" s="23"/>
      <c r="V12" s="23"/>
    </row>
    <row r="13" spans="1:22" ht="15.75" x14ac:dyDescent="0.25">
      <c r="A13">
        <f t="shared" si="1"/>
        <v>15</v>
      </c>
      <c r="B13" s="24" t="s">
        <v>52</v>
      </c>
      <c r="C13" s="31">
        <f>+'Semi Annual '!S58</f>
        <v>4259.1400000000003</v>
      </c>
      <c r="D13" s="31"/>
      <c r="E13" s="31"/>
      <c r="F13" s="31">
        <f t="shared" si="0"/>
        <v>4259.1400000000003</v>
      </c>
      <c r="G13" s="38" t="s">
        <v>230</v>
      </c>
      <c r="H13" s="31"/>
      <c r="I13" s="31">
        <f>+F13</f>
        <v>4259.1400000000003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3"/>
      <c r="U13" s="23"/>
      <c r="V13" s="23"/>
    </row>
    <row r="14" spans="1:22" ht="15.75" x14ac:dyDescent="0.25">
      <c r="A14">
        <f t="shared" si="1"/>
        <v>16</v>
      </c>
      <c r="B14" s="24" t="s">
        <v>54</v>
      </c>
      <c r="C14" s="33">
        <f>+'Semi Annual '!T58</f>
        <v>27228.27</v>
      </c>
      <c r="D14" s="31"/>
      <c r="E14" s="31"/>
      <c r="F14" s="33">
        <f t="shared" si="0"/>
        <v>27228.27</v>
      </c>
      <c r="G14" s="38" t="s">
        <v>230</v>
      </c>
      <c r="H14" s="33"/>
      <c r="I14" s="33">
        <f>+F14</f>
        <v>27228.27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3"/>
      <c r="U14" s="23"/>
      <c r="V14" s="23"/>
    </row>
    <row r="15" spans="1:22" ht="15.75" x14ac:dyDescent="0.25">
      <c r="B15" s="24" t="s">
        <v>55</v>
      </c>
      <c r="C15" s="31">
        <f>SUM(C8:C14)</f>
        <v>5658852.8599999994</v>
      </c>
      <c r="D15" s="31"/>
      <c r="E15" s="31"/>
      <c r="F15" s="31">
        <f>SUM(F8:F14)</f>
        <v>5658852.8599999994</v>
      </c>
      <c r="G15" s="31"/>
      <c r="H15" s="31">
        <f t="shared" ref="H15:I15" si="2">SUM(H8:H14)</f>
        <v>4653247.75</v>
      </c>
      <c r="I15" s="31">
        <f t="shared" si="2"/>
        <v>1005605.1100000001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3"/>
      <c r="U15" s="23"/>
      <c r="V15" s="23"/>
    </row>
    <row r="16" spans="1:22" ht="15.75" x14ac:dyDescent="0.25">
      <c r="B16" s="24"/>
      <c r="C16" s="31"/>
      <c r="D16" s="31"/>
      <c r="E16" s="31"/>
      <c r="F16" s="31"/>
      <c r="G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23"/>
      <c r="U16" s="23"/>
      <c r="V16" s="23"/>
    </row>
    <row r="17" spans="1:22" ht="15.75" x14ac:dyDescent="0.25">
      <c r="B17" s="24" t="str">
        <f>+'Semi Annual '!A60</f>
        <v/>
      </c>
      <c r="C17" s="31"/>
      <c r="D17" s="31"/>
      <c r="E17" s="31"/>
      <c r="F17" s="31"/>
      <c r="G17" s="31"/>
      <c r="H17" s="26">
        <f>+H15/F15</f>
        <v>0.82229523635290291</v>
      </c>
      <c r="I17" s="26">
        <f>+I15/F15</f>
        <v>0.17770476364709722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3"/>
      <c r="U17" s="23"/>
      <c r="V17" s="23"/>
    </row>
    <row r="18" spans="1:22" ht="15.75" x14ac:dyDescent="0.25">
      <c r="B18" s="2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23"/>
      <c r="U18" s="23"/>
      <c r="V18" s="23"/>
    </row>
    <row r="19" spans="1:22" ht="15.75" x14ac:dyDescent="0.25">
      <c r="A19">
        <v>17</v>
      </c>
      <c r="B19" s="24" t="s">
        <v>215</v>
      </c>
      <c r="C19" s="31">
        <f>+'Semi Annual '!V193</f>
        <v>3637.97</v>
      </c>
      <c r="D19" s="31"/>
      <c r="E19" s="31">
        <f>+'Restaing Adjustments'!S19</f>
        <v>0</v>
      </c>
      <c r="F19" s="31">
        <f>+C19+E19</f>
        <v>3637.97</v>
      </c>
      <c r="G19" s="38" t="s">
        <v>232</v>
      </c>
      <c r="H19" s="31">
        <f>+F19*'Allocation Statistics'!$D$14</f>
        <v>2782.8597709884702</v>
      </c>
      <c r="I19" s="31">
        <f>+F19*'Allocation Statistics'!$F$14</f>
        <v>855.11022901153001</v>
      </c>
      <c r="J19" s="31"/>
      <c r="K19" s="31">
        <f t="shared" ref="K19:K58" si="3">+F19-H19-I19</f>
        <v>0</v>
      </c>
      <c r="L19" s="31"/>
      <c r="M19" s="31"/>
      <c r="N19" s="31"/>
      <c r="O19" s="31"/>
      <c r="P19" s="31"/>
      <c r="Q19" s="31"/>
      <c r="R19" s="31"/>
      <c r="S19" s="31"/>
      <c r="T19" s="23"/>
      <c r="U19" s="23"/>
      <c r="V19" s="23"/>
    </row>
    <row r="20" spans="1:22" ht="15.75" x14ac:dyDescent="0.25">
      <c r="A20">
        <f t="shared" ref="A20:A58" si="4">+A19+1</f>
        <v>18</v>
      </c>
      <c r="B20" s="24" t="s">
        <v>191</v>
      </c>
      <c r="C20" s="31">
        <f>+'Semi Annual '!W193</f>
        <v>36524.649999999994</v>
      </c>
      <c r="D20" s="31"/>
      <c r="E20" s="31">
        <f>+'Restaing Adjustments'!S20</f>
        <v>0</v>
      </c>
      <c r="F20" s="31">
        <f t="shared" ref="F20:F58" si="5">+C20+E20</f>
        <v>36524.649999999994</v>
      </c>
      <c r="G20" s="38" t="s">
        <v>232</v>
      </c>
      <c r="H20" s="31">
        <f>+F20*'Allocation Statistics'!$D$14</f>
        <v>27939.476998005484</v>
      </c>
      <c r="I20" s="31">
        <f>+F20*'Allocation Statistics'!$F$14</f>
        <v>8585.1730019945117</v>
      </c>
      <c r="J20" s="31"/>
      <c r="K20" s="31">
        <f t="shared" si="3"/>
        <v>0</v>
      </c>
      <c r="L20" s="31"/>
      <c r="M20" s="31"/>
      <c r="N20" s="31"/>
      <c r="O20" s="31"/>
      <c r="P20" s="31"/>
      <c r="Q20" s="31"/>
      <c r="R20" s="31"/>
      <c r="S20" s="31"/>
      <c r="T20" s="23"/>
      <c r="U20" s="23"/>
      <c r="V20" s="23"/>
    </row>
    <row r="21" spans="1:22" ht="15.75" x14ac:dyDescent="0.25">
      <c r="A21">
        <f t="shared" si="4"/>
        <v>19</v>
      </c>
      <c r="B21" s="24" t="s">
        <v>216</v>
      </c>
      <c r="C21" s="31">
        <f>+'Semi Annual '!X193</f>
        <v>198528.6</v>
      </c>
      <c r="D21" s="31"/>
      <c r="E21" s="31">
        <f>+'Restaing Adjustments'!S21</f>
        <v>0</v>
      </c>
      <c r="F21" s="31">
        <f t="shared" si="5"/>
        <v>198528.6</v>
      </c>
      <c r="G21" s="52" t="s">
        <v>259</v>
      </c>
      <c r="H21" s="31">
        <f>+F21*'Allocation Statistics'!$D$8</f>
        <v>174651.96462770304</v>
      </c>
      <c r="I21" s="31">
        <f>+F21*'Allocation Statistics'!$F$8</f>
        <v>23876.635372296965</v>
      </c>
      <c r="J21" s="31"/>
      <c r="K21" s="31">
        <f t="shared" si="3"/>
        <v>0</v>
      </c>
      <c r="L21" s="31"/>
      <c r="M21" s="31"/>
      <c r="N21" s="31"/>
      <c r="O21" s="31"/>
      <c r="P21" s="31"/>
      <c r="Q21" s="31"/>
      <c r="R21" s="31"/>
      <c r="S21" s="31"/>
      <c r="T21" s="23"/>
      <c r="U21" s="23"/>
      <c r="V21" s="23"/>
    </row>
    <row r="22" spans="1:22" ht="15.75" x14ac:dyDescent="0.25">
      <c r="A22">
        <f t="shared" si="4"/>
        <v>20</v>
      </c>
      <c r="B22" s="24" t="s">
        <v>193</v>
      </c>
      <c r="C22" s="31">
        <f>+'Semi Annual '!Y193</f>
        <v>131415.93</v>
      </c>
      <c r="D22" s="31"/>
      <c r="E22" s="31">
        <f>+'Restaing Adjustments'!S22</f>
        <v>0</v>
      </c>
      <c r="F22" s="31">
        <f t="shared" si="5"/>
        <v>131415.93</v>
      </c>
      <c r="G22" s="38" t="s">
        <v>232</v>
      </c>
      <c r="H22" s="31">
        <f>+F22*'Allocation Statistics'!$D$14</f>
        <v>100526.42129100482</v>
      </c>
      <c r="I22" s="31">
        <f>+F22*'Allocation Statistics'!$F$14</f>
        <v>30889.508708995181</v>
      </c>
      <c r="J22" s="31"/>
      <c r="K22" s="31">
        <f t="shared" si="3"/>
        <v>0</v>
      </c>
      <c r="L22" s="31"/>
      <c r="M22" s="31"/>
      <c r="N22" s="31"/>
      <c r="O22" s="31"/>
      <c r="P22" s="31"/>
      <c r="Q22" s="31"/>
      <c r="R22" s="31"/>
      <c r="S22" s="31"/>
      <c r="T22" s="23"/>
      <c r="U22" s="23"/>
      <c r="V22" s="23"/>
    </row>
    <row r="23" spans="1:22" ht="15.75" x14ac:dyDescent="0.25">
      <c r="A23">
        <f t="shared" si="4"/>
        <v>21</v>
      </c>
      <c r="B23" s="24" t="s">
        <v>217</v>
      </c>
      <c r="C23" s="31">
        <f>+'Semi Annual '!Z193</f>
        <v>318805.56999999989</v>
      </c>
      <c r="D23" s="31"/>
      <c r="E23" s="31">
        <f>+'Restaing Adjustments'!S23</f>
        <v>0</v>
      </c>
      <c r="F23" s="31">
        <f t="shared" si="5"/>
        <v>318805.56999999989</v>
      </c>
      <c r="G23" s="52" t="s">
        <v>259</v>
      </c>
      <c r="H23" s="31">
        <f>+F23*'Allocation Statistics'!$D$8</f>
        <v>280463.46538863762</v>
      </c>
      <c r="I23" s="31">
        <f>+F23*'Allocation Statistics'!$F$8</f>
        <v>38342.104611362258</v>
      </c>
      <c r="J23" s="31"/>
      <c r="K23" s="31">
        <f t="shared" si="3"/>
        <v>0</v>
      </c>
      <c r="L23" s="31"/>
      <c r="M23" s="31"/>
      <c r="N23" s="31"/>
      <c r="O23" s="31"/>
      <c r="P23" s="31"/>
      <c r="Q23" s="31"/>
      <c r="R23" s="31"/>
      <c r="S23" s="31"/>
      <c r="T23" s="23"/>
      <c r="U23" s="23"/>
      <c r="V23" s="23"/>
    </row>
    <row r="24" spans="1:22" ht="15.75" x14ac:dyDescent="0.25">
      <c r="A24">
        <f t="shared" si="4"/>
        <v>22</v>
      </c>
      <c r="B24" s="24" t="s">
        <v>218</v>
      </c>
      <c r="C24" s="31">
        <f>+'Semi Annual '!AA193</f>
        <v>7100.16</v>
      </c>
      <c r="D24" s="31"/>
      <c r="E24" s="31">
        <f>+'Restaing Adjustments'!S24</f>
        <v>0</v>
      </c>
      <c r="F24" s="31">
        <f t="shared" si="5"/>
        <v>7100.16</v>
      </c>
      <c r="G24" s="38" t="s">
        <v>232</v>
      </c>
      <c r="H24" s="31">
        <f>+F24*'Allocation Statistics'!$D$14</f>
        <v>5431.2568909533329</v>
      </c>
      <c r="I24" s="31">
        <f>+F24*'Allocation Statistics'!$F$14</f>
        <v>1668.9031090466676</v>
      </c>
      <c r="J24" s="31"/>
      <c r="K24" s="31">
        <f t="shared" si="3"/>
        <v>0</v>
      </c>
      <c r="L24" s="31"/>
      <c r="M24" s="31"/>
      <c r="N24" s="31"/>
      <c r="O24" s="31"/>
      <c r="P24" s="31"/>
      <c r="Q24" s="31"/>
      <c r="R24" s="31"/>
      <c r="S24" s="31"/>
      <c r="T24" s="23"/>
      <c r="U24" s="23"/>
      <c r="V24" s="23"/>
    </row>
    <row r="25" spans="1:22" ht="15.75" x14ac:dyDescent="0.25">
      <c r="A25">
        <f t="shared" si="4"/>
        <v>23</v>
      </c>
      <c r="B25" s="24" t="s">
        <v>195</v>
      </c>
      <c r="C25" s="31">
        <f>+'Semi Annual '!AB193</f>
        <v>90018.299999999988</v>
      </c>
      <c r="D25" s="31"/>
      <c r="E25" s="31">
        <f>+'Restaing Adjustments'!S25</f>
        <v>0</v>
      </c>
      <c r="F25" s="31">
        <f t="shared" si="5"/>
        <v>90018.299999999988</v>
      </c>
      <c r="G25" s="52" t="s">
        <v>259</v>
      </c>
      <c r="H25" s="31">
        <f>+F25*'Allocation Statistics'!$D$8</f>
        <v>79191.980135083606</v>
      </c>
      <c r="I25" s="31">
        <f>+F25*'Allocation Statistics'!$F$8</f>
        <v>10826.319864916388</v>
      </c>
      <c r="J25" s="31"/>
      <c r="K25" s="31">
        <f t="shared" si="3"/>
        <v>0</v>
      </c>
      <c r="L25" s="31"/>
      <c r="M25" s="31"/>
      <c r="N25" s="31"/>
      <c r="O25" s="31"/>
      <c r="P25" s="31"/>
      <c r="Q25" s="31"/>
      <c r="R25" s="31"/>
      <c r="S25" s="31"/>
      <c r="T25" s="23"/>
      <c r="U25" s="23"/>
      <c r="V25" s="23"/>
    </row>
    <row r="26" spans="1:22" ht="15.75" x14ac:dyDescent="0.25">
      <c r="A26">
        <f t="shared" si="4"/>
        <v>24</v>
      </c>
      <c r="B26" s="24" t="s">
        <v>219</v>
      </c>
      <c r="C26" s="31">
        <f>+'Semi Annual '!AC193</f>
        <v>-546.19000000000005</v>
      </c>
      <c r="D26" s="31"/>
      <c r="E26" s="31">
        <f>+'Restaing Adjustments'!S26</f>
        <v>0</v>
      </c>
      <c r="F26" s="31">
        <f t="shared" si="5"/>
        <v>-546.19000000000005</v>
      </c>
      <c r="G26" s="38" t="s">
        <v>232</v>
      </c>
      <c r="H26" s="31">
        <f>+F26*'Allocation Statistics'!$D$14</f>
        <v>-417.80723269191134</v>
      </c>
      <c r="I26" s="31">
        <f>+F26*'Allocation Statistics'!$F$14</f>
        <v>-128.38276730808875</v>
      </c>
      <c r="J26" s="31"/>
      <c r="K26" s="31">
        <f t="shared" si="3"/>
        <v>0</v>
      </c>
      <c r="L26" s="31"/>
      <c r="M26" s="31"/>
      <c r="N26" s="31"/>
      <c r="O26" s="31"/>
      <c r="P26" s="31"/>
      <c r="Q26" s="31"/>
      <c r="R26" s="31"/>
      <c r="S26" s="31"/>
      <c r="T26" s="23"/>
      <c r="U26" s="23"/>
      <c r="V26" s="23"/>
    </row>
    <row r="27" spans="1:22" ht="15.75" x14ac:dyDescent="0.25">
      <c r="A27">
        <f t="shared" si="4"/>
        <v>25</v>
      </c>
      <c r="B27" s="24" t="s">
        <v>220</v>
      </c>
      <c r="C27" s="31">
        <f>+'Semi Annual '!AD193</f>
        <v>2028715.92</v>
      </c>
      <c r="D27" s="31"/>
      <c r="E27" s="31">
        <f>+'Restaing Adjustments'!S27</f>
        <v>46867.92</v>
      </c>
      <c r="F27" s="31">
        <f t="shared" si="5"/>
        <v>2075583.8399999999</v>
      </c>
      <c r="G27" s="53" t="s">
        <v>260</v>
      </c>
      <c r="H27" s="31">
        <f>+F27*'Allocation Statistics'!$D$10</f>
        <v>1768782.5899820905</v>
      </c>
      <c r="I27" s="31">
        <f>+F27*'Allocation Statistics'!$F$10</f>
        <v>306801.25001790939</v>
      </c>
      <c r="J27" s="31"/>
      <c r="K27" s="31">
        <f t="shared" si="3"/>
        <v>0</v>
      </c>
      <c r="L27" s="31"/>
      <c r="M27" s="31"/>
      <c r="N27" s="31"/>
      <c r="O27" s="31"/>
      <c r="P27" s="31"/>
      <c r="Q27" s="31"/>
      <c r="R27" s="31"/>
      <c r="S27" s="31"/>
      <c r="T27" s="23"/>
      <c r="U27" s="23"/>
      <c r="V27" s="23"/>
    </row>
    <row r="28" spans="1:22" ht="15.75" x14ac:dyDescent="0.25">
      <c r="A28">
        <f t="shared" si="4"/>
        <v>26</v>
      </c>
      <c r="B28" s="24" t="s">
        <v>221</v>
      </c>
      <c r="C28" s="31">
        <f>+'Semi Annual '!AE193</f>
        <v>181794.57</v>
      </c>
      <c r="D28" s="31"/>
      <c r="E28" s="31">
        <f>+'Restaing Adjustments'!S28</f>
        <v>0</v>
      </c>
      <c r="F28" s="31">
        <f t="shared" si="5"/>
        <v>181794.57</v>
      </c>
      <c r="G28" s="53" t="s">
        <v>260</v>
      </c>
      <c r="H28" s="31">
        <f>+F28*'Allocation Statistics'!$D$10</f>
        <v>154922.70857595446</v>
      </c>
      <c r="I28" s="31">
        <f>+F28*'Allocation Statistics'!$F$10</f>
        <v>26871.861424045554</v>
      </c>
      <c r="J28" s="31"/>
      <c r="K28" s="31">
        <f t="shared" si="3"/>
        <v>0</v>
      </c>
      <c r="L28" s="31"/>
      <c r="M28" s="31"/>
      <c r="N28" s="31"/>
      <c r="O28" s="31"/>
      <c r="P28" s="31"/>
      <c r="Q28" s="31"/>
      <c r="R28" s="31"/>
      <c r="S28" s="31"/>
      <c r="T28" s="23"/>
      <c r="U28" s="23"/>
      <c r="V28" s="23"/>
    </row>
    <row r="29" spans="1:22" ht="15.75" x14ac:dyDescent="0.25">
      <c r="A29">
        <f>+A28+1</f>
        <v>27</v>
      </c>
      <c r="B29" s="24" t="s">
        <v>222</v>
      </c>
      <c r="C29" s="31">
        <f>+'Semi Annual '!AF193</f>
        <v>7319.01</v>
      </c>
      <c r="D29" s="31"/>
      <c r="E29" s="31">
        <f>+'Restaing Adjustments'!S29</f>
        <v>0</v>
      </c>
      <c r="F29" s="31">
        <f t="shared" si="5"/>
        <v>7319.01</v>
      </c>
      <c r="G29" s="38" t="s">
        <v>232</v>
      </c>
      <c r="H29" s="31">
        <f>+F29*'Allocation Statistics'!$D$14</f>
        <v>5598.6658747769561</v>
      </c>
      <c r="I29" s="31">
        <f>+F29*'Allocation Statistics'!$F$14</f>
        <v>1720.3441252230443</v>
      </c>
      <c r="J29" s="31"/>
      <c r="K29" s="31">
        <f t="shared" si="3"/>
        <v>0</v>
      </c>
      <c r="L29" s="31"/>
      <c r="M29" s="31"/>
      <c r="N29" s="31"/>
      <c r="O29" s="31"/>
      <c r="P29" s="31"/>
      <c r="Q29" s="31"/>
      <c r="R29" s="31"/>
      <c r="S29" s="31"/>
      <c r="T29" s="23"/>
      <c r="U29" s="23"/>
      <c r="V29" s="23"/>
    </row>
    <row r="30" spans="1:22" ht="15.75" x14ac:dyDescent="0.25">
      <c r="A30">
        <f t="shared" si="4"/>
        <v>28</v>
      </c>
      <c r="B30" s="24" t="s">
        <v>135</v>
      </c>
      <c r="C30" s="31">
        <f>+'Semi Annual '!AG193</f>
        <v>141835.20000000001</v>
      </c>
      <c r="D30" s="31"/>
      <c r="E30" s="31">
        <f>+'Restaing Adjustments'!S30</f>
        <v>15359.04</v>
      </c>
      <c r="F30" s="31">
        <f t="shared" si="5"/>
        <v>157194.24000000002</v>
      </c>
      <c r="G30" s="53" t="s">
        <v>260</v>
      </c>
      <c r="H30" s="31">
        <f>+F30*'Allocation Statistics'!D10</f>
        <v>133958.66242505837</v>
      </c>
      <c r="I30" s="31">
        <f>+F30-H30</f>
        <v>23235.57757494165</v>
      </c>
      <c r="J30" s="31"/>
      <c r="K30" s="31">
        <f t="shared" si="3"/>
        <v>0</v>
      </c>
      <c r="L30" s="31"/>
      <c r="M30" s="31"/>
      <c r="N30" s="31"/>
      <c r="O30" s="31"/>
      <c r="P30" s="31"/>
      <c r="Q30" s="31"/>
      <c r="R30" s="31"/>
      <c r="S30" s="31"/>
      <c r="T30" s="23"/>
      <c r="U30" s="23"/>
      <c r="V30" s="23"/>
    </row>
    <row r="31" spans="1:22" ht="15.75" x14ac:dyDescent="0.25">
      <c r="A31">
        <f t="shared" si="4"/>
        <v>29</v>
      </c>
      <c r="B31" s="24" t="s">
        <v>136</v>
      </c>
      <c r="C31" s="31">
        <f>+'Semi Annual '!AH193</f>
        <v>257486.11</v>
      </c>
      <c r="D31" s="31"/>
      <c r="E31" s="31">
        <f>+'Restaing Adjustments'!S31</f>
        <v>-69203.100000000006</v>
      </c>
      <c r="F31" s="31">
        <f t="shared" si="5"/>
        <v>188283.00999999998</v>
      </c>
      <c r="G31" s="38" t="s">
        <v>232</v>
      </c>
      <c r="H31" s="31">
        <f>+F31*'Allocation Statistics'!$D$14</f>
        <v>144026.81003131412</v>
      </c>
      <c r="I31" s="31">
        <f>+F31*'Allocation Statistics'!$F$14</f>
        <v>44256.199968685884</v>
      </c>
      <c r="J31" s="31"/>
      <c r="K31" s="31">
        <f t="shared" si="3"/>
        <v>0</v>
      </c>
      <c r="L31" s="31"/>
      <c r="M31" s="31"/>
      <c r="N31" s="31"/>
      <c r="O31" s="31"/>
      <c r="P31" s="31"/>
      <c r="Q31" s="31"/>
      <c r="R31" s="31"/>
      <c r="S31" s="31"/>
      <c r="T31" s="23"/>
      <c r="U31" s="23"/>
      <c r="V31" s="23"/>
    </row>
    <row r="32" spans="1:22" ht="15.75" x14ac:dyDescent="0.25">
      <c r="A32">
        <f t="shared" si="4"/>
        <v>30</v>
      </c>
      <c r="B32" s="24" t="s">
        <v>139</v>
      </c>
      <c r="C32" s="31">
        <f>+'Semi Annual '!AJ193</f>
        <v>32345.399999999998</v>
      </c>
      <c r="D32" s="31"/>
      <c r="E32" s="31">
        <f>+'Restaing Adjustments'!S32</f>
        <v>0</v>
      </c>
      <c r="F32" s="31">
        <f t="shared" si="5"/>
        <v>32345.399999999998</v>
      </c>
      <c r="G32" s="38" t="s">
        <v>232</v>
      </c>
      <c r="H32" s="31">
        <f>+F32*'Allocation Statistics'!$D$14</f>
        <v>24742.565891563278</v>
      </c>
      <c r="I32" s="31">
        <f>+F32*'Allocation Statistics'!$F$14</f>
        <v>7602.8341084367221</v>
      </c>
      <c r="J32" s="31"/>
      <c r="K32" s="31">
        <f t="shared" si="3"/>
        <v>0</v>
      </c>
      <c r="L32" s="31"/>
      <c r="M32" s="31"/>
      <c r="N32" s="31"/>
      <c r="O32" s="31"/>
      <c r="P32" s="31"/>
      <c r="Q32" s="31"/>
      <c r="R32" s="31"/>
      <c r="S32" s="31"/>
      <c r="T32" s="23"/>
      <c r="U32" s="23"/>
      <c r="V32" s="23"/>
    </row>
    <row r="33" spans="1:22" ht="15.75" x14ac:dyDescent="0.25">
      <c r="A33">
        <f t="shared" si="4"/>
        <v>31</v>
      </c>
      <c r="B33" s="24" t="s">
        <v>269</v>
      </c>
      <c r="C33" s="31">
        <f>+'Semi Annual '!AL146</f>
        <v>16102.08</v>
      </c>
      <c r="D33" s="31"/>
      <c r="E33" s="31">
        <f>+'Restaing Adjustments'!S33</f>
        <v>-16102.08</v>
      </c>
      <c r="F33" s="31">
        <f t="shared" si="5"/>
        <v>0</v>
      </c>
      <c r="G33" s="38" t="s">
        <v>232</v>
      </c>
      <c r="H33" s="31">
        <f>+F33*'Allocation Statistics'!$D$14</f>
        <v>0</v>
      </c>
      <c r="I33" s="31">
        <f>+F33*'Allocation Statistics'!$F$14</f>
        <v>0</v>
      </c>
      <c r="J33" s="31"/>
      <c r="K33" s="31">
        <f t="shared" si="3"/>
        <v>0</v>
      </c>
      <c r="L33" s="31"/>
      <c r="M33" s="31"/>
      <c r="N33" s="31"/>
      <c r="O33" s="31"/>
      <c r="P33" s="31"/>
      <c r="Q33" s="31"/>
      <c r="R33" s="31"/>
      <c r="S33" s="31"/>
      <c r="T33" s="23"/>
      <c r="U33" s="23"/>
      <c r="V33" s="23"/>
    </row>
    <row r="34" spans="1:22" ht="15.75" x14ac:dyDescent="0.25">
      <c r="A34">
        <f t="shared" si="4"/>
        <v>32</v>
      </c>
      <c r="B34" s="24" t="s">
        <v>141</v>
      </c>
      <c r="C34" s="31">
        <f>+'Semi Annual '!AL147</f>
        <v>97491.55</v>
      </c>
      <c r="D34" s="31"/>
      <c r="E34" s="31">
        <f>+'Restaing Adjustments'!S34</f>
        <v>-5908.57</v>
      </c>
      <c r="F34" s="31">
        <f t="shared" si="5"/>
        <v>91582.98000000001</v>
      </c>
      <c r="G34" s="38" t="s">
        <v>268</v>
      </c>
      <c r="H34" s="31">
        <v>81894</v>
      </c>
      <c r="I34" s="31">
        <f>+F34-H34</f>
        <v>9688.9800000000105</v>
      </c>
      <c r="J34" s="31"/>
      <c r="K34" s="31">
        <f t="shared" si="3"/>
        <v>0</v>
      </c>
      <c r="L34" s="31"/>
      <c r="M34" s="31"/>
      <c r="N34" s="31"/>
      <c r="O34" s="31"/>
      <c r="P34" s="31"/>
      <c r="Q34" s="31"/>
      <c r="R34" s="31"/>
      <c r="S34" s="31"/>
      <c r="T34" s="23"/>
      <c r="U34" s="23"/>
      <c r="V34" s="23"/>
    </row>
    <row r="35" spans="1:22" ht="15.75" x14ac:dyDescent="0.25">
      <c r="A35">
        <f t="shared" si="4"/>
        <v>33</v>
      </c>
      <c r="B35" s="24" t="s">
        <v>142</v>
      </c>
      <c r="C35" s="31">
        <f>+'Semi Annual '!AK193</f>
        <v>269140.23</v>
      </c>
      <c r="D35" s="31"/>
      <c r="E35" s="31">
        <f>+'Restaing Adjustments'!S35</f>
        <v>-125743.55499999999</v>
      </c>
      <c r="F35" s="31">
        <f t="shared" si="5"/>
        <v>143396.67499999999</v>
      </c>
      <c r="G35" s="38" t="s">
        <v>268</v>
      </c>
      <c r="H35" s="31">
        <v>124036</v>
      </c>
      <c r="I35" s="31">
        <f>+F35-H35</f>
        <v>19360.674999999988</v>
      </c>
      <c r="J35" s="31"/>
      <c r="K35" s="31">
        <f t="shared" si="3"/>
        <v>0</v>
      </c>
      <c r="L35" s="31"/>
      <c r="M35" s="31"/>
      <c r="N35" s="31"/>
      <c r="O35" s="31"/>
      <c r="P35" s="31"/>
      <c r="Q35" s="31"/>
      <c r="R35" s="31"/>
      <c r="S35" s="31"/>
      <c r="T35" s="23"/>
      <c r="U35" s="23"/>
      <c r="V35" s="23"/>
    </row>
    <row r="36" spans="1:22" ht="15.75" x14ac:dyDescent="0.25">
      <c r="A36">
        <f t="shared" si="4"/>
        <v>34</v>
      </c>
      <c r="B36" s="24" t="s">
        <v>143</v>
      </c>
      <c r="C36" s="31">
        <f>+'Semi Annual '!AM193</f>
        <v>43841.130000000005</v>
      </c>
      <c r="D36" s="31"/>
      <c r="E36" s="31">
        <f>+'Restaing Adjustments'!S36</f>
        <v>0</v>
      </c>
      <c r="F36" s="31">
        <f t="shared" si="5"/>
        <v>43841.130000000005</v>
      </c>
      <c r="G36" s="38" t="s">
        <v>232</v>
      </c>
      <c r="H36" s="31">
        <f>+F36*'Allocation Statistics'!$D$14</f>
        <v>33536.207553024287</v>
      </c>
      <c r="I36" s="31">
        <f>+F36*'Allocation Statistics'!$F$14</f>
        <v>10304.922446975721</v>
      </c>
      <c r="J36" s="31"/>
      <c r="K36" s="31">
        <f t="shared" si="3"/>
        <v>0</v>
      </c>
      <c r="L36" s="31"/>
      <c r="M36" s="31"/>
      <c r="N36" s="31"/>
      <c r="O36" s="31"/>
      <c r="P36" s="31"/>
      <c r="Q36" s="31"/>
      <c r="R36" s="31"/>
      <c r="S36" s="31"/>
      <c r="T36" s="23"/>
      <c r="U36" s="23"/>
      <c r="V36" s="23"/>
    </row>
    <row r="37" spans="1:22" ht="15.75" x14ac:dyDescent="0.25">
      <c r="A37">
        <f t="shared" si="4"/>
        <v>35</v>
      </c>
      <c r="B37" s="24" t="s">
        <v>144</v>
      </c>
      <c r="C37" s="31">
        <f>+'Semi Annual '!AN193</f>
        <v>9262.510000000002</v>
      </c>
      <c r="D37" s="31"/>
      <c r="E37" s="31">
        <f>+'Restaing Adjustments'!S37</f>
        <v>8567.86</v>
      </c>
      <c r="F37" s="31">
        <f t="shared" si="5"/>
        <v>17830.370000000003</v>
      </c>
      <c r="G37" s="38" t="s">
        <v>268</v>
      </c>
      <c r="H37" s="31">
        <f>+'Bad Debts'!H39</f>
        <v>13935.04</v>
      </c>
      <c r="I37" s="31">
        <f>+F37-H37</f>
        <v>3895.3300000000017</v>
      </c>
      <c r="J37" s="31"/>
      <c r="K37" s="31">
        <f t="shared" si="3"/>
        <v>0</v>
      </c>
      <c r="L37" s="31"/>
      <c r="M37" s="31"/>
      <c r="N37" s="31"/>
      <c r="O37" s="31"/>
      <c r="P37" s="31"/>
      <c r="Q37" s="31"/>
      <c r="R37" s="31"/>
      <c r="S37" s="31"/>
      <c r="T37" s="23"/>
      <c r="U37" s="23"/>
      <c r="V37" s="23"/>
    </row>
    <row r="38" spans="1:22" ht="15.75" x14ac:dyDescent="0.25">
      <c r="A38">
        <f t="shared" si="4"/>
        <v>36</v>
      </c>
      <c r="B38" s="24" t="s">
        <v>146</v>
      </c>
      <c r="C38" s="31">
        <f>+'Semi Annual '!AP153+'Semi Annual '!AP167</f>
        <v>1946.3600000000001</v>
      </c>
      <c r="D38" s="31"/>
      <c r="E38" s="31">
        <f>+'Restaing Adjustments'!S38</f>
        <v>-1946.3600000000001</v>
      </c>
      <c r="F38" s="31">
        <f t="shared" si="5"/>
        <v>0</v>
      </c>
      <c r="G38" s="38"/>
      <c r="H38" s="31"/>
      <c r="I38" s="31"/>
      <c r="J38" s="31"/>
      <c r="K38" s="31">
        <f t="shared" si="3"/>
        <v>0</v>
      </c>
      <c r="L38" s="31"/>
      <c r="M38" s="31"/>
      <c r="N38" s="31"/>
      <c r="O38" s="31"/>
      <c r="P38" s="31"/>
      <c r="Q38" s="31"/>
      <c r="R38" s="31"/>
      <c r="S38" s="31"/>
      <c r="T38" s="23"/>
      <c r="U38" s="23"/>
      <c r="V38" s="23"/>
    </row>
    <row r="39" spans="1:22" ht="15.75" x14ac:dyDescent="0.25">
      <c r="A39">
        <f t="shared" si="4"/>
        <v>37</v>
      </c>
      <c r="B39" s="24" t="s">
        <v>147</v>
      </c>
      <c r="C39" s="31">
        <f>+'Semi Annual '!AQ193</f>
        <v>434101.83</v>
      </c>
      <c r="D39" s="31"/>
      <c r="E39" s="31">
        <f>+'Restaing Adjustments'!S39</f>
        <v>79071.571047618811</v>
      </c>
      <c r="F39" s="31">
        <f t="shared" si="5"/>
        <v>513173.40104761883</v>
      </c>
      <c r="G39" s="38" t="s">
        <v>233</v>
      </c>
      <c r="H39" s="31">
        <f>+F39*'Allocation Statistics'!$D$6</f>
        <v>288879.66873266821</v>
      </c>
      <c r="I39" s="31">
        <f>+F39*'Allocation Statistics'!$F$6</f>
        <v>224293.73231495061</v>
      </c>
      <c r="J39" s="31"/>
      <c r="K39" s="31">
        <f t="shared" si="3"/>
        <v>0</v>
      </c>
      <c r="L39" s="31"/>
      <c r="M39" s="31"/>
      <c r="N39" s="31"/>
      <c r="O39" s="31"/>
      <c r="P39" s="31"/>
      <c r="Q39" s="31"/>
      <c r="R39" s="31"/>
      <c r="S39" s="31"/>
      <c r="T39" s="23"/>
      <c r="U39" s="23"/>
      <c r="V39" s="23"/>
    </row>
    <row r="40" spans="1:22" ht="15.75" x14ac:dyDescent="0.25">
      <c r="A40">
        <f t="shared" si="4"/>
        <v>38</v>
      </c>
      <c r="B40" s="24" t="s">
        <v>149</v>
      </c>
      <c r="C40" s="31">
        <f>+'Semi Annual '!AR193</f>
        <v>24204.38</v>
      </c>
      <c r="D40" s="31"/>
      <c r="E40" s="31">
        <f>+'Restaing Adjustments'!S40</f>
        <v>-16978.54</v>
      </c>
      <c r="F40" s="31">
        <f t="shared" si="5"/>
        <v>7225.84</v>
      </c>
      <c r="G40" s="38" t="s">
        <v>232</v>
      </c>
      <c r="H40" s="31">
        <f>+F40*'Allocation Statistics'!$D$14</f>
        <v>5527.3956210742053</v>
      </c>
      <c r="I40" s="31">
        <f>+F40*'Allocation Statistics'!$F$14</f>
        <v>1698.444378925795</v>
      </c>
      <c r="J40" s="31"/>
      <c r="K40" s="31">
        <f t="shared" si="3"/>
        <v>0</v>
      </c>
      <c r="L40" s="31"/>
      <c r="M40" s="31"/>
      <c r="N40" s="31"/>
      <c r="O40" s="31"/>
      <c r="P40" s="31"/>
      <c r="Q40" s="31"/>
      <c r="R40" s="31"/>
      <c r="S40" s="31"/>
      <c r="T40" s="23"/>
      <c r="U40" s="23"/>
      <c r="V40" s="23"/>
    </row>
    <row r="41" spans="1:22" ht="15.75" x14ac:dyDescent="0.25">
      <c r="A41">
        <f t="shared" si="4"/>
        <v>39</v>
      </c>
      <c r="B41" s="24" t="s">
        <v>150</v>
      </c>
      <c r="C41" s="31">
        <f>+'Semi Annual '!AI193</f>
        <v>227838.52</v>
      </c>
      <c r="D41" s="31"/>
      <c r="E41" s="31">
        <f>+'Restaing Adjustments'!S41</f>
        <v>0</v>
      </c>
      <c r="F41" s="31">
        <f t="shared" si="5"/>
        <v>227838.52</v>
      </c>
      <c r="G41" s="53" t="s">
        <v>260</v>
      </c>
      <c r="H41" s="31">
        <f>+F41*'Allocation Statistics'!$D$10</f>
        <v>194160.69817892122</v>
      </c>
      <c r="I41" s="31">
        <f>+F41*'Allocation Statistics'!$F$10</f>
        <v>33677.821821078767</v>
      </c>
      <c r="J41" s="31"/>
      <c r="K41" s="31">
        <f t="shared" si="3"/>
        <v>0</v>
      </c>
      <c r="L41" s="31"/>
      <c r="M41" s="31"/>
      <c r="N41" s="31"/>
      <c r="O41" s="31"/>
      <c r="P41" s="31"/>
      <c r="Q41" s="31"/>
      <c r="R41" s="31"/>
      <c r="S41" s="31"/>
      <c r="T41" s="23"/>
      <c r="U41" s="23"/>
      <c r="V41" s="23"/>
    </row>
    <row r="42" spans="1:22" ht="15.75" x14ac:dyDescent="0.25">
      <c r="A42">
        <f t="shared" si="4"/>
        <v>40</v>
      </c>
      <c r="B42" s="24" t="s">
        <v>154</v>
      </c>
      <c r="C42" s="31">
        <f>+'Semi Annual '!AT193</f>
        <v>45801.64</v>
      </c>
      <c r="D42" s="31"/>
      <c r="E42" s="31">
        <f>+'Restaing Adjustments'!S42</f>
        <v>0</v>
      </c>
      <c r="F42" s="31">
        <f t="shared" si="5"/>
        <v>45801.64</v>
      </c>
      <c r="G42" s="38" t="s">
        <v>232</v>
      </c>
      <c r="H42" s="31">
        <f>+F42*'Allocation Statistics'!$D$14</f>
        <v>35035.896777954833</v>
      </c>
      <c r="I42" s="31">
        <f>+F42*'Allocation Statistics'!$F$14</f>
        <v>10765.743222045166</v>
      </c>
      <c r="J42" s="31"/>
      <c r="K42" s="31">
        <f t="shared" si="3"/>
        <v>0</v>
      </c>
      <c r="L42" s="31"/>
      <c r="M42" s="31"/>
      <c r="N42" s="31"/>
      <c r="O42" s="31"/>
      <c r="P42" s="31"/>
      <c r="Q42" s="31"/>
      <c r="R42" s="31"/>
      <c r="S42" s="31"/>
      <c r="T42" s="23"/>
      <c r="U42" s="23"/>
      <c r="V42" s="23"/>
    </row>
    <row r="43" spans="1:22" ht="15.75" x14ac:dyDescent="0.25">
      <c r="A43">
        <f t="shared" si="4"/>
        <v>41</v>
      </c>
      <c r="B43" s="24" t="s">
        <v>155</v>
      </c>
      <c r="C43" s="31">
        <f>+'Semi Annual '!AU193</f>
        <v>177397.19</v>
      </c>
      <c r="D43" s="31"/>
      <c r="E43" s="31">
        <f>+'Restaing Adjustments'!S43</f>
        <v>0</v>
      </c>
      <c r="F43" s="31">
        <f t="shared" si="5"/>
        <v>177397.19</v>
      </c>
      <c r="G43" s="38" t="s">
        <v>233</v>
      </c>
      <c r="H43" s="31">
        <f>+F43*'Allocation Statistics'!$D$6</f>
        <v>99861.842754688885</v>
      </c>
      <c r="I43" s="31">
        <f>+F43*'Allocation Statistics'!$F$6</f>
        <v>77535.347245311117</v>
      </c>
      <c r="J43" s="31"/>
      <c r="K43" s="31">
        <f t="shared" si="3"/>
        <v>0</v>
      </c>
      <c r="L43" s="31"/>
      <c r="M43" s="31"/>
      <c r="N43" s="31"/>
      <c r="O43" s="31"/>
      <c r="P43" s="31"/>
      <c r="Q43" s="31"/>
      <c r="R43" s="31"/>
      <c r="S43" s="31"/>
      <c r="T43" s="23"/>
      <c r="U43" s="23"/>
      <c r="V43" s="23"/>
    </row>
    <row r="44" spans="1:22" ht="15.75" x14ac:dyDescent="0.25">
      <c r="A44">
        <f t="shared" si="4"/>
        <v>42</v>
      </c>
      <c r="B44" s="24" t="s">
        <v>159</v>
      </c>
      <c r="C44" s="31">
        <f>+'Semi Annual '!AV193</f>
        <v>11213.839999999997</v>
      </c>
      <c r="D44" s="31"/>
      <c r="E44" s="31">
        <f>+'Restaing Adjustments'!S44</f>
        <v>0</v>
      </c>
      <c r="F44" s="31">
        <f t="shared" si="5"/>
        <v>11213.839999999997</v>
      </c>
      <c r="G44" s="38" t="s">
        <v>232</v>
      </c>
      <c r="H44" s="31">
        <f>+F44*'Allocation Statistics'!$D$14</f>
        <v>8578.0103228727385</v>
      </c>
      <c r="I44" s="31">
        <f>+F44*'Allocation Statistics'!$F$14</f>
        <v>2635.8296771272585</v>
      </c>
      <c r="J44" s="31"/>
      <c r="K44" s="31">
        <f t="shared" si="3"/>
        <v>0</v>
      </c>
      <c r="L44" s="31"/>
      <c r="M44" s="31"/>
      <c r="N44" s="31"/>
      <c r="O44" s="31"/>
      <c r="P44" s="31"/>
      <c r="Q44" s="31"/>
      <c r="R44" s="31"/>
      <c r="S44" s="31"/>
      <c r="T44" s="23"/>
      <c r="U44" s="23"/>
      <c r="V44" s="23"/>
    </row>
    <row r="45" spans="1:22" ht="15.75" x14ac:dyDescent="0.25">
      <c r="A45">
        <f t="shared" si="4"/>
        <v>43</v>
      </c>
      <c r="B45" s="24" t="s">
        <v>161</v>
      </c>
      <c r="C45" s="31">
        <f>+'Semi Annual '!AO193</f>
        <v>138469.10999999999</v>
      </c>
      <c r="D45" s="31"/>
      <c r="E45" s="31">
        <f>+'Restaing Adjustments'!S45</f>
        <v>0</v>
      </c>
      <c r="F45" s="31">
        <f t="shared" si="5"/>
        <v>138469.10999999999</v>
      </c>
      <c r="G45" s="38" t="s">
        <v>232</v>
      </c>
      <c r="H45" s="31">
        <f>+F45*'Allocation Statistics'!$D$14</f>
        <v>105921.74090044097</v>
      </c>
      <c r="I45" s="31">
        <f>+F45*'Allocation Statistics'!$F$14</f>
        <v>32547.369099559022</v>
      </c>
      <c r="J45" s="31"/>
      <c r="K45" s="31">
        <f t="shared" si="3"/>
        <v>0</v>
      </c>
      <c r="L45" s="31"/>
      <c r="M45" s="31"/>
      <c r="N45" s="31"/>
      <c r="O45" s="31"/>
      <c r="P45" s="31"/>
      <c r="Q45" s="31"/>
      <c r="R45" s="31"/>
      <c r="S45" s="31"/>
      <c r="T45" s="23"/>
      <c r="U45" s="23"/>
      <c r="V45" s="23"/>
    </row>
    <row r="46" spans="1:22" ht="15.75" x14ac:dyDescent="0.25">
      <c r="A46">
        <f t="shared" si="4"/>
        <v>44</v>
      </c>
      <c r="B46" s="24" t="s">
        <v>163</v>
      </c>
      <c r="C46" s="31">
        <f>+'Semi Annual '!AZ193</f>
        <v>2350.9000000000024</v>
      </c>
      <c r="D46" s="31"/>
      <c r="E46" s="31">
        <f>+'Restaing Adjustments'!S46</f>
        <v>0</v>
      </c>
      <c r="F46" s="31">
        <f t="shared" si="5"/>
        <v>2350.9000000000024</v>
      </c>
      <c r="G46" s="38" t="s">
        <v>232</v>
      </c>
      <c r="H46" s="31">
        <f>+F46*'Allocation Statistics'!$D$14</f>
        <v>1798.3174780486922</v>
      </c>
      <c r="I46" s="31">
        <f>+F46*'Allocation Statistics'!$F$14</f>
        <v>552.58252195131024</v>
      </c>
      <c r="J46" s="31"/>
      <c r="K46" s="31">
        <f t="shared" si="3"/>
        <v>0</v>
      </c>
      <c r="L46" s="31"/>
      <c r="M46" s="31"/>
      <c r="N46" s="202"/>
      <c r="O46" s="31"/>
      <c r="P46" s="31"/>
      <c r="Q46" s="31"/>
      <c r="R46" s="31"/>
      <c r="S46" s="31"/>
      <c r="T46" s="23"/>
      <c r="U46" s="23"/>
      <c r="V46" s="23"/>
    </row>
    <row r="47" spans="1:22" ht="15.75" x14ac:dyDescent="0.25">
      <c r="A47">
        <f t="shared" si="4"/>
        <v>45</v>
      </c>
      <c r="B47" s="24" t="s">
        <v>164</v>
      </c>
      <c r="C47" s="31">
        <f>+'Semi Annual '!AW193</f>
        <v>120896.20000000001</v>
      </c>
      <c r="D47" s="31"/>
      <c r="E47" s="31">
        <f>+'Restaing Adjustments'!S47</f>
        <v>0</v>
      </c>
      <c r="F47" s="31">
        <f t="shared" si="5"/>
        <v>120896.20000000001</v>
      </c>
      <c r="G47" s="38" t="s">
        <v>232</v>
      </c>
      <c r="H47" s="31">
        <f>+F47*'Allocation Statistics'!$D$14</f>
        <v>92479.369386052203</v>
      </c>
      <c r="I47" s="31">
        <f>+F47*'Allocation Statistics'!$F$14</f>
        <v>28416.830613947819</v>
      </c>
      <c r="J47" s="31"/>
      <c r="K47" s="31">
        <f t="shared" si="3"/>
        <v>0</v>
      </c>
      <c r="L47" s="31"/>
      <c r="M47" s="31"/>
      <c r="N47" s="202"/>
      <c r="O47" s="31"/>
      <c r="P47" s="31"/>
      <c r="Q47" s="31"/>
      <c r="R47" s="31"/>
      <c r="S47" s="31"/>
      <c r="T47" s="23"/>
      <c r="U47" s="23"/>
      <c r="V47" s="23"/>
    </row>
    <row r="48" spans="1:22" ht="15.75" x14ac:dyDescent="0.25">
      <c r="A48">
        <f t="shared" si="4"/>
        <v>46</v>
      </c>
      <c r="B48" s="24" t="s">
        <v>248</v>
      </c>
      <c r="C48" s="31">
        <f>+'Semi Annual '!AX193</f>
        <v>50255.130000000005</v>
      </c>
      <c r="D48" s="31"/>
      <c r="E48" s="31">
        <f>+'Restaing Adjustments'!S48</f>
        <v>0</v>
      </c>
      <c r="F48" s="31">
        <f t="shared" si="5"/>
        <v>50255.130000000005</v>
      </c>
      <c r="G48" s="38" t="s">
        <v>232</v>
      </c>
      <c r="H48" s="31">
        <f>+F48*'Allocation Statistics'!$D$14</f>
        <v>38442.587366799562</v>
      </c>
      <c r="I48" s="31">
        <f>+F48*'Allocation Statistics'!$F$14</f>
        <v>11812.542633200444</v>
      </c>
      <c r="J48" s="31"/>
      <c r="K48" s="31">
        <f t="shared" si="3"/>
        <v>0</v>
      </c>
      <c r="L48" s="31"/>
      <c r="M48" s="31"/>
      <c r="N48" s="202"/>
      <c r="O48" s="31"/>
      <c r="P48" s="31"/>
      <c r="Q48" s="31"/>
      <c r="R48" s="31"/>
      <c r="S48" s="31"/>
      <c r="T48" s="23"/>
      <c r="U48" s="23"/>
      <c r="V48" s="23"/>
    </row>
    <row r="49" spans="1:22" ht="15.75" x14ac:dyDescent="0.25">
      <c r="A49">
        <f t="shared" si="4"/>
        <v>47</v>
      </c>
      <c r="B49" s="24" t="s">
        <v>175</v>
      </c>
      <c r="C49" s="31">
        <f>+'Semi Annual '!AY193</f>
        <v>7011.7199999999993</v>
      </c>
      <c r="D49" s="31"/>
      <c r="E49" s="31">
        <f>+'Restaing Adjustments'!S49</f>
        <v>0</v>
      </c>
      <c r="F49" s="31">
        <f t="shared" si="5"/>
        <v>7011.7199999999993</v>
      </c>
      <c r="G49" s="38" t="s">
        <v>232</v>
      </c>
      <c r="H49" s="31">
        <f>+F49*'Allocation Statistics'!$D$14</f>
        <v>5363.6048437549716</v>
      </c>
      <c r="I49" s="31">
        <f>+F49*'Allocation Statistics'!$F$14</f>
        <v>1648.1151562450282</v>
      </c>
      <c r="J49" s="31"/>
      <c r="K49" s="31">
        <f t="shared" si="3"/>
        <v>0</v>
      </c>
      <c r="L49" s="31"/>
      <c r="M49" s="31"/>
      <c r="N49" s="31"/>
      <c r="O49" s="31"/>
      <c r="P49" s="31"/>
      <c r="Q49" s="31"/>
      <c r="R49" s="31"/>
      <c r="S49" s="31"/>
      <c r="T49" s="23"/>
      <c r="U49" s="23"/>
      <c r="V49" s="23"/>
    </row>
    <row r="50" spans="1:22" ht="15.75" x14ac:dyDescent="0.25">
      <c r="A50">
        <f t="shared" si="4"/>
        <v>48</v>
      </c>
      <c r="B50" s="24" t="s">
        <v>176</v>
      </c>
      <c r="C50" s="31">
        <f>+'Semi Annual '!BA193</f>
        <v>41500.32</v>
      </c>
      <c r="D50" s="31"/>
      <c r="E50" s="31">
        <f>+'Restaing Adjustments'!S50</f>
        <v>0</v>
      </c>
      <c r="F50" s="31">
        <f t="shared" si="5"/>
        <v>41500.32</v>
      </c>
      <c r="G50" s="38" t="s">
        <v>234</v>
      </c>
      <c r="H50" s="31">
        <f>+F50*H17</f>
        <v>34125.515443121105</v>
      </c>
      <c r="I50" s="31">
        <f>+F50*I17</f>
        <v>7374.8045568789021</v>
      </c>
      <c r="J50" s="31"/>
      <c r="K50" s="31">
        <f t="shared" si="3"/>
        <v>-7.2759576141834259E-12</v>
      </c>
      <c r="L50" s="31"/>
      <c r="M50" s="202"/>
      <c r="N50" s="31"/>
      <c r="O50" s="31"/>
      <c r="P50" s="31"/>
      <c r="Q50" s="31"/>
      <c r="R50" s="31"/>
      <c r="S50" s="31"/>
      <c r="T50" s="23"/>
      <c r="U50" s="23"/>
      <c r="V50" s="23"/>
    </row>
    <row r="51" spans="1:22" ht="15.75" x14ac:dyDescent="0.25">
      <c r="A51">
        <f t="shared" si="4"/>
        <v>49</v>
      </c>
      <c r="B51" s="24" t="s">
        <v>178</v>
      </c>
      <c r="C51" s="31">
        <f>+'Semi Annual '!BB193</f>
        <v>82376.97</v>
      </c>
      <c r="D51" s="31"/>
      <c r="E51" s="31">
        <f>+'Restaing Adjustments'!S51</f>
        <v>0</v>
      </c>
      <c r="F51" s="31">
        <f t="shared" si="5"/>
        <v>82376.97</v>
      </c>
      <c r="G51" s="38" t="s">
        <v>232</v>
      </c>
      <c r="H51" s="31">
        <f>+F51*'Allocation Statistics'!$D$14</f>
        <v>63014.14136700525</v>
      </c>
      <c r="I51" s="31">
        <f>+F51*'Allocation Statistics'!$F$14</f>
        <v>19362.828632994759</v>
      </c>
      <c r="J51" s="31"/>
      <c r="K51" s="31">
        <f t="shared" si="3"/>
        <v>0</v>
      </c>
      <c r="L51" s="31"/>
      <c r="M51" s="202"/>
      <c r="N51" s="31"/>
      <c r="O51" s="31"/>
      <c r="P51" s="31"/>
      <c r="Q51" s="31"/>
      <c r="R51" s="31"/>
      <c r="S51" s="31"/>
      <c r="T51" s="23"/>
      <c r="U51" s="23"/>
      <c r="V51" s="23"/>
    </row>
    <row r="52" spans="1:22" ht="15.75" x14ac:dyDescent="0.25">
      <c r="A52">
        <f t="shared" si="4"/>
        <v>50</v>
      </c>
      <c r="B52" s="24" t="s">
        <v>179</v>
      </c>
      <c r="C52" s="31">
        <f>+'Semi Annual '!BC193</f>
        <v>2507.3399999999997</v>
      </c>
      <c r="D52" s="31"/>
      <c r="E52" s="31">
        <f>+'Restaing Adjustments'!S52</f>
        <v>0</v>
      </c>
      <c r="F52" s="31">
        <f t="shared" si="5"/>
        <v>2507.3399999999997</v>
      </c>
      <c r="G52" s="38" t="s">
        <v>232</v>
      </c>
      <c r="H52" s="31">
        <f>+F52*'Allocation Statistics'!$D$14</f>
        <v>1917.9860246759126</v>
      </c>
      <c r="I52" s="31">
        <f>+F52*'Allocation Statistics'!$F$14</f>
        <v>589.35397532408717</v>
      </c>
      <c r="J52" s="31"/>
      <c r="K52" s="31">
        <f t="shared" si="3"/>
        <v>0</v>
      </c>
      <c r="L52" s="31"/>
      <c r="M52" s="202"/>
      <c r="N52" s="31"/>
      <c r="O52" s="31"/>
      <c r="P52" s="31"/>
      <c r="Q52" s="31"/>
      <c r="R52" s="31"/>
      <c r="S52" s="31"/>
      <c r="T52" s="23"/>
      <c r="U52" s="23"/>
      <c r="V52" s="23"/>
    </row>
    <row r="53" spans="1:22" ht="15.75" x14ac:dyDescent="0.25">
      <c r="A53">
        <f t="shared" si="4"/>
        <v>51</v>
      </c>
      <c r="B53" s="24" t="s">
        <v>249</v>
      </c>
      <c r="C53" s="31">
        <f>+'Semi Annual '!AS193</f>
        <v>229233.78999999998</v>
      </c>
      <c r="D53" s="31"/>
      <c r="E53" s="31">
        <f>+'Restaing Adjustments'!S53</f>
        <v>0</v>
      </c>
      <c r="F53" s="31">
        <f t="shared" si="5"/>
        <v>229233.78999999998</v>
      </c>
      <c r="G53" s="38" t="s">
        <v>232</v>
      </c>
      <c r="H53" s="31">
        <f>+F53*'Allocation Statistics'!$D$14</f>
        <v>175352.0486266294</v>
      </c>
      <c r="I53" s="31">
        <f>+F53*'Allocation Statistics'!$F$14</f>
        <v>53881.741373370583</v>
      </c>
      <c r="J53" s="31"/>
      <c r="K53" s="31">
        <f t="shared" si="3"/>
        <v>0</v>
      </c>
      <c r="L53" s="31"/>
      <c r="M53" s="31"/>
      <c r="N53" s="31"/>
      <c r="O53" s="31"/>
      <c r="P53" s="31"/>
      <c r="Q53" s="31"/>
      <c r="R53" s="31"/>
      <c r="S53" s="31"/>
      <c r="T53" s="23"/>
      <c r="U53" s="23"/>
      <c r="V53" s="23"/>
    </row>
    <row r="54" spans="1:22" ht="15.75" x14ac:dyDescent="0.25">
      <c r="A54">
        <f t="shared" si="4"/>
        <v>52</v>
      </c>
      <c r="B54" s="24" t="s">
        <v>272</v>
      </c>
      <c r="C54" s="31"/>
      <c r="D54" s="31"/>
      <c r="E54" s="31">
        <f>+'Restaing Adjustments'!S54</f>
        <v>16978.54</v>
      </c>
      <c r="F54" s="31">
        <f t="shared" si="5"/>
        <v>16978.54</v>
      </c>
      <c r="G54" s="38" t="s">
        <v>230</v>
      </c>
      <c r="H54" s="31">
        <f>+F54</f>
        <v>16978.54</v>
      </c>
      <c r="I54" s="31"/>
      <c r="J54" s="31"/>
      <c r="K54" s="31">
        <f t="shared" si="3"/>
        <v>0</v>
      </c>
      <c r="L54" s="31"/>
      <c r="M54" s="31"/>
      <c r="N54" s="31"/>
      <c r="O54" s="31"/>
      <c r="P54" s="31"/>
      <c r="Q54" s="31"/>
      <c r="R54" s="31"/>
      <c r="S54" s="31"/>
      <c r="T54" s="23"/>
      <c r="U54" s="23"/>
      <c r="V54" s="23"/>
    </row>
    <row r="55" spans="1:22" ht="15.75" x14ac:dyDescent="0.25">
      <c r="A55">
        <f t="shared" si="4"/>
        <v>53</v>
      </c>
      <c r="B55" s="24" t="s">
        <v>181</v>
      </c>
      <c r="C55" s="31">
        <f>+'Semi Annual '!BD193</f>
        <v>30921.230000000003</v>
      </c>
      <c r="D55" s="31"/>
      <c r="E55" s="31">
        <f>+'Restaing Adjustments'!S55</f>
        <v>0</v>
      </c>
      <c r="F55" s="31">
        <f t="shared" si="5"/>
        <v>30921.230000000003</v>
      </c>
      <c r="G55" s="38" t="s">
        <v>232</v>
      </c>
      <c r="H55" s="31">
        <f>+F55*'Allocation Statistics'!$D$14</f>
        <v>23653.149156392665</v>
      </c>
      <c r="I55" s="31">
        <f>+F55*'Allocation Statistics'!$F$14</f>
        <v>7268.0808436073403</v>
      </c>
      <c r="J55" s="31"/>
      <c r="K55" s="31">
        <f t="shared" si="3"/>
        <v>0</v>
      </c>
      <c r="L55" s="31"/>
      <c r="M55" s="31"/>
      <c r="N55" s="31"/>
      <c r="O55" s="31"/>
      <c r="P55" s="31"/>
      <c r="Q55" s="31"/>
      <c r="R55" s="31"/>
      <c r="S55" s="31"/>
      <c r="T55" s="23"/>
      <c r="U55" s="23"/>
      <c r="V55" s="23"/>
    </row>
    <row r="56" spans="1:22" ht="15.75" x14ac:dyDescent="0.25">
      <c r="A56">
        <f t="shared" si="4"/>
        <v>54</v>
      </c>
      <c r="B56" s="24" t="s">
        <v>182</v>
      </c>
      <c r="C56" s="31">
        <f>+'Semi Annual '!BE193</f>
        <v>26370.16</v>
      </c>
      <c r="D56" s="31"/>
      <c r="E56" s="31">
        <f>+'Restaing Adjustments'!S56</f>
        <v>0</v>
      </c>
      <c r="F56" s="31">
        <f t="shared" si="5"/>
        <v>26370.16</v>
      </c>
      <c r="G56" s="38" t="s">
        <v>232</v>
      </c>
      <c r="H56" s="31">
        <f>+F56*'Allocation Statistics'!$D$14</f>
        <v>20171.814890867521</v>
      </c>
      <c r="I56" s="31">
        <f>+F56*'Allocation Statistics'!$F$14</f>
        <v>6198.3451091324805</v>
      </c>
      <c r="J56" s="31"/>
      <c r="K56" s="31">
        <f t="shared" si="3"/>
        <v>0</v>
      </c>
      <c r="L56" s="31"/>
      <c r="M56" s="31"/>
      <c r="N56" s="31"/>
      <c r="O56" s="31"/>
      <c r="P56" s="31"/>
      <c r="Q56" s="31"/>
      <c r="R56" s="31"/>
      <c r="S56" s="31"/>
      <c r="T56" s="23"/>
      <c r="U56" s="23"/>
      <c r="V56" s="23"/>
    </row>
    <row r="57" spans="1:22" ht="15.75" x14ac:dyDescent="0.25">
      <c r="A57">
        <f t="shared" si="4"/>
        <v>55</v>
      </c>
      <c r="B57" s="24" t="s">
        <v>183</v>
      </c>
      <c r="C57" s="31">
        <f>+'Semi Annual '!AP191</f>
        <v>97081.760000000009</v>
      </c>
      <c r="D57" s="31"/>
      <c r="E57" s="31">
        <f>+'Restaing Adjustments'!S57</f>
        <v>-97081.760000000009</v>
      </c>
      <c r="F57" s="31">
        <f t="shared" si="5"/>
        <v>0</v>
      </c>
      <c r="G57" s="38"/>
      <c r="H57" s="31"/>
      <c r="I57" s="31"/>
      <c r="J57" s="31"/>
      <c r="K57" s="31">
        <f t="shared" si="3"/>
        <v>0</v>
      </c>
      <c r="L57" s="31"/>
      <c r="M57" s="31"/>
      <c r="N57" s="31"/>
      <c r="O57" s="31"/>
      <c r="P57" s="31"/>
      <c r="Q57" s="31"/>
      <c r="R57" s="31"/>
      <c r="S57" s="31"/>
      <c r="T57" s="23"/>
      <c r="U57" s="23"/>
      <c r="V57" s="23"/>
    </row>
    <row r="58" spans="1:22" ht="15.75" x14ac:dyDescent="0.25">
      <c r="A58">
        <f t="shared" si="4"/>
        <v>56</v>
      </c>
      <c r="B58" s="24" t="s">
        <v>184</v>
      </c>
      <c r="C58" s="33">
        <f>+'Semi Annual '!AP192</f>
        <v>33089.160000000003</v>
      </c>
      <c r="D58" s="33"/>
      <c r="E58" s="31">
        <f>+'Restaing Adjustments'!S58</f>
        <v>-33089.160000000003</v>
      </c>
      <c r="F58" s="31">
        <f t="shared" si="5"/>
        <v>0</v>
      </c>
      <c r="G58" s="38"/>
      <c r="H58" s="31"/>
      <c r="I58" s="31"/>
      <c r="J58" s="31"/>
      <c r="K58" s="31">
        <f t="shared" si="3"/>
        <v>0</v>
      </c>
      <c r="L58" s="31"/>
      <c r="M58" s="31"/>
      <c r="N58" s="31"/>
      <c r="O58" s="31"/>
      <c r="P58" s="31"/>
      <c r="Q58" s="31"/>
      <c r="R58" s="31"/>
      <c r="S58" s="31"/>
      <c r="T58" s="23"/>
      <c r="U58" s="23"/>
      <c r="V58" s="23"/>
    </row>
    <row r="59" spans="1:22" ht="15.75" x14ac:dyDescent="0.25">
      <c r="B59" s="24" t="s">
        <v>185</v>
      </c>
      <c r="C59" s="37">
        <f>SUM(C19:C58)</f>
        <v>5655386.2499999991</v>
      </c>
      <c r="D59" s="37"/>
      <c r="E59" s="37">
        <f>SUM(E19:E58)</f>
        <v>-199208.19395238117</v>
      </c>
      <c r="F59" s="37">
        <f>SUM(F19:F58)</f>
        <v>5456178.0560476184</v>
      </c>
      <c r="G59" s="31"/>
      <c r="H59" s="37">
        <f>SUM(H19:H58)</f>
        <v>4367265.1960754348</v>
      </c>
      <c r="I59" s="37">
        <f>SUM(I19:I58)</f>
        <v>1088912.8599721841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23"/>
      <c r="U59" s="23"/>
      <c r="V59" s="23"/>
    </row>
    <row r="60" spans="1:22" ht="15.75" x14ac:dyDescent="0.25">
      <c r="B60" s="2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23"/>
      <c r="U60" s="23"/>
      <c r="V60" s="23"/>
    </row>
    <row r="61" spans="1:22" ht="15.75" x14ac:dyDescent="0.25">
      <c r="B61" s="24" t="s">
        <v>1</v>
      </c>
      <c r="C61" s="31">
        <f>+C15-C59</f>
        <v>3466.6100000003353</v>
      </c>
      <c r="D61" s="31"/>
      <c r="E61" s="31">
        <f>+E15-E59</f>
        <v>199208.19395238117</v>
      </c>
      <c r="F61" s="31">
        <f>+F15-F59</f>
        <v>202674.80395238101</v>
      </c>
      <c r="G61" s="31"/>
      <c r="H61" s="31">
        <f>+H15-H59</f>
        <v>285982.5539245652</v>
      </c>
      <c r="I61" s="31">
        <f>+I15-I59</f>
        <v>-83307.749972183956</v>
      </c>
      <c r="J61" s="31"/>
      <c r="K61" s="31">
        <f>+F61-H61-I61</f>
        <v>-2.3283064365386963E-10</v>
      </c>
      <c r="L61" s="31"/>
      <c r="M61" s="31"/>
      <c r="N61" s="31"/>
      <c r="O61" s="31"/>
      <c r="P61" s="31"/>
      <c r="Q61" s="31"/>
      <c r="R61" s="31"/>
      <c r="S61" s="31"/>
      <c r="T61" s="23"/>
      <c r="U61" s="23"/>
      <c r="V61" s="23"/>
    </row>
    <row r="62" spans="1:22" ht="15.75" x14ac:dyDescent="0.25">
      <c r="B62" s="23"/>
      <c r="C62" s="31">
        <f>+C59-'Semi Annual '!V194</f>
        <v>0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3"/>
      <c r="U62" s="23"/>
      <c r="V62" s="23"/>
    </row>
    <row r="63" spans="1:22" ht="15.75" x14ac:dyDescent="0.25">
      <c r="B63" s="23" t="s">
        <v>273</v>
      </c>
      <c r="C63" s="31"/>
      <c r="D63" s="31"/>
      <c r="E63" s="31"/>
      <c r="F63" s="26">
        <v>0.90500000000000003</v>
      </c>
      <c r="G63" s="31"/>
      <c r="H63" s="31">
        <f>+H59/F63</f>
        <v>4825707.3989783805</v>
      </c>
      <c r="I63" s="31"/>
      <c r="J63" s="26"/>
      <c r="K63" s="202"/>
      <c r="L63" s="26"/>
      <c r="M63" s="26"/>
      <c r="N63" s="31"/>
      <c r="O63" s="31"/>
      <c r="P63" s="31"/>
      <c r="Q63" s="31"/>
      <c r="R63" s="31"/>
      <c r="S63" s="31"/>
      <c r="T63" s="23"/>
      <c r="U63" s="23"/>
      <c r="V63" s="23"/>
    </row>
    <row r="64" spans="1:22" x14ac:dyDescent="0.25">
      <c r="C64" s="32"/>
      <c r="D64" s="32"/>
      <c r="E64" s="32"/>
      <c r="F64" s="32"/>
      <c r="G64" s="32"/>
      <c r="H64" s="32"/>
      <c r="I64" s="32"/>
      <c r="J64" s="201"/>
      <c r="K64" s="32"/>
      <c r="L64" s="32"/>
      <c r="M64" s="32"/>
      <c r="N64" s="32"/>
      <c r="O64" s="32"/>
      <c r="P64" s="32"/>
      <c r="Q64" s="32"/>
      <c r="R64" s="32"/>
      <c r="S64" s="32"/>
    </row>
    <row r="65" spans="2:19" ht="15.75" x14ac:dyDescent="0.25">
      <c r="B65" s="23" t="s">
        <v>235</v>
      </c>
      <c r="C65" s="32"/>
      <c r="D65" s="32"/>
      <c r="E65" s="32"/>
      <c r="F65" s="32"/>
      <c r="G65" s="32"/>
      <c r="H65" s="31">
        <f>+H63-H15</f>
        <v>172459.64897838049</v>
      </c>
      <c r="I65" s="32"/>
      <c r="J65" s="201"/>
      <c r="K65" s="32"/>
      <c r="L65" s="32"/>
      <c r="M65" s="32"/>
      <c r="N65" s="32"/>
      <c r="O65" s="32"/>
      <c r="P65" s="32"/>
      <c r="Q65" s="32"/>
      <c r="R65" s="32"/>
      <c r="S65" s="32"/>
    </row>
    <row r="66" spans="2:19" x14ac:dyDescent="0.2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</sheetData>
  <pageMargins left="0.25" right="0.25" top="0.75" bottom="0.75" header="0.3" footer="0.3"/>
  <pageSetup scale="70" orientation="portrait" r:id="rId1"/>
  <headerFooter>
    <oddFooter>&amp;L&amp;F &amp;T&amp;R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workbookViewId="0">
      <selection activeCell="B24" sqref="B24"/>
    </sheetView>
  </sheetViews>
  <sheetFormatPr defaultRowHeight="15" x14ac:dyDescent="0.25"/>
  <cols>
    <col min="4" max="4" width="14.140625" customWidth="1"/>
    <col min="6" max="6" width="11.5703125" customWidth="1"/>
  </cols>
  <sheetData>
    <row r="1" spans="1:9" ht="18.75" x14ac:dyDescent="0.3">
      <c r="A1" s="48" t="s">
        <v>236</v>
      </c>
      <c r="B1" s="47"/>
      <c r="C1" s="47"/>
      <c r="D1" s="47"/>
      <c r="E1" s="47"/>
      <c r="F1" s="47"/>
      <c r="G1" s="47"/>
      <c r="H1" s="47"/>
      <c r="I1" s="47"/>
    </row>
    <row r="2" spans="1:9" ht="18.75" x14ac:dyDescent="0.3">
      <c r="A2" s="48" t="s">
        <v>226</v>
      </c>
      <c r="B2" s="47"/>
      <c r="C2" s="47"/>
      <c r="D2" s="47"/>
      <c r="E2" s="47"/>
      <c r="F2" s="47"/>
      <c r="G2" s="47"/>
      <c r="H2" s="47"/>
      <c r="I2" s="47"/>
    </row>
    <row r="3" spans="1:9" ht="18.75" x14ac:dyDescent="0.3">
      <c r="A3" s="48" t="s">
        <v>237</v>
      </c>
      <c r="B3" s="47"/>
      <c r="C3" s="47"/>
      <c r="D3" s="47"/>
      <c r="E3" s="47"/>
      <c r="F3" s="47"/>
      <c r="G3" s="47"/>
      <c r="H3" s="203"/>
      <c r="I3" s="47"/>
    </row>
    <row r="4" spans="1:9" ht="30" x14ac:dyDescent="0.25">
      <c r="A4" s="35"/>
      <c r="D4" s="49" t="s">
        <v>231</v>
      </c>
      <c r="E4" s="34"/>
      <c r="F4" s="50" t="s">
        <v>189</v>
      </c>
      <c r="G4" s="34"/>
      <c r="H4" s="204"/>
    </row>
    <row r="5" spans="1:9" x14ac:dyDescent="0.25">
      <c r="A5" s="35" t="s">
        <v>261</v>
      </c>
      <c r="D5" s="32"/>
      <c r="E5" s="32"/>
      <c r="F5" s="32"/>
      <c r="G5" s="32"/>
      <c r="H5" s="110"/>
    </row>
    <row r="6" spans="1:9" x14ac:dyDescent="0.25">
      <c r="D6" s="36">
        <v>0.56292798524423571</v>
      </c>
      <c r="F6" s="36">
        <v>0.43707201475576429</v>
      </c>
    </row>
    <row r="7" spans="1:9" x14ac:dyDescent="0.25">
      <c r="D7" s="32"/>
      <c r="E7" s="32"/>
      <c r="F7" s="32"/>
      <c r="G7" s="32"/>
      <c r="H7" s="32"/>
    </row>
    <row r="8" spans="1:9" x14ac:dyDescent="0.25">
      <c r="A8" s="35" t="s">
        <v>262</v>
      </c>
      <c r="D8" s="36">
        <v>0.87973201154746994</v>
      </c>
      <c r="F8" s="36">
        <v>0.12026798845253009</v>
      </c>
    </row>
    <row r="10" spans="1:9" x14ac:dyDescent="0.25">
      <c r="A10" s="35" t="s">
        <v>263</v>
      </c>
      <c r="D10" s="36">
        <v>0.85218556624631003</v>
      </c>
      <c r="F10" s="36">
        <v>0.14781443375368997</v>
      </c>
    </row>
    <row r="11" spans="1:9" x14ac:dyDescent="0.25">
      <c r="D11" s="36"/>
      <c r="F11" s="36"/>
    </row>
    <row r="12" spans="1:9" x14ac:dyDescent="0.25">
      <c r="A12" s="35" t="s">
        <v>255</v>
      </c>
      <c r="D12" s="36">
        <f>+'Pro Forma'!H17</f>
        <v>0.82229523635290291</v>
      </c>
      <c r="F12" s="36">
        <f>+'Pro Forma'!I17</f>
        <v>0.17770476364709722</v>
      </c>
    </row>
    <row r="13" spans="1:9" x14ac:dyDescent="0.25">
      <c r="D13" s="36"/>
      <c r="F13" s="36"/>
    </row>
    <row r="14" spans="1:9" x14ac:dyDescent="0.25">
      <c r="A14" s="35" t="s">
        <v>257</v>
      </c>
      <c r="D14" s="36">
        <f>(+D6+D8+D10)/3</f>
        <v>0.76494852101267197</v>
      </c>
      <c r="F14" s="36">
        <f>(+F6+F8+F10)/3</f>
        <v>0.23505147898732812</v>
      </c>
    </row>
    <row r="16" spans="1:9" x14ac:dyDescent="0.25">
      <c r="A16" s="51" t="s">
        <v>251</v>
      </c>
      <c r="B16" t="s">
        <v>264</v>
      </c>
    </row>
    <row r="18" spans="1:2" x14ac:dyDescent="0.25">
      <c r="A18" s="51" t="s">
        <v>250</v>
      </c>
      <c r="B18" t="s">
        <v>252</v>
      </c>
    </row>
    <row r="20" spans="1:2" x14ac:dyDescent="0.25">
      <c r="A20" s="51" t="s">
        <v>253</v>
      </c>
      <c r="B20" t="s">
        <v>265</v>
      </c>
    </row>
    <row r="21" spans="1:2" x14ac:dyDescent="0.25">
      <c r="B21" t="s">
        <v>266</v>
      </c>
    </row>
    <row r="23" spans="1:2" x14ac:dyDescent="0.25">
      <c r="A23" s="51" t="s">
        <v>254</v>
      </c>
      <c r="B23" t="s">
        <v>755</v>
      </c>
    </row>
    <row r="24" spans="1:2" x14ac:dyDescent="0.25">
      <c r="B24" t="s">
        <v>267</v>
      </c>
    </row>
    <row r="25" spans="1:2" x14ac:dyDescent="0.25">
      <c r="A25" s="51" t="s">
        <v>256</v>
      </c>
      <c r="B25" t="s">
        <v>258</v>
      </c>
    </row>
  </sheetData>
  <pageMargins left="0.7" right="0.7" top="0.75" bottom="0.75" header="0.3" footer="0.3"/>
  <pageSetup orientation="portrait" r:id="rId1"/>
  <headerFooter>
    <oddFooter>&amp;L&amp;F &amp;A &amp;T&amp;R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pane ySplit="7" topLeftCell="A50" activePane="bottomLeft" state="frozen"/>
      <selection pane="bottomLeft" activeCell="Q32" sqref="Q32"/>
    </sheetView>
  </sheetViews>
  <sheetFormatPr defaultRowHeight="15" x14ac:dyDescent="0.25"/>
  <cols>
    <col min="1" max="1" width="5" customWidth="1"/>
    <col min="2" max="2" width="30.140625" customWidth="1"/>
    <col min="4" max="4" width="11.140625" customWidth="1"/>
    <col min="5" max="6" width="13" customWidth="1"/>
    <col min="7" max="7" width="11.7109375" customWidth="1"/>
    <col min="8" max="10" width="14.140625" customWidth="1"/>
    <col min="11" max="11" width="13" customWidth="1"/>
    <col min="12" max="12" width="16.140625" customWidth="1"/>
    <col min="13" max="13" width="12" customWidth="1"/>
    <col min="14" max="15" width="11.85546875" customWidth="1"/>
    <col min="16" max="17" width="14.140625" customWidth="1"/>
    <col min="18" max="18" width="11.85546875" customWidth="1"/>
    <col min="20" max="20" width="10.85546875" bestFit="1" customWidth="1"/>
    <col min="21" max="21" width="11.85546875" bestFit="1" customWidth="1"/>
  </cols>
  <sheetData>
    <row r="1" spans="1:22" ht="18.75" x14ac:dyDescent="0.3">
      <c r="A1" s="39" t="s">
        <v>236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18.75" x14ac:dyDescent="0.3">
      <c r="A2" s="39" t="s">
        <v>357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18.75" x14ac:dyDescent="0.3">
      <c r="A3" s="39" t="s">
        <v>237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5" spans="1:22" x14ac:dyDescent="0.25">
      <c r="C5" s="206" t="s">
        <v>358</v>
      </c>
      <c r="D5" s="206" t="s">
        <v>360</v>
      </c>
      <c r="E5" s="206" t="s">
        <v>362</v>
      </c>
      <c r="F5" s="206" t="s">
        <v>364</v>
      </c>
      <c r="G5" s="206" t="s">
        <v>366</v>
      </c>
      <c r="H5" s="206" t="s">
        <v>368</v>
      </c>
      <c r="I5" s="206" t="s">
        <v>369</v>
      </c>
      <c r="J5" s="206" t="s">
        <v>380</v>
      </c>
      <c r="K5" s="206" t="s">
        <v>383</v>
      </c>
      <c r="L5" s="206" t="s">
        <v>385</v>
      </c>
      <c r="M5" s="206" t="s">
        <v>684</v>
      </c>
      <c r="N5" s="206" t="s">
        <v>685</v>
      </c>
      <c r="O5" s="206" t="s">
        <v>686</v>
      </c>
      <c r="P5" s="206" t="s">
        <v>687</v>
      </c>
      <c r="Q5" s="206" t="s">
        <v>768</v>
      </c>
      <c r="R5" s="206" t="s">
        <v>776</v>
      </c>
    </row>
    <row r="7" spans="1:22" ht="75" x14ac:dyDescent="0.25">
      <c r="C7" s="66" t="s">
        <v>359</v>
      </c>
      <c r="D7" s="66" t="s">
        <v>361</v>
      </c>
      <c r="E7" s="66" t="s">
        <v>363</v>
      </c>
      <c r="F7" s="66" t="s">
        <v>751</v>
      </c>
      <c r="G7" s="66" t="s">
        <v>365</v>
      </c>
      <c r="H7" s="66" t="s">
        <v>367</v>
      </c>
      <c r="I7" s="66" t="s">
        <v>382</v>
      </c>
      <c r="J7" s="66" t="s">
        <v>387</v>
      </c>
      <c r="K7" s="66" t="s">
        <v>756</v>
      </c>
      <c r="L7" s="66" t="s">
        <v>370</v>
      </c>
      <c r="M7" s="66" t="s">
        <v>381</v>
      </c>
      <c r="N7" s="66" t="s">
        <v>384</v>
      </c>
      <c r="O7" s="66" t="s">
        <v>386</v>
      </c>
      <c r="P7" s="66" t="s">
        <v>388</v>
      </c>
      <c r="Q7" s="66" t="s">
        <v>777</v>
      </c>
      <c r="R7" s="66" t="s">
        <v>688</v>
      </c>
      <c r="S7" s="66" t="s">
        <v>227</v>
      </c>
    </row>
    <row r="8" spans="1:22" ht="15.75" x14ac:dyDescent="0.25">
      <c r="A8">
        <v>10</v>
      </c>
      <c r="B8" s="24" t="s">
        <v>188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>
        <f>SUM(C8:R8)</f>
        <v>0</v>
      </c>
      <c r="T8" s="78"/>
      <c r="U8" s="78"/>
      <c r="V8" s="32"/>
    </row>
    <row r="9" spans="1:22" ht="15.75" x14ac:dyDescent="0.25">
      <c r="A9">
        <v>11</v>
      </c>
      <c r="B9" s="24" t="s">
        <v>153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>
        <f t="shared" ref="S9:S15" si="0">SUM(C9:R9)</f>
        <v>0</v>
      </c>
      <c r="T9" s="78"/>
      <c r="U9" s="78"/>
      <c r="V9" s="32"/>
    </row>
    <row r="10" spans="1:22" ht="15.75" x14ac:dyDescent="0.25">
      <c r="A10">
        <f>+A9+1</f>
        <v>12</v>
      </c>
      <c r="B10" s="24" t="s">
        <v>213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>
        <f t="shared" si="0"/>
        <v>0</v>
      </c>
      <c r="T10" s="78"/>
      <c r="U10" s="78"/>
      <c r="V10" s="32"/>
    </row>
    <row r="11" spans="1:22" ht="15.75" x14ac:dyDescent="0.25">
      <c r="A11">
        <f t="shared" ref="A11:A14" si="1">+A10+1</f>
        <v>13</v>
      </c>
      <c r="B11" s="24" t="s">
        <v>214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>
        <f t="shared" si="0"/>
        <v>0</v>
      </c>
      <c r="T11" s="78"/>
      <c r="U11" s="78"/>
      <c r="V11" s="32"/>
    </row>
    <row r="12" spans="1:22" ht="15.75" x14ac:dyDescent="0.25">
      <c r="A12">
        <f t="shared" si="1"/>
        <v>14</v>
      </c>
      <c r="B12" s="24" t="s">
        <v>16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>
        <f t="shared" si="0"/>
        <v>0</v>
      </c>
      <c r="T12" s="78"/>
      <c r="U12" s="78"/>
      <c r="V12" s="32"/>
    </row>
    <row r="13" spans="1:22" ht="15.75" x14ac:dyDescent="0.25">
      <c r="A13">
        <f t="shared" si="1"/>
        <v>15</v>
      </c>
      <c r="B13" s="24" t="s">
        <v>52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>
        <f t="shared" si="0"/>
        <v>0</v>
      </c>
      <c r="T13" s="78"/>
      <c r="U13" s="78"/>
      <c r="V13" s="32"/>
    </row>
    <row r="14" spans="1:22" ht="15.75" x14ac:dyDescent="0.25">
      <c r="A14">
        <f t="shared" si="1"/>
        <v>16</v>
      </c>
      <c r="B14" s="24" t="s">
        <v>54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>
        <f t="shared" si="0"/>
        <v>0</v>
      </c>
      <c r="T14" s="78"/>
      <c r="U14" s="78"/>
      <c r="V14" s="32"/>
    </row>
    <row r="15" spans="1:22" ht="15.75" x14ac:dyDescent="0.25">
      <c r="B15" s="24" t="s">
        <v>55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>
        <f t="shared" si="0"/>
        <v>0</v>
      </c>
      <c r="T15" s="78"/>
      <c r="U15" s="78"/>
      <c r="V15" s="32"/>
    </row>
    <row r="16" spans="1:22" ht="15.75" x14ac:dyDescent="0.25">
      <c r="B16" s="2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32"/>
    </row>
    <row r="17" spans="1:22" ht="15.75" x14ac:dyDescent="0.25">
      <c r="B17" s="24" t="str">
        <f>+'Semi Annual '!A60</f>
        <v/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32"/>
    </row>
    <row r="18" spans="1:22" ht="15.75" x14ac:dyDescent="0.25">
      <c r="B18" s="24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32"/>
    </row>
    <row r="19" spans="1:22" ht="15.75" x14ac:dyDescent="0.25">
      <c r="A19">
        <v>17</v>
      </c>
      <c r="B19" s="24" t="s">
        <v>215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>
        <f t="shared" ref="S19:S58" si="2">SUM(C19:R19)</f>
        <v>0</v>
      </c>
      <c r="T19" s="78"/>
      <c r="U19" s="78"/>
      <c r="V19" s="32"/>
    </row>
    <row r="20" spans="1:22" ht="15.75" x14ac:dyDescent="0.25">
      <c r="A20">
        <f t="shared" ref="A20:A58" si="3">+A19+1</f>
        <v>18</v>
      </c>
      <c r="B20" s="24" t="s">
        <v>191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>
        <f t="shared" si="2"/>
        <v>0</v>
      </c>
      <c r="T20" s="78"/>
      <c r="U20" s="78"/>
      <c r="V20" s="32"/>
    </row>
    <row r="21" spans="1:22" ht="15.75" x14ac:dyDescent="0.25">
      <c r="A21">
        <f t="shared" si="3"/>
        <v>19</v>
      </c>
      <c r="B21" s="24" t="s">
        <v>216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>
        <f t="shared" si="2"/>
        <v>0</v>
      </c>
      <c r="T21" s="78"/>
      <c r="U21" s="78"/>
      <c r="V21" s="32"/>
    </row>
    <row r="22" spans="1:22" ht="15.75" x14ac:dyDescent="0.25">
      <c r="A22">
        <f t="shared" si="3"/>
        <v>20</v>
      </c>
      <c r="B22" s="24" t="s">
        <v>193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>
        <f t="shared" si="2"/>
        <v>0</v>
      </c>
      <c r="T22" s="78"/>
      <c r="U22" s="78"/>
      <c r="V22" s="32"/>
    </row>
    <row r="23" spans="1:22" ht="15.75" x14ac:dyDescent="0.25">
      <c r="A23">
        <f t="shared" si="3"/>
        <v>21</v>
      </c>
      <c r="B23" s="24" t="s">
        <v>217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>
        <f t="shared" si="2"/>
        <v>0</v>
      </c>
      <c r="T23" s="78"/>
      <c r="U23" s="78"/>
      <c r="V23" s="32"/>
    </row>
    <row r="24" spans="1:22" ht="15.75" x14ac:dyDescent="0.25">
      <c r="A24">
        <f t="shared" si="3"/>
        <v>22</v>
      </c>
      <c r="B24" s="24" t="s">
        <v>218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>
        <f t="shared" si="2"/>
        <v>0</v>
      </c>
      <c r="T24" s="78"/>
      <c r="U24" s="78"/>
      <c r="V24" s="32"/>
    </row>
    <row r="25" spans="1:22" ht="15.75" x14ac:dyDescent="0.25">
      <c r="A25">
        <f t="shared" si="3"/>
        <v>23</v>
      </c>
      <c r="B25" s="24" t="s">
        <v>195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>
        <f t="shared" si="2"/>
        <v>0</v>
      </c>
      <c r="T25" s="78"/>
      <c r="U25" s="78"/>
      <c r="V25" s="32"/>
    </row>
    <row r="26" spans="1:22" ht="15.75" x14ac:dyDescent="0.25">
      <c r="A26">
        <f t="shared" si="3"/>
        <v>24</v>
      </c>
      <c r="B26" s="24" t="s">
        <v>219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>
        <f t="shared" si="2"/>
        <v>0</v>
      </c>
      <c r="T26" s="78"/>
      <c r="U26" s="78"/>
      <c r="V26" s="32"/>
    </row>
    <row r="27" spans="1:22" ht="15.75" x14ac:dyDescent="0.25">
      <c r="A27">
        <f t="shared" si="3"/>
        <v>25</v>
      </c>
      <c r="B27" s="24" t="s">
        <v>220</v>
      </c>
      <c r="C27" s="78"/>
      <c r="D27" s="78"/>
      <c r="E27" s="78"/>
      <c r="F27" s="78"/>
      <c r="G27" s="78"/>
      <c r="H27" s="78">
        <f>12889.78+4372.35</f>
        <v>17262.13</v>
      </c>
      <c r="I27" s="78"/>
      <c r="J27" s="78"/>
      <c r="K27" s="78"/>
      <c r="L27" s="78"/>
      <c r="M27" s="78"/>
      <c r="N27" s="78"/>
      <c r="O27" s="78"/>
      <c r="P27" s="78"/>
      <c r="Q27" s="78">
        <f>+Payroll!N67</f>
        <v>29605.79</v>
      </c>
      <c r="R27" s="78"/>
      <c r="S27" s="78">
        <f t="shared" si="2"/>
        <v>46867.92</v>
      </c>
      <c r="T27" s="78"/>
      <c r="U27" s="78"/>
      <c r="V27" s="32"/>
    </row>
    <row r="28" spans="1:22" ht="15.75" x14ac:dyDescent="0.25">
      <c r="A28">
        <f t="shared" si="3"/>
        <v>26</v>
      </c>
      <c r="B28" s="24" t="s">
        <v>221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>
        <f t="shared" si="2"/>
        <v>0</v>
      </c>
      <c r="T28" s="78"/>
      <c r="U28" s="78"/>
      <c r="V28" s="32"/>
    </row>
    <row r="29" spans="1:22" ht="15.75" x14ac:dyDescent="0.25">
      <c r="A29">
        <f>+A28+1</f>
        <v>27</v>
      </c>
      <c r="B29" s="24" t="s">
        <v>222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>
        <f t="shared" si="2"/>
        <v>0</v>
      </c>
      <c r="T29" s="78"/>
      <c r="U29" s="78"/>
      <c r="V29" s="32"/>
    </row>
    <row r="30" spans="1:22" ht="15.75" x14ac:dyDescent="0.25">
      <c r="A30">
        <f t="shared" si="3"/>
        <v>28</v>
      </c>
      <c r="B30" s="24" t="s">
        <v>135</v>
      </c>
      <c r="C30" s="78"/>
      <c r="D30" s="78"/>
      <c r="E30" s="78"/>
      <c r="F30" s="78"/>
      <c r="G30" s="78"/>
      <c r="H30" s="78">
        <v>15359.04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>
        <f t="shared" si="2"/>
        <v>15359.04</v>
      </c>
      <c r="T30" s="78"/>
      <c r="U30" s="78"/>
      <c r="V30" s="32"/>
    </row>
    <row r="31" spans="1:22" ht="15.75" x14ac:dyDescent="0.25">
      <c r="A31">
        <f t="shared" si="3"/>
        <v>29</v>
      </c>
      <c r="B31" s="24" t="s">
        <v>136</v>
      </c>
      <c r="C31" s="78"/>
      <c r="D31" s="78"/>
      <c r="E31" s="78"/>
      <c r="F31" s="78"/>
      <c r="G31" s="78"/>
      <c r="H31" s="78"/>
      <c r="I31" s="78">
        <v>-78460</v>
      </c>
      <c r="J31" s="78"/>
      <c r="K31" s="78"/>
      <c r="L31" s="78"/>
      <c r="M31" s="78"/>
      <c r="N31" s="78"/>
      <c r="O31" s="78"/>
      <c r="P31" s="78"/>
      <c r="Q31" s="78">
        <f>+Payroll!O67</f>
        <v>9256.9</v>
      </c>
      <c r="R31" s="78"/>
      <c r="S31" s="78">
        <f t="shared" si="2"/>
        <v>-69203.100000000006</v>
      </c>
      <c r="T31" s="78"/>
      <c r="U31" s="78"/>
      <c r="V31" s="32"/>
    </row>
    <row r="32" spans="1:22" ht="15.75" x14ac:dyDescent="0.25">
      <c r="A32">
        <f t="shared" si="3"/>
        <v>30</v>
      </c>
      <c r="B32" s="24" t="s">
        <v>139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>
        <f t="shared" si="2"/>
        <v>0</v>
      </c>
      <c r="T32" s="78"/>
      <c r="U32" s="78"/>
      <c r="V32" s="32"/>
    </row>
    <row r="33" spans="1:22" ht="15.75" x14ac:dyDescent="0.25">
      <c r="A33">
        <f t="shared" si="3"/>
        <v>31</v>
      </c>
      <c r="B33" s="24" t="s">
        <v>269</v>
      </c>
      <c r="C33" s="78"/>
      <c r="D33" s="78"/>
      <c r="E33" s="78"/>
      <c r="F33" s="78"/>
      <c r="G33" s="78"/>
      <c r="H33" s="78"/>
      <c r="I33" s="78"/>
      <c r="J33" s="78"/>
      <c r="K33" s="78">
        <f>-'Pro Forma'!C33</f>
        <v>-16102.08</v>
      </c>
      <c r="L33" s="78"/>
      <c r="M33" s="78"/>
      <c r="N33" s="78"/>
      <c r="O33" s="78"/>
      <c r="P33" s="78"/>
      <c r="Q33" s="78"/>
      <c r="R33" s="78"/>
      <c r="S33" s="78">
        <f t="shared" si="2"/>
        <v>-16102.08</v>
      </c>
      <c r="T33" s="78"/>
      <c r="U33" s="78"/>
      <c r="V33" s="32"/>
    </row>
    <row r="34" spans="1:22" ht="15.75" x14ac:dyDescent="0.25">
      <c r="A34">
        <f t="shared" si="3"/>
        <v>32</v>
      </c>
      <c r="B34" s="24" t="s">
        <v>141</v>
      </c>
      <c r="C34" s="78"/>
      <c r="D34" s="78"/>
      <c r="E34" s="78"/>
      <c r="F34" s="78"/>
      <c r="G34" s="78"/>
      <c r="H34" s="78"/>
      <c r="I34" s="78"/>
      <c r="J34" s="78"/>
      <c r="K34" s="78">
        <v>-12318</v>
      </c>
      <c r="L34" s="78">
        <f>+'Prior Rate Case Costs'!J11</f>
        <v>14693.75</v>
      </c>
      <c r="M34" s="78">
        <v>-29307.7</v>
      </c>
      <c r="N34" s="78">
        <v>21023.38</v>
      </c>
      <c r="O34" s="78"/>
      <c r="P34" s="78"/>
      <c r="Q34" s="78"/>
      <c r="R34" s="78"/>
      <c r="S34" s="78">
        <f t="shared" si="2"/>
        <v>-5908.57</v>
      </c>
      <c r="T34" s="78"/>
      <c r="U34" s="78"/>
      <c r="V34" s="32"/>
    </row>
    <row r="35" spans="1:22" ht="15.75" x14ac:dyDescent="0.25">
      <c r="A35">
        <f t="shared" si="3"/>
        <v>33</v>
      </c>
      <c r="B35" s="24" t="s">
        <v>142</v>
      </c>
      <c r="C35" s="78"/>
      <c r="D35" s="78"/>
      <c r="E35" s="78"/>
      <c r="F35" s="78"/>
      <c r="G35" s="78"/>
      <c r="H35" s="78"/>
      <c r="I35" s="78">
        <v>-17657</v>
      </c>
      <c r="J35" s="78">
        <f>-52.35-4636.95</f>
        <v>-4689.3</v>
      </c>
      <c r="K35" s="78">
        <f>-9392.86-11835.2</f>
        <v>-21228.06</v>
      </c>
      <c r="L35" s="78">
        <f>+'Prior Rate Case Costs'!J17</f>
        <v>8775.994999999999</v>
      </c>
      <c r="M35" s="78">
        <v>-118305.87</v>
      </c>
      <c r="N35" s="78">
        <v>12500</v>
      </c>
      <c r="O35" s="78">
        <f>9388.18+2562.5+2910</f>
        <v>14860.68</v>
      </c>
      <c r="P35" s="78"/>
      <c r="Q35" s="78"/>
      <c r="R35" s="78"/>
      <c r="S35" s="78">
        <f t="shared" si="2"/>
        <v>-125743.55499999999</v>
      </c>
      <c r="T35" s="79"/>
      <c r="U35" s="80"/>
      <c r="V35" s="32"/>
    </row>
    <row r="36" spans="1:22" ht="15.75" x14ac:dyDescent="0.25">
      <c r="A36">
        <f t="shared" si="3"/>
        <v>34</v>
      </c>
      <c r="B36" s="24" t="s">
        <v>143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>
        <f t="shared" si="2"/>
        <v>0</v>
      </c>
      <c r="T36" s="78"/>
      <c r="U36" s="78"/>
      <c r="V36" s="32"/>
    </row>
    <row r="37" spans="1:22" ht="15.75" x14ac:dyDescent="0.25">
      <c r="A37">
        <f t="shared" si="3"/>
        <v>35</v>
      </c>
      <c r="B37" s="24" t="s">
        <v>144</v>
      </c>
      <c r="C37" s="78"/>
      <c r="D37" s="78"/>
      <c r="E37" s="78"/>
      <c r="F37" s="78">
        <f>-'Pro Forma'!C37</f>
        <v>-9262.510000000002</v>
      </c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>
        <f>+'Bad Debts'!H29+'Bad Debts'!H18</f>
        <v>17830.370000000003</v>
      </c>
      <c r="S37" s="78">
        <f t="shared" si="2"/>
        <v>8567.86</v>
      </c>
      <c r="T37" s="78"/>
      <c r="U37" s="78"/>
      <c r="V37" s="32"/>
    </row>
    <row r="38" spans="1:22" ht="15.75" x14ac:dyDescent="0.25">
      <c r="A38">
        <f t="shared" si="3"/>
        <v>36</v>
      </c>
      <c r="B38" s="24" t="s">
        <v>146</v>
      </c>
      <c r="C38" s="78"/>
      <c r="D38" s="78"/>
      <c r="E38" s="78">
        <f>-'Pro Forma'!C38</f>
        <v>-1946.3600000000001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>
        <f t="shared" si="2"/>
        <v>-1946.3600000000001</v>
      </c>
      <c r="T38" s="78"/>
      <c r="U38" s="78"/>
      <c r="V38" s="32"/>
    </row>
    <row r="39" spans="1:22" ht="15.75" x14ac:dyDescent="0.25">
      <c r="A39">
        <f t="shared" si="3"/>
        <v>37</v>
      </c>
      <c r="B39" s="24" t="s">
        <v>147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>
        <f>+Depreciation!O267-'Pro Forma'!C39</f>
        <v>79071.571047618811</v>
      </c>
      <c r="Q39" s="78"/>
      <c r="R39" s="78"/>
      <c r="S39" s="78">
        <f t="shared" si="2"/>
        <v>79071.571047618811</v>
      </c>
      <c r="T39" s="78"/>
      <c r="U39" s="78"/>
      <c r="V39" s="32"/>
    </row>
    <row r="40" spans="1:22" ht="15.75" x14ac:dyDescent="0.25">
      <c r="A40">
        <f t="shared" si="3"/>
        <v>38</v>
      </c>
      <c r="B40" s="24" t="s">
        <v>149</v>
      </c>
      <c r="C40" s="78"/>
      <c r="D40" s="78"/>
      <c r="E40" s="78"/>
      <c r="F40" s="78"/>
      <c r="G40" s="78">
        <v>-16978.54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>
        <f t="shared" si="2"/>
        <v>-16978.54</v>
      </c>
      <c r="T40" s="78"/>
      <c r="U40" s="78"/>
      <c r="V40" s="32"/>
    </row>
    <row r="41" spans="1:22" ht="15.75" x14ac:dyDescent="0.25">
      <c r="A41">
        <f t="shared" si="3"/>
        <v>39</v>
      </c>
      <c r="B41" s="24" t="s">
        <v>150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>
        <f t="shared" si="2"/>
        <v>0</v>
      </c>
      <c r="T41" s="78"/>
      <c r="U41" s="78"/>
      <c r="V41" s="32"/>
    </row>
    <row r="42" spans="1:22" ht="15.75" x14ac:dyDescent="0.25">
      <c r="A42">
        <f t="shared" si="3"/>
        <v>40</v>
      </c>
      <c r="B42" s="24" t="s">
        <v>154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>
        <f t="shared" si="2"/>
        <v>0</v>
      </c>
      <c r="T42" s="78"/>
      <c r="U42" s="78"/>
      <c r="V42" s="32"/>
    </row>
    <row r="43" spans="1:22" ht="15.75" x14ac:dyDescent="0.25">
      <c r="A43">
        <f t="shared" si="3"/>
        <v>41</v>
      </c>
      <c r="B43" s="24" t="s">
        <v>155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>
        <f t="shared" si="2"/>
        <v>0</v>
      </c>
      <c r="T43" s="78"/>
      <c r="U43" s="78"/>
      <c r="V43" s="32"/>
    </row>
    <row r="44" spans="1:22" ht="15.75" x14ac:dyDescent="0.25">
      <c r="A44">
        <f t="shared" si="3"/>
        <v>42</v>
      </c>
      <c r="B44" s="24" t="s">
        <v>159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>
        <f t="shared" si="2"/>
        <v>0</v>
      </c>
      <c r="T44" s="78"/>
      <c r="U44" s="78"/>
      <c r="V44" s="32"/>
    </row>
    <row r="45" spans="1:22" ht="15.75" x14ac:dyDescent="0.25">
      <c r="A45">
        <f t="shared" si="3"/>
        <v>43</v>
      </c>
      <c r="B45" s="24" t="s">
        <v>161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>
        <f t="shared" si="2"/>
        <v>0</v>
      </c>
      <c r="T45" s="78"/>
      <c r="U45" s="78"/>
      <c r="V45" s="32"/>
    </row>
    <row r="46" spans="1:22" ht="15.75" x14ac:dyDescent="0.25">
      <c r="A46">
        <f t="shared" si="3"/>
        <v>44</v>
      </c>
      <c r="B46" s="24" t="s">
        <v>163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>
        <f t="shared" si="2"/>
        <v>0</v>
      </c>
      <c r="T46" s="78"/>
      <c r="U46" s="78"/>
      <c r="V46" s="32"/>
    </row>
    <row r="47" spans="1:22" ht="15.75" x14ac:dyDescent="0.25">
      <c r="A47">
        <f t="shared" si="3"/>
        <v>45</v>
      </c>
      <c r="B47" s="24" t="s">
        <v>164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>
        <f t="shared" si="2"/>
        <v>0</v>
      </c>
      <c r="T47" s="78"/>
      <c r="U47" s="78"/>
      <c r="V47" s="32"/>
    </row>
    <row r="48" spans="1:22" ht="15.75" x14ac:dyDescent="0.25">
      <c r="A48">
        <f t="shared" si="3"/>
        <v>46</v>
      </c>
      <c r="B48" s="24" t="s">
        <v>248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>
        <f t="shared" si="2"/>
        <v>0</v>
      </c>
      <c r="T48" s="78"/>
      <c r="U48" s="78"/>
      <c r="V48" s="32"/>
    </row>
    <row r="49" spans="1:22" ht="15.75" x14ac:dyDescent="0.25">
      <c r="A49">
        <f t="shared" si="3"/>
        <v>47</v>
      </c>
      <c r="B49" s="24" t="s">
        <v>175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>
        <f t="shared" si="2"/>
        <v>0</v>
      </c>
      <c r="T49" s="78"/>
      <c r="U49" s="78"/>
      <c r="V49" s="32"/>
    </row>
    <row r="50" spans="1:22" ht="15.75" x14ac:dyDescent="0.25">
      <c r="A50">
        <f t="shared" si="3"/>
        <v>48</v>
      </c>
      <c r="B50" s="24" t="s">
        <v>176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>
        <f t="shared" si="2"/>
        <v>0</v>
      </c>
      <c r="T50" s="78"/>
      <c r="U50" s="78"/>
      <c r="V50" s="32"/>
    </row>
    <row r="51" spans="1:22" ht="15.75" x14ac:dyDescent="0.25">
      <c r="A51">
        <f t="shared" si="3"/>
        <v>49</v>
      </c>
      <c r="B51" s="24" t="s">
        <v>178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>
        <f t="shared" si="2"/>
        <v>0</v>
      </c>
      <c r="T51" s="78"/>
      <c r="U51" s="78"/>
      <c r="V51" s="32"/>
    </row>
    <row r="52" spans="1:22" ht="15.75" x14ac:dyDescent="0.25">
      <c r="A52">
        <f t="shared" si="3"/>
        <v>50</v>
      </c>
      <c r="B52" s="24" t="s">
        <v>179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>
        <f t="shared" si="2"/>
        <v>0</v>
      </c>
      <c r="T52" s="78"/>
      <c r="U52" s="78"/>
      <c r="V52" s="32"/>
    </row>
    <row r="53" spans="1:22" ht="15.75" x14ac:dyDescent="0.25">
      <c r="A53">
        <f t="shared" si="3"/>
        <v>51</v>
      </c>
      <c r="B53" s="24" t="s">
        <v>249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>
        <f t="shared" si="2"/>
        <v>0</v>
      </c>
      <c r="T53" s="78"/>
      <c r="U53" s="78"/>
      <c r="V53" s="32"/>
    </row>
    <row r="54" spans="1:22" ht="15.75" x14ac:dyDescent="0.25">
      <c r="A54">
        <f t="shared" si="3"/>
        <v>52</v>
      </c>
      <c r="B54" s="24" t="s">
        <v>272</v>
      </c>
      <c r="C54" s="78"/>
      <c r="D54" s="78"/>
      <c r="E54" s="78"/>
      <c r="F54" s="78"/>
      <c r="G54" s="78">
        <v>16978.54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>
        <f t="shared" si="2"/>
        <v>16978.54</v>
      </c>
      <c r="T54" s="78"/>
      <c r="U54" s="78"/>
      <c r="V54" s="32"/>
    </row>
    <row r="55" spans="1:22" ht="15.75" x14ac:dyDescent="0.25">
      <c r="A55">
        <f t="shared" si="3"/>
        <v>53</v>
      </c>
      <c r="B55" s="24" t="s">
        <v>181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>
        <f t="shared" si="2"/>
        <v>0</v>
      </c>
      <c r="T55" s="78"/>
      <c r="U55" s="78"/>
      <c r="V55" s="32"/>
    </row>
    <row r="56" spans="1:22" ht="15.75" x14ac:dyDescent="0.25">
      <c r="A56">
        <f t="shared" si="3"/>
        <v>54</v>
      </c>
      <c r="B56" s="24" t="s">
        <v>182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>
        <f t="shared" si="2"/>
        <v>0</v>
      </c>
      <c r="T56" s="78"/>
      <c r="U56" s="78"/>
      <c r="V56" s="32"/>
    </row>
    <row r="57" spans="1:22" ht="15.75" x14ac:dyDescent="0.25">
      <c r="A57">
        <f t="shared" si="3"/>
        <v>55</v>
      </c>
      <c r="B57" s="24" t="s">
        <v>183</v>
      </c>
      <c r="C57" s="78">
        <f>-'Pro Forma'!C57</f>
        <v>-97081.760000000009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>
        <f t="shared" si="2"/>
        <v>-97081.760000000009</v>
      </c>
      <c r="T57" s="78"/>
      <c r="U57" s="78"/>
      <c r="V57" s="32"/>
    </row>
    <row r="58" spans="1:22" ht="15.75" x14ac:dyDescent="0.25">
      <c r="A58">
        <f t="shared" si="3"/>
        <v>56</v>
      </c>
      <c r="B58" s="24" t="s">
        <v>184</v>
      </c>
      <c r="C58" s="81"/>
      <c r="D58" s="81">
        <f>-'Pro Forma'!C58</f>
        <v>-33089.160000000003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>
        <f t="shared" si="2"/>
        <v>-33089.160000000003</v>
      </c>
      <c r="T58" s="78"/>
      <c r="U58" s="78"/>
      <c r="V58" s="32"/>
    </row>
    <row r="59" spans="1:22" ht="15.75" x14ac:dyDescent="0.25">
      <c r="B59" s="24" t="s">
        <v>185</v>
      </c>
      <c r="C59" s="78">
        <f>SUM(C19:C58)</f>
        <v>-97081.760000000009</v>
      </c>
      <c r="D59" s="78">
        <f t="shared" ref="D59:R59" si="4">SUM(D19:D58)</f>
        <v>-33089.160000000003</v>
      </c>
      <c r="E59" s="78">
        <f t="shared" si="4"/>
        <v>-1946.3600000000001</v>
      </c>
      <c r="F59" s="78">
        <f t="shared" si="4"/>
        <v>-9262.510000000002</v>
      </c>
      <c r="G59" s="78">
        <f t="shared" si="4"/>
        <v>0</v>
      </c>
      <c r="H59" s="78">
        <f t="shared" si="4"/>
        <v>32621.170000000002</v>
      </c>
      <c r="I59" s="78">
        <f t="shared" si="4"/>
        <v>-96117</v>
      </c>
      <c r="J59" s="78">
        <f t="shared" si="4"/>
        <v>-4689.3</v>
      </c>
      <c r="K59" s="78">
        <f t="shared" si="4"/>
        <v>-49648.14</v>
      </c>
      <c r="L59" s="78">
        <f t="shared" si="4"/>
        <v>23469.744999999999</v>
      </c>
      <c r="M59" s="78">
        <f t="shared" si="4"/>
        <v>-147613.57</v>
      </c>
      <c r="N59" s="78">
        <f t="shared" si="4"/>
        <v>33523.380000000005</v>
      </c>
      <c r="O59" s="78">
        <f t="shared" si="4"/>
        <v>14860.68</v>
      </c>
      <c r="P59" s="78">
        <f t="shared" si="4"/>
        <v>79071.571047618811</v>
      </c>
      <c r="Q59" s="78">
        <f t="shared" si="4"/>
        <v>38862.69</v>
      </c>
      <c r="R59" s="78">
        <f t="shared" si="4"/>
        <v>17830.370000000003</v>
      </c>
      <c r="S59" s="78">
        <f>SUM(C59:R59)</f>
        <v>-199208.1939523812</v>
      </c>
      <c r="T59" s="78"/>
      <c r="U59" s="78"/>
      <c r="V59" s="32"/>
    </row>
    <row r="60" spans="1:22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</sheetData>
  <pageMargins left="0.25" right="0.25" top="0.5" bottom="0.5" header="0.3" footer="0.3"/>
  <pageSetup scale="56" fitToHeight="0" orientation="landscape" r:id="rId1"/>
  <headerFooter>
    <oddFooter>&amp;L&amp;F &amp;A &amp;T&amp;RPage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activeCell="A2" sqref="A2:K37"/>
    </sheetView>
  </sheetViews>
  <sheetFormatPr defaultRowHeight="15" x14ac:dyDescent="0.25"/>
  <cols>
    <col min="1" max="1" width="18.7109375" customWidth="1"/>
    <col min="2" max="2" width="14.85546875" customWidth="1"/>
    <col min="3" max="3" width="11.140625" customWidth="1"/>
    <col min="4" max="4" width="14.7109375" bestFit="1" customWidth="1"/>
    <col min="5" max="5" width="5.7109375" customWidth="1"/>
    <col min="6" max="6" width="38.7109375" customWidth="1"/>
  </cols>
  <sheetData>
    <row r="1" spans="1:8" ht="31.5" x14ac:dyDescent="0.25">
      <c r="A1" s="54" t="s">
        <v>274</v>
      </c>
      <c r="B1" s="59" t="s">
        <v>275</v>
      </c>
      <c r="C1" s="54" t="s">
        <v>276</v>
      </c>
      <c r="D1" s="54" t="s">
        <v>277</v>
      </c>
      <c r="E1" s="54" t="s">
        <v>278</v>
      </c>
      <c r="F1" s="54" t="s">
        <v>279</v>
      </c>
    </row>
    <row r="2" spans="1:8" ht="15.75" x14ac:dyDescent="0.25">
      <c r="A2" s="60" t="s">
        <v>337</v>
      </c>
      <c r="B2" s="60" t="s">
        <v>141</v>
      </c>
      <c r="C2" s="61">
        <v>42582</v>
      </c>
      <c r="D2" s="60" t="s">
        <v>338</v>
      </c>
      <c r="E2" s="60" t="s">
        <v>283</v>
      </c>
      <c r="F2" s="60" t="s">
        <v>339</v>
      </c>
      <c r="H2" s="200" t="s">
        <v>700</v>
      </c>
    </row>
    <row r="3" spans="1:8" ht="15.75" x14ac:dyDescent="0.25">
      <c r="A3" s="60" t="s">
        <v>337</v>
      </c>
      <c r="B3" s="60" t="s">
        <v>141</v>
      </c>
      <c r="C3" s="61"/>
      <c r="D3" s="60" t="s">
        <v>0</v>
      </c>
      <c r="E3" s="60" t="s">
        <v>0</v>
      </c>
      <c r="F3" s="60" t="s">
        <v>287</v>
      </c>
      <c r="H3" s="200" t="s">
        <v>701</v>
      </c>
    </row>
    <row r="4" spans="1:8" ht="15.75" x14ac:dyDescent="0.25">
      <c r="A4" s="60" t="s">
        <v>337</v>
      </c>
      <c r="B4" s="60" t="s">
        <v>141</v>
      </c>
      <c r="C4" s="61">
        <v>42583</v>
      </c>
      <c r="D4" s="60" t="s">
        <v>0</v>
      </c>
      <c r="E4" s="60" t="s">
        <v>0</v>
      </c>
      <c r="F4" s="60" t="s">
        <v>281</v>
      </c>
    </row>
    <row r="5" spans="1:8" ht="15.75" x14ac:dyDescent="0.25">
      <c r="A5" s="60" t="s">
        <v>337</v>
      </c>
      <c r="B5" s="60" t="s">
        <v>141</v>
      </c>
      <c r="C5" s="61">
        <v>42613</v>
      </c>
      <c r="D5" s="60" t="s">
        <v>340</v>
      </c>
      <c r="E5" s="60" t="s">
        <v>283</v>
      </c>
      <c r="F5" s="60" t="s">
        <v>339</v>
      </c>
    </row>
    <row r="6" spans="1:8" ht="15.75" x14ac:dyDescent="0.25">
      <c r="A6" s="60" t="s">
        <v>337</v>
      </c>
      <c r="B6" s="60" t="s">
        <v>141</v>
      </c>
      <c r="C6" s="61"/>
      <c r="D6" s="60" t="s">
        <v>0</v>
      </c>
      <c r="E6" s="60" t="s">
        <v>0</v>
      </c>
      <c r="F6" s="60" t="s">
        <v>287</v>
      </c>
    </row>
    <row r="7" spans="1:8" ht="15.75" x14ac:dyDescent="0.25">
      <c r="A7" s="60" t="s">
        <v>337</v>
      </c>
      <c r="B7" s="60" t="s">
        <v>141</v>
      </c>
      <c r="C7" s="61">
        <v>42614</v>
      </c>
      <c r="D7" s="60" t="s">
        <v>0</v>
      </c>
      <c r="E7" s="60" t="s">
        <v>0</v>
      </c>
      <c r="F7" s="60" t="s">
        <v>281</v>
      </c>
    </row>
    <row r="8" spans="1:8" ht="15.75" x14ac:dyDescent="0.25">
      <c r="A8" s="60" t="s">
        <v>337</v>
      </c>
      <c r="B8" s="60" t="s">
        <v>141</v>
      </c>
      <c r="C8" s="61">
        <v>42644</v>
      </c>
      <c r="D8" s="60" t="s">
        <v>0</v>
      </c>
      <c r="E8" s="60" t="s">
        <v>0</v>
      </c>
      <c r="F8" s="60" t="s">
        <v>281</v>
      </c>
    </row>
    <row r="9" spans="1:8" ht="15.75" x14ac:dyDescent="0.25">
      <c r="A9" s="60" t="s">
        <v>337</v>
      </c>
      <c r="B9" s="60" t="s">
        <v>141</v>
      </c>
      <c r="C9" s="61">
        <v>42675</v>
      </c>
      <c r="D9" s="60" t="s">
        <v>0</v>
      </c>
      <c r="E9" s="60" t="s">
        <v>0</v>
      </c>
      <c r="F9" s="60" t="s">
        <v>281</v>
      </c>
    </row>
    <row r="10" spans="1:8" ht="15.75" x14ac:dyDescent="0.25">
      <c r="A10" s="60" t="s">
        <v>337</v>
      </c>
      <c r="B10" s="60" t="s">
        <v>141</v>
      </c>
      <c r="C10" s="61">
        <v>42705</v>
      </c>
      <c r="D10" s="60" t="s">
        <v>0</v>
      </c>
      <c r="E10" s="60" t="s">
        <v>0</v>
      </c>
      <c r="F10" s="60" t="s">
        <v>281</v>
      </c>
    </row>
    <row r="11" spans="1:8" ht="15.75" x14ac:dyDescent="0.25">
      <c r="A11" s="60" t="s">
        <v>337</v>
      </c>
      <c r="B11" s="60" t="s">
        <v>141</v>
      </c>
      <c r="C11" s="61">
        <v>42723</v>
      </c>
      <c r="D11" s="60" t="s">
        <v>341</v>
      </c>
      <c r="E11" s="60" t="s">
        <v>312</v>
      </c>
      <c r="F11" s="60" t="s">
        <v>342</v>
      </c>
    </row>
    <row r="12" spans="1:8" ht="15.75" x14ac:dyDescent="0.25">
      <c r="A12" s="60" t="s">
        <v>337</v>
      </c>
      <c r="B12" s="60" t="s">
        <v>141</v>
      </c>
      <c r="C12" s="61">
        <v>42733</v>
      </c>
      <c r="D12" s="60" t="s">
        <v>343</v>
      </c>
      <c r="E12" s="60" t="s">
        <v>312</v>
      </c>
      <c r="F12" s="60" t="s">
        <v>342</v>
      </c>
    </row>
    <row r="13" spans="1:8" ht="15.75" x14ac:dyDescent="0.25">
      <c r="A13" s="60" t="s">
        <v>337</v>
      </c>
      <c r="B13" s="60" t="s">
        <v>141</v>
      </c>
      <c r="C13" s="61">
        <v>42735</v>
      </c>
      <c r="D13" s="60" t="s">
        <v>344</v>
      </c>
      <c r="E13" s="60" t="s">
        <v>283</v>
      </c>
      <c r="F13" s="60" t="s">
        <v>339</v>
      </c>
    </row>
    <row r="14" spans="1:8" ht="15.75" x14ac:dyDescent="0.25">
      <c r="A14" s="60" t="s">
        <v>337</v>
      </c>
      <c r="B14" s="60" t="s">
        <v>141</v>
      </c>
      <c r="C14" s="61"/>
      <c r="D14" s="60" t="s">
        <v>0</v>
      </c>
      <c r="E14" s="60" t="s">
        <v>0</v>
      </c>
      <c r="F14" s="60" t="s">
        <v>287</v>
      </c>
    </row>
    <row r="15" spans="1:8" ht="15.75" x14ac:dyDescent="0.25">
      <c r="A15" s="60" t="s">
        <v>337</v>
      </c>
      <c r="B15" s="60" t="s">
        <v>141</v>
      </c>
      <c r="C15" s="61">
        <v>42735</v>
      </c>
      <c r="D15" s="60" t="s">
        <v>0</v>
      </c>
      <c r="E15" s="60" t="s">
        <v>0</v>
      </c>
      <c r="F15" s="60" t="s">
        <v>310</v>
      </c>
    </row>
    <row r="16" spans="1:8" ht="15.75" x14ac:dyDescent="0.25">
      <c r="A16" s="60" t="s">
        <v>337</v>
      </c>
      <c r="B16" s="60" t="s">
        <v>141</v>
      </c>
      <c r="C16" s="61"/>
      <c r="D16" s="60" t="s">
        <v>0</v>
      </c>
      <c r="E16" s="60" t="s">
        <v>0</v>
      </c>
      <c r="F16" s="60" t="s">
        <v>0</v>
      </c>
    </row>
    <row r="17" spans="1:6" ht="15.75" x14ac:dyDescent="0.25">
      <c r="A17" s="60" t="s">
        <v>337</v>
      </c>
      <c r="B17" s="60" t="s">
        <v>141</v>
      </c>
      <c r="C17" s="61">
        <v>42736</v>
      </c>
      <c r="D17" s="60" t="s">
        <v>0</v>
      </c>
      <c r="E17" s="60" t="s">
        <v>0</v>
      </c>
      <c r="F17" s="60" t="s">
        <v>281</v>
      </c>
    </row>
    <row r="18" spans="1:6" ht="15.75" x14ac:dyDescent="0.25">
      <c r="A18" s="60" t="s">
        <v>337</v>
      </c>
      <c r="B18" s="60" t="s">
        <v>141</v>
      </c>
      <c r="C18" s="61">
        <v>42766</v>
      </c>
      <c r="D18" s="60" t="s">
        <v>345</v>
      </c>
      <c r="E18" s="60" t="s">
        <v>283</v>
      </c>
      <c r="F18" s="60" t="s">
        <v>339</v>
      </c>
    </row>
    <row r="19" spans="1:6" ht="15.75" x14ac:dyDescent="0.25">
      <c r="A19" s="60" t="s">
        <v>337</v>
      </c>
      <c r="B19" s="60" t="s">
        <v>141</v>
      </c>
      <c r="C19" s="61"/>
      <c r="D19" s="60" t="s">
        <v>0</v>
      </c>
      <c r="E19" s="60" t="s">
        <v>0</v>
      </c>
      <c r="F19" s="60" t="s">
        <v>287</v>
      </c>
    </row>
    <row r="20" spans="1:6" ht="15.75" x14ac:dyDescent="0.25">
      <c r="A20" s="60" t="s">
        <v>337</v>
      </c>
      <c r="B20" s="60" t="s">
        <v>141</v>
      </c>
      <c r="C20" s="61">
        <v>42767</v>
      </c>
      <c r="D20" s="60" t="s">
        <v>0</v>
      </c>
      <c r="E20" s="60" t="s">
        <v>0</v>
      </c>
      <c r="F20" s="60" t="s">
        <v>281</v>
      </c>
    </row>
    <row r="21" spans="1:6" ht="15.75" x14ac:dyDescent="0.25">
      <c r="A21" s="60" t="s">
        <v>337</v>
      </c>
      <c r="B21" s="60" t="s">
        <v>141</v>
      </c>
      <c r="C21" s="61">
        <v>42767</v>
      </c>
      <c r="D21" s="60" t="s">
        <v>346</v>
      </c>
      <c r="E21" s="60" t="s">
        <v>283</v>
      </c>
      <c r="F21" s="60" t="s">
        <v>339</v>
      </c>
    </row>
    <row r="22" spans="1:6" ht="15.75" x14ac:dyDescent="0.25">
      <c r="A22" s="60" t="s">
        <v>337</v>
      </c>
      <c r="B22" s="60" t="s">
        <v>141</v>
      </c>
      <c r="C22" s="61">
        <v>42794</v>
      </c>
      <c r="D22" s="60" t="s">
        <v>347</v>
      </c>
      <c r="E22" s="60" t="s">
        <v>283</v>
      </c>
      <c r="F22" s="60" t="s">
        <v>339</v>
      </c>
    </row>
    <row r="23" spans="1:6" ht="15.75" x14ac:dyDescent="0.25">
      <c r="A23" s="60" t="s">
        <v>337</v>
      </c>
      <c r="B23" s="60" t="s">
        <v>141</v>
      </c>
      <c r="C23" s="61"/>
      <c r="D23" s="60" t="s">
        <v>0</v>
      </c>
      <c r="E23" s="60" t="s">
        <v>0</v>
      </c>
      <c r="F23" s="60" t="s">
        <v>287</v>
      </c>
    </row>
    <row r="24" spans="1:6" ht="15.75" x14ac:dyDescent="0.25">
      <c r="A24" s="60" t="s">
        <v>337</v>
      </c>
      <c r="B24" s="60" t="s">
        <v>141</v>
      </c>
      <c r="C24" s="61">
        <v>42795</v>
      </c>
      <c r="D24" s="60" t="s">
        <v>0</v>
      </c>
      <c r="E24" s="60" t="s">
        <v>0</v>
      </c>
      <c r="F24" s="60" t="s">
        <v>281</v>
      </c>
    </row>
    <row r="25" spans="1:6" ht="15.75" x14ac:dyDescent="0.25">
      <c r="A25" s="60" t="s">
        <v>337</v>
      </c>
      <c r="B25" s="60" t="s">
        <v>141</v>
      </c>
      <c r="C25" s="61">
        <v>42817</v>
      </c>
      <c r="D25" s="60" t="s">
        <v>348</v>
      </c>
      <c r="E25" s="60" t="s">
        <v>283</v>
      </c>
      <c r="F25" s="60" t="s">
        <v>349</v>
      </c>
    </row>
    <row r="26" spans="1:6" ht="15.75" x14ac:dyDescent="0.25">
      <c r="A26" s="60" t="s">
        <v>337</v>
      </c>
      <c r="B26" s="60" t="s">
        <v>141</v>
      </c>
      <c r="C26" s="61"/>
      <c r="D26" s="60" t="s">
        <v>0</v>
      </c>
      <c r="E26" s="60" t="s">
        <v>0</v>
      </c>
      <c r="F26" s="60" t="s">
        <v>287</v>
      </c>
    </row>
    <row r="27" spans="1:6" ht="15.75" x14ac:dyDescent="0.25">
      <c r="A27" s="60" t="s">
        <v>337</v>
      </c>
      <c r="B27" s="60" t="s">
        <v>141</v>
      </c>
      <c r="C27" s="61">
        <v>42826</v>
      </c>
      <c r="D27" s="60" t="s">
        <v>0</v>
      </c>
      <c r="E27" s="60" t="s">
        <v>0</v>
      </c>
      <c r="F27" s="60" t="s">
        <v>281</v>
      </c>
    </row>
    <row r="28" spans="1:6" ht="15.75" x14ac:dyDescent="0.25">
      <c r="A28" s="60" t="s">
        <v>337</v>
      </c>
      <c r="B28" s="60" t="s">
        <v>141</v>
      </c>
      <c r="C28" s="61">
        <v>42851</v>
      </c>
      <c r="D28" s="60" t="s">
        <v>350</v>
      </c>
      <c r="E28" s="60" t="s">
        <v>283</v>
      </c>
      <c r="F28" s="60" t="s">
        <v>339</v>
      </c>
    </row>
    <row r="29" spans="1:6" ht="15.75" x14ac:dyDescent="0.25">
      <c r="A29" s="60" t="s">
        <v>337</v>
      </c>
      <c r="B29" s="60" t="s">
        <v>141</v>
      </c>
      <c r="C29" s="61">
        <v>42855</v>
      </c>
      <c r="D29" s="60" t="s">
        <v>351</v>
      </c>
      <c r="E29" s="60" t="s">
        <v>283</v>
      </c>
      <c r="F29" s="60" t="s">
        <v>339</v>
      </c>
    </row>
    <row r="30" spans="1:6" ht="15.75" x14ac:dyDescent="0.25">
      <c r="A30" s="60" t="s">
        <v>337</v>
      </c>
      <c r="B30" s="60" t="s">
        <v>141</v>
      </c>
      <c r="C30" s="61"/>
      <c r="D30" s="60" t="s">
        <v>0</v>
      </c>
      <c r="E30" s="60" t="s">
        <v>0</v>
      </c>
      <c r="F30" s="60" t="s">
        <v>287</v>
      </c>
    </row>
    <row r="31" spans="1:6" ht="15.75" x14ac:dyDescent="0.25">
      <c r="A31" s="60" t="s">
        <v>337</v>
      </c>
      <c r="B31" s="60" t="s">
        <v>141</v>
      </c>
      <c r="C31" s="61">
        <v>42856</v>
      </c>
      <c r="D31" s="60" t="s">
        <v>0</v>
      </c>
      <c r="E31" s="60" t="s">
        <v>0</v>
      </c>
      <c r="F31" s="60" t="s">
        <v>281</v>
      </c>
    </row>
    <row r="32" spans="1:6" ht="15.75" x14ac:dyDescent="0.25">
      <c r="A32" s="60" t="s">
        <v>337</v>
      </c>
      <c r="B32" s="60" t="s">
        <v>141</v>
      </c>
      <c r="C32" s="61">
        <v>42856</v>
      </c>
      <c r="D32" s="60" t="s">
        <v>352</v>
      </c>
      <c r="E32" s="60" t="s">
        <v>283</v>
      </c>
      <c r="F32" s="60" t="s">
        <v>353</v>
      </c>
    </row>
    <row r="33" spans="1:6" ht="15.75" x14ac:dyDescent="0.25">
      <c r="A33" s="60" t="s">
        <v>337</v>
      </c>
      <c r="B33" s="60" t="s">
        <v>141</v>
      </c>
      <c r="C33" s="61">
        <v>42856</v>
      </c>
      <c r="D33" s="60" t="s">
        <v>354</v>
      </c>
      <c r="E33" s="60" t="s">
        <v>283</v>
      </c>
      <c r="F33" s="60" t="s">
        <v>339</v>
      </c>
    </row>
    <row r="34" spans="1:6" ht="15.75" x14ac:dyDescent="0.25">
      <c r="A34" s="60" t="s">
        <v>337</v>
      </c>
      <c r="B34" s="60" t="s">
        <v>141</v>
      </c>
      <c r="C34" s="61"/>
      <c r="D34" s="60" t="s">
        <v>0</v>
      </c>
      <c r="E34" s="60" t="s">
        <v>0</v>
      </c>
      <c r="F34" s="60" t="s">
        <v>287</v>
      </c>
    </row>
    <row r="35" spans="1:6" ht="15.75" x14ac:dyDescent="0.25">
      <c r="A35" s="60" t="s">
        <v>337</v>
      </c>
      <c r="B35" s="60" t="s">
        <v>141</v>
      </c>
      <c r="C35" s="61">
        <v>42887</v>
      </c>
      <c r="D35" s="60" t="s">
        <v>0</v>
      </c>
      <c r="E35" s="60" t="s">
        <v>0</v>
      </c>
      <c r="F35" s="60" t="s">
        <v>281</v>
      </c>
    </row>
    <row r="36" spans="1:6" ht="15.75" x14ac:dyDescent="0.25">
      <c r="A36" s="60" t="s">
        <v>337</v>
      </c>
      <c r="B36" s="60" t="s">
        <v>141</v>
      </c>
      <c r="C36" s="61">
        <v>42887</v>
      </c>
      <c r="D36" s="60" t="s">
        <v>355</v>
      </c>
      <c r="E36" s="60" t="s">
        <v>283</v>
      </c>
      <c r="F36" s="60" t="s">
        <v>339</v>
      </c>
    </row>
    <row r="37" spans="1:6" ht="15.75" x14ac:dyDescent="0.25">
      <c r="A37" s="60" t="s">
        <v>337</v>
      </c>
      <c r="B37" s="60" t="s">
        <v>141</v>
      </c>
      <c r="C37" s="61">
        <v>42916</v>
      </c>
      <c r="D37" s="60" t="s">
        <v>335</v>
      </c>
      <c r="E37" s="60" t="s">
        <v>309</v>
      </c>
      <c r="F37" s="60" t="s">
        <v>0</v>
      </c>
    </row>
    <row r="38" spans="1:6" ht="15.75" x14ac:dyDescent="0.25">
      <c r="A38" s="8"/>
      <c r="B38" s="8"/>
      <c r="C38" s="56"/>
      <c r="D38" s="8"/>
      <c r="E38" s="8"/>
      <c r="F38" s="8"/>
    </row>
    <row r="39" spans="1:6" ht="15.75" x14ac:dyDescent="0.25">
      <c r="A39" s="8"/>
      <c r="B39" s="8"/>
      <c r="C39" s="56"/>
      <c r="D39" s="8"/>
      <c r="E39" s="8"/>
      <c r="F39" s="8"/>
    </row>
  </sheetData>
  <pageMargins left="0.25" right="0.25" top="0.75" bottom="0.5" header="0.3" footer="0.3"/>
  <pageSetup scale="89" fitToHeight="0" orientation="landscape" r:id="rId1"/>
  <headerFooter>
    <oddHeader>&amp;CArrow Launch Service, Inc.
Accounting 
Test Period ended 6/30/17</oddHeader>
    <oddFooter>&amp;L&amp;F &amp;A &amp;T&amp;RPage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2" sqref="A2:K38"/>
    </sheetView>
  </sheetViews>
  <sheetFormatPr defaultRowHeight="15" x14ac:dyDescent="0.25"/>
  <cols>
    <col min="1" max="1" width="13.140625" customWidth="1"/>
    <col min="2" max="2" width="13.7109375" customWidth="1"/>
    <col min="3" max="3" width="8.7109375" customWidth="1"/>
    <col min="4" max="4" width="12.42578125" customWidth="1"/>
    <col min="5" max="5" width="7.28515625" customWidth="1"/>
    <col min="6" max="6" width="52.85546875" customWidth="1"/>
  </cols>
  <sheetData>
    <row r="1" spans="1:8" ht="31.5" x14ac:dyDescent="0.25">
      <c r="A1" s="54" t="s">
        <v>274</v>
      </c>
      <c r="B1" s="55" t="s">
        <v>275</v>
      </c>
      <c r="C1" s="54" t="s">
        <v>276</v>
      </c>
      <c r="D1" s="54" t="s">
        <v>277</v>
      </c>
      <c r="E1" s="54" t="s">
        <v>278</v>
      </c>
      <c r="F1" s="54" t="s">
        <v>279</v>
      </c>
    </row>
    <row r="2" spans="1:8" ht="15.75" x14ac:dyDescent="0.25">
      <c r="A2" s="8" t="s">
        <v>280</v>
      </c>
      <c r="B2" s="8" t="s">
        <v>142</v>
      </c>
      <c r="C2" s="56">
        <v>42552</v>
      </c>
      <c r="D2" s="8" t="s">
        <v>769</v>
      </c>
      <c r="E2" s="8" t="s">
        <v>283</v>
      </c>
      <c r="F2" s="8" t="s">
        <v>770</v>
      </c>
      <c r="H2" s="200" t="s">
        <v>700</v>
      </c>
    </row>
    <row r="3" spans="1:8" ht="15.75" x14ac:dyDescent="0.25">
      <c r="A3" s="8" t="s">
        <v>280</v>
      </c>
      <c r="B3" s="8" t="s">
        <v>142</v>
      </c>
      <c r="C3" s="56">
        <v>42552</v>
      </c>
      <c r="D3" s="8" t="s">
        <v>771</v>
      </c>
      <c r="E3" s="8" t="s">
        <v>283</v>
      </c>
      <c r="F3" s="8" t="s">
        <v>772</v>
      </c>
      <c r="H3" s="200" t="s">
        <v>701</v>
      </c>
    </row>
    <row r="4" spans="1:8" ht="15.75" x14ac:dyDescent="0.25">
      <c r="A4" s="8" t="s">
        <v>280</v>
      </c>
      <c r="B4" s="8" t="s">
        <v>142</v>
      </c>
      <c r="C4" s="56">
        <v>42582</v>
      </c>
      <c r="D4" s="8" t="s">
        <v>282</v>
      </c>
      <c r="E4" s="8" t="s">
        <v>283</v>
      </c>
      <c r="F4" s="8" t="s">
        <v>284</v>
      </c>
    </row>
    <row r="5" spans="1:8" ht="15.75" x14ac:dyDescent="0.25">
      <c r="A5" s="8" t="s">
        <v>280</v>
      </c>
      <c r="B5" s="8" t="s">
        <v>142</v>
      </c>
      <c r="C5" s="56">
        <v>42582</v>
      </c>
      <c r="D5" s="8" t="s">
        <v>285</v>
      </c>
      <c r="E5" s="8" t="s">
        <v>283</v>
      </c>
      <c r="F5" s="8" t="s">
        <v>286</v>
      </c>
    </row>
    <row r="6" spans="1:8" ht="15.75" x14ac:dyDescent="0.25">
      <c r="A6" s="8" t="s">
        <v>280</v>
      </c>
      <c r="B6" s="8" t="s">
        <v>142</v>
      </c>
      <c r="C6" s="56">
        <v>42583</v>
      </c>
      <c r="D6" s="8" t="s">
        <v>288</v>
      </c>
      <c r="E6" s="8" t="s">
        <v>283</v>
      </c>
      <c r="F6" s="8" t="s">
        <v>289</v>
      </c>
    </row>
    <row r="7" spans="1:8" ht="15.75" x14ac:dyDescent="0.25">
      <c r="A7" s="8" t="s">
        <v>280</v>
      </c>
      <c r="B7" s="8" t="s">
        <v>142</v>
      </c>
      <c r="C7" s="56">
        <v>42613</v>
      </c>
      <c r="D7" s="8" t="s">
        <v>290</v>
      </c>
      <c r="E7" s="8" t="s">
        <v>283</v>
      </c>
      <c r="F7" s="8" t="s">
        <v>291</v>
      </c>
    </row>
    <row r="8" spans="1:8" ht="15.75" x14ac:dyDescent="0.25">
      <c r="A8" s="8" t="s">
        <v>280</v>
      </c>
      <c r="B8" s="8" t="s">
        <v>142</v>
      </c>
      <c r="C8" s="56">
        <v>42613</v>
      </c>
      <c r="D8" s="8" t="s">
        <v>292</v>
      </c>
      <c r="E8" s="8" t="s">
        <v>283</v>
      </c>
      <c r="F8" s="8" t="s">
        <v>293</v>
      </c>
    </row>
    <row r="9" spans="1:8" ht="15.75" x14ac:dyDescent="0.25">
      <c r="A9" s="8" t="s">
        <v>280</v>
      </c>
      <c r="B9" s="8" t="s">
        <v>142</v>
      </c>
      <c r="C9" s="56">
        <v>42614</v>
      </c>
      <c r="D9" s="8" t="s">
        <v>294</v>
      </c>
      <c r="E9" s="8" t="s">
        <v>283</v>
      </c>
      <c r="F9" s="8" t="s">
        <v>295</v>
      </c>
    </row>
    <row r="10" spans="1:8" ht="15.75" x14ac:dyDescent="0.25">
      <c r="A10" s="8" t="s">
        <v>280</v>
      </c>
      <c r="B10" s="8" t="s">
        <v>142</v>
      </c>
      <c r="C10" s="56">
        <v>42643</v>
      </c>
      <c r="D10" s="8" t="s">
        <v>296</v>
      </c>
      <c r="E10" s="8" t="s">
        <v>283</v>
      </c>
      <c r="F10" s="8" t="s">
        <v>297</v>
      </c>
    </row>
    <row r="11" spans="1:8" ht="15.75" x14ac:dyDescent="0.25">
      <c r="A11" s="8" t="s">
        <v>280</v>
      </c>
      <c r="B11" s="8" t="s">
        <v>142</v>
      </c>
      <c r="C11" s="56">
        <v>42643</v>
      </c>
      <c r="D11" s="8" t="s">
        <v>298</v>
      </c>
      <c r="E11" s="8" t="s">
        <v>283</v>
      </c>
      <c r="F11" s="8" t="s">
        <v>299</v>
      </c>
    </row>
    <row r="12" spans="1:8" ht="15.75" x14ac:dyDescent="0.25">
      <c r="A12" s="8" t="s">
        <v>280</v>
      </c>
      <c r="B12" s="8" t="s">
        <v>142</v>
      </c>
      <c r="C12" s="56">
        <v>42644</v>
      </c>
      <c r="D12" s="8" t="s">
        <v>300</v>
      </c>
      <c r="E12" s="8" t="s">
        <v>283</v>
      </c>
      <c r="F12" s="8" t="s">
        <v>301</v>
      </c>
    </row>
    <row r="13" spans="1:8" ht="15.75" x14ac:dyDescent="0.25">
      <c r="A13" s="8" t="s">
        <v>280</v>
      </c>
      <c r="B13" s="8" t="s">
        <v>142</v>
      </c>
      <c r="C13" s="56">
        <v>42646</v>
      </c>
      <c r="D13" s="8" t="s">
        <v>302</v>
      </c>
      <c r="E13" s="8" t="s">
        <v>283</v>
      </c>
      <c r="F13" s="8" t="s">
        <v>289</v>
      </c>
    </row>
    <row r="14" spans="1:8" ht="15.75" x14ac:dyDescent="0.25">
      <c r="A14" s="8" t="s">
        <v>280</v>
      </c>
      <c r="B14" s="8" t="s">
        <v>142</v>
      </c>
      <c r="C14" s="56">
        <v>42674</v>
      </c>
      <c r="D14" s="8" t="s">
        <v>303</v>
      </c>
      <c r="E14" s="8" t="s">
        <v>283</v>
      </c>
      <c r="F14" s="8" t="s">
        <v>297</v>
      </c>
    </row>
    <row r="15" spans="1:8" ht="15.75" x14ac:dyDescent="0.25">
      <c r="A15" s="8" t="s">
        <v>280</v>
      </c>
      <c r="B15" s="8" t="s">
        <v>142</v>
      </c>
      <c r="C15" s="56">
        <v>42704</v>
      </c>
      <c r="D15" s="8" t="s">
        <v>304</v>
      </c>
      <c r="E15" s="8" t="s">
        <v>283</v>
      </c>
      <c r="F15" s="8" t="s">
        <v>299</v>
      </c>
    </row>
    <row r="16" spans="1:8" ht="15.75" x14ac:dyDescent="0.25">
      <c r="A16" s="8" t="s">
        <v>280</v>
      </c>
      <c r="B16" s="8" t="s">
        <v>142</v>
      </c>
      <c r="C16" s="56">
        <v>42712</v>
      </c>
      <c r="D16" s="8" t="s">
        <v>305</v>
      </c>
      <c r="E16" s="8" t="s">
        <v>283</v>
      </c>
      <c r="F16" s="8" t="s">
        <v>297</v>
      </c>
    </row>
    <row r="17" spans="1:6" ht="15.75" x14ac:dyDescent="0.25">
      <c r="A17" s="8" t="s">
        <v>280</v>
      </c>
      <c r="B17" s="8" t="s">
        <v>142</v>
      </c>
      <c r="C17" s="56">
        <v>42712</v>
      </c>
      <c r="D17" s="8" t="s">
        <v>306</v>
      </c>
      <c r="E17" s="8" t="s">
        <v>283</v>
      </c>
      <c r="F17" s="8" t="s">
        <v>299</v>
      </c>
    </row>
    <row r="18" spans="1:6" ht="15.75" x14ac:dyDescent="0.25">
      <c r="A18" s="8" t="s">
        <v>280</v>
      </c>
      <c r="B18" s="8" t="s">
        <v>142</v>
      </c>
      <c r="C18" s="56">
        <v>42734</v>
      </c>
      <c r="D18" s="8" t="s">
        <v>307</v>
      </c>
      <c r="E18" s="8" t="s">
        <v>283</v>
      </c>
      <c r="F18" s="8" t="s">
        <v>308</v>
      </c>
    </row>
    <row r="19" spans="1:6" ht="15.75" x14ac:dyDescent="0.25">
      <c r="A19" s="8" t="s">
        <v>280</v>
      </c>
      <c r="B19" s="8" t="s">
        <v>142</v>
      </c>
      <c r="C19" s="56">
        <v>42735</v>
      </c>
      <c r="D19" s="8" t="s">
        <v>0</v>
      </c>
      <c r="E19" s="8" t="s">
        <v>309</v>
      </c>
      <c r="F19" s="8" t="s">
        <v>0</v>
      </c>
    </row>
    <row r="20" spans="1:6" ht="15.75" x14ac:dyDescent="0.25">
      <c r="A20" s="8" t="s">
        <v>280</v>
      </c>
      <c r="B20" s="8" t="s">
        <v>142</v>
      </c>
      <c r="C20" s="56">
        <v>42752</v>
      </c>
      <c r="D20" s="8" t="s">
        <v>311</v>
      </c>
      <c r="E20" s="8" t="s">
        <v>312</v>
      </c>
      <c r="F20" s="8" t="s">
        <v>313</v>
      </c>
    </row>
    <row r="21" spans="1:6" ht="15.75" x14ac:dyDescent="0.25">
      <c r="A21" s="8" t="s">
        <v>280</v>
      </c>
      <c r="B21" s="8" t="s">
        <v>142</v>
      </c>
      <c r="C21" s="56">
        <v>42760</v>
      </c>
      <c r="D21" s="8" t="s">
        <v>314</v>
      </c>
      <c r="E21" s="8" t="s">
        <v>283</v>
      </c>
      <c r="F21" s="8" t="s">
        <v>315</v>
      </c>
    </row>
    <row r="22" spans="1:6" ht="15.75" x14ac:dyDescent="0.25">
      <c r="A22" s="8" t="s">
        <v>280</v>
      </c>
      <c r="B22" s="8" t="s">
        <v>142</v>
      </c>
      <c r="C22" s="56">
        <v>42766</v>
      </c>
      <c r="D22" s="8" t="s">
        <v>316</v>
      </c>
      <c r="E22" s="8" t="s">
        <v>283</v>
      </c>
      <c r="F22" s="8" t="s">
        <v>317</v>
      </c>
    </row>
    <row r="23" spans="1:6" ht="15.75" x14ac:dyDescent="0.25">
      <c r="A23" s="8" t="s">
        <v>280</v>
      </c>
      <c r="B23" s="8" t="s">
        <v>142</v>
      </c>
      <c r="C23" s="56">
        <v>42767</v>
      </c>
      <c r="D23" s="8" t="s">
        <v>318</v>
      </c>
      <c r="E23" s="8" t="s">
        <v>283</v>
      </c>
      <c r="F23" s="8" t="s">
        <v>289</v>
      </c>
    </row>
    <row r="24" spans="1:6" ht="15.75" x14ac:dyDescent="0.25">
      <c r="A24" s="8" t="s">
        <v>280</v>
      </c>
      <c r="B24" s="8" t="s">
        <v>142</v>
      </c>
      <c r="C24" s="56">
        <v>42767</v>
      </c>
      <c r="D24" s="8" t="s">
        <v>319</v>
      </c>
      <c r="E24" s="8" t="s">
        <v>283</v>
      </c>
      <c r="F24" s="8" t="s">
        <v>289</v>
      </c>
    </row>
    <row r="25" spans="1:6" ht="15.75" x14ac:dyDescent="0.25">
      <c r="A25" s="8" t="s">
        <v>280</v>
      </c>
      <c r="B25" s="8" t="s">
        <v>142</v>
      </c>
      <c r="C25" s="56">
        <v>42789</v>
      </c>
      <c r="D25" s="8" t="s">
        <v>320</v>
      </c>
      <c r="E25" s="8" t="s">
        <v>283</v>
      </c>
      <c r="F25" s="8" t="s">
        <v>308</v>
      </c>
    </row>
    <row r="26" spans="1:6" ht="15.75" x14ac:dyDescent="0.25">
      <c r="A26" s="8" t="s">
        <v>280</v>
      </c>
      <c r="B26" s="8" t="s">
        <v>142</v>
      </c>
      <c r="C26" s="56">
        <v>42794</v>
      </c>
      <c r="D26" s="8" t="s">
        <v>321</v>
      </c>
      <c r="E26" s="8" t="s">
        <v>283</v>
      </c>
      <c r="F26" s="8" t="s">
        <v>297</v>
      </c>
    </row>
    <row r="27" spans="1:6" ht="15.75" x14ac:dyDescent="0.25">
      <c r="A27" s="8" t="s">
        <v>280</v>
      </c>
      <c r="B27" s="8" t="s">
        <v>142</v>
      </c>
      <c r="C27" s="56">
        <v>42794</v>
      </c>
      <c r="D27" s="8" t="s">
        <v>322</v>
      </c>
      <c r="E27" s="8" t="s">
        <v>283</v>
      </c>
      <c r="F27" s="8" t="s">
        <v>299</v>
      </c>
    </row>
    <row r="28" spans="1:6" ht="15.75" x14ac:dyDescent="0.25">
      <c r="A28" s="8" t="s">
        <v>280</v>
      </c>
      <c r="B28" s="8" t="s">
        <v>142</v>
      </c>
      <c r="C28" s="56">
        <v>42828</v>
      </c>
      <c r="D28" s="8" t="s">
        <v>323</v>
      </c>
      <c r="E28" s="8" t="s">
        <v>283</v>
      </c>
      <c r="F28" s="8" t="s">
        <v>289</v>
      </c>
    </row>
    <row r="29" spans="1:6" ht="15.75" x14ac:dyDescent="0.25">
      <c r="A29" s="8" t="s">
        <v>280</v>
      </c>
      <c r="B29" s="8" t="s">
        <v>142</v>
      </c>
      <c r="C29" s="56">
        <v>42831</v>
      </c>
      <c r="D29" s="8" t="s">
        <v>324</v>
      </c>
      <c r="E29" s="8" t="s">
        <v>283</v>
      </c>
      <c r="F29" s="8" t="s">
        <v>308</v>
      </c>
    </row>
    <row r="30" spans="1:6" ht="15.75" x14ac:dyDescent="0.25">
      <c r="A30" s="8" t="s">
        <v>280</v>
      </c>
      <c r="B30" s="8" t="s">
        <v>142</v>
      </c>
      <c r="C30" s="56">
        <v>42831</v>
      </c>
      <c r="D30" s="8" t="s">
        <v>325</v>
      </c>
      <c r="E30" s="8" t="s">
        <v>283</v>
      </c>
      <c r="F30" s="8" t="s">
        <v>299</v>
      </c>
    </row>
    <row r="31" spans="1:6" ht="15.75" x14ac:dyDescent="0.25">
      <c r="A31" s="8" t="s">
        <v>280</v>
      </c>
      <c r="B31" s="8" t="s">
        <v>142</v>
      </c>
      <c r="C31" s="56">
        <v>42853</v>
      </c>
      <c r="D31" s="8" t="s">
        <v>0</v>
      </c>
      <c r="E31" s="8" t="s">
        <v>312</v>
      </c>
      <c r="F31" s="8" t="s">
        <v>308</v>
      </c>
    </row>
    <row r="32" spans="1:6" ht="15.75" x14ac:dyDescent="0.25">
      <c r="A32" s="8" t="s">
        <v>280</v>
      </c>
      <c r="B32" s="8" t="s">
        <v>142</v>
      </c>
      <c r="C32" s="56">
        <v>42856</v>
      </c>
      <c r="D32" s="8" t="s">
        <v>326</v>
      </c>
      <c r="E32" s="8" t="s">
        <v>283</v>
      </c>
      <c r="F32" s="8" t="s">
        <v>299</v>
      </c>
    </row>
    <row r="33" spans="1:6" ht="15.75" x14ac:dyDescent="0.25">
      <c r="A33" s="8" t="s">
        <v>280</v>
      </c>
      <c r="B33" s="8" t="s">
        <v>142</v>
      </c>
      <c r="C33" s="56">
        <v>42856</v>
      </c>
      <c r="D33" s="8" t="s">
        <v>327</v>
      </c>
      <c r="E33" s="8" t="s">
        <v>283</v>
      </c>
      <c r="F33" s="8" t="s">
        <v>297</v>
      </c>
    </row>
    <row r="34" spans="1:6" ht="15.75" x14ac:dyDescent="0.25">
      <c r="A34" s="8" t="s">
        <v>280</v>
      </c>
      <c r="B34" s="8" t="s">
        <v>142</v>
      </c>
      <c r="C34" s="56">
        <v>42856</v>
      </c>
      <c r="D34" s="8" t="s">
        <v>328</v>
      </c>
      <c r="E34" s="8" t="s">
        <v>283</v>
      </c>
      <c r="F34" s="8" t="s">
        <v>329</v>
      </c>
    </row>
    <row r="35" spans="1:6" ht="15.75" x14ac:dyDescent="0.25">
      <c r="A35" s="8" t="s">
        <v>280</v>
      </c>
      <c r="B35" s="8" t="s">
        <v>142</v>
      </c>
      <c r="C35" s="56">
        <v>42864</v>
      </c>
      <c r="D35" s="8" t="s">
        <v>330</v>
      </c>
      <c r="E35" s="8" t="s">
        <v>283</v>
      </c>
      <c r="F35" s="8" t="s">
        <v>331</v>
      </c>
    </row>
    <row r="36" spans="1:6" ht="15.75" x14ac:dyDescent="0.25">
      <c r="A36" s="8" t="s">
        <v>280</v>
      </c>
      <c r="B36" s="8" t="s">
        <v>142</v>
      </c>
      <c r="C36" s="56">
        <v>42886</v>
      </c>
      <c r="D36" s="8" t="s">
        <v>332</v>
      </c>
      <c r="E36" s="8" t="s">
        <v>283</v>
      </c>
      <c r="F36" s="8" t="s">
        <v>333</v>
      </c>
    </row>
    <row r="37" spans="1:6" ht="15.75" x14ac:dyDescent="0.25">
      <c r="A37" s="57" t="s">
        <v>280</v>
      </c>
      <c r="B37" s="57" t="s">
        <v>142</v>
      </c>
      <c r="C37" s="58">
        <v>42886</v>
      </c>
      <c r="D37" s="57" t="s">
        <v>334</v>
      </c>
      <c r="E37" s="57" t="s">
        <v>283</v>
      </c>
      <c r="F37" s="57" t="s">
        <v>336</v>
      </c>
    </row>
    <row r="38" spans="1:6" ht="15.75" x14ac:dyDescent="0.25">
      <c r="A38" s="8" t="s">
        <v>280</v>
      </c>
      <c r="B38" s="8" t="s">
        <v>142</v>
      </c>
      <c r="C38" s="56">
        <v>42916</v>
      </c>
      <c r="D38" s="8" t="s">
        <v>335</v>
      </c>
      <c r="E38" s="8" t="s">
        <v>309</v>
      </c>
      <c r="F38" s="8" t="s">
        <v>0</v>
      </c>
    </row>
  </sheetData>
  <pageMargins left="0.25" right="0.25" top="0.75" bottom="0.5" header="0.3" footer="0.3"/>
  <pageSetup scale="86" fitToHeight="0" orientation="landscape" r:id="rId1"/>
  <headerFooter>
    <oddHeader>&amp;CArrow Launch Service, Inc.
Legal
Test Period ended 6/30/17</oddHeader>
    <oddFooter>&amp;L&amp;F &amp;A &amp;T&amp;R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15" sqref="D15"/>
    </sheetView>
  </sheetViews>
  <sheetFormatPr defaultRowHeight="15" x14ac:dyDescent="0.25"/>
  <cols>
    <col min="1" max="1" width="18.5703125" bestFit="1" customWidth="1"/>
    <col min="5" max="5" width="10.140625" bestFit="1" customWidth="1"/>
    <col min="7" max="8" width="10.140625" bestFit="1" customWidth="1"/>
    <col min="9" max="10" width="12.85546875" customWidth="1"/>
  </cols>
  <sheetData>
    <row r="1" spans="1:12" ht="15.75" x14ac:dyDescent="0.25">
      <c r="A1" s="67" t="s">
        <v>236</v>
      </c>
      <c r="B1" s="67"/>
      <c r="C1" s="67"/>
      <c r="D1" s="67"/>
      <c r="E1" s="67"/>
      <c r="F1" s="67"/>
      <c r="G1" s="67"/>
      <c r="H1" s="67"/>
    </row>
    <row r="2" spans="1:12" ht="15.75" x14ac:dyDescent="0.25">
      <c r="A2" s="67" t="s">
        <v>371</v>
      </c>
      <c r="B2" s="67"/>
      <c r="C2" s="67"/>
      <c r="D2" s="67"/>
      <c r="E2" s="67"/>
      <c r="F2" s="67"/>
      <c r="G2" s="67"/>
      <c r="H2" s="67"/>
    </row>
    <row r="3" spans="1:12" ht="15.75" x14ac:dyDescent="0.25">
      <c r="A3" s="68">
        <v>42277</v>
      </c>
      <c r="B3" s="67"/>
      <c r="C3" s="67"/>
      <c r="D3" s="67"/>
      <c r="E3" s="67"/>
      <c r="F3" s="67"/>
      <c r="G3" s="67"/>
      <c r="H3" s="67"/>
    </row>
    <row r="4" spans="1:12" ht="15.75" x14ac:dyDescent="0.25">
      <c r="A4" s="69"/>
      <c r="B4" s="69"/>
      <c r="C4" s="69"/>
      <c r="D4" s="69"/>
      <c r="E4" s="69"/>
      <c r="F4" s="69"/>
      <c r="G4" s="69"/>
      <c r="H4" s="69"/>
    </row>
    <row r="5" spans="1:12" ht="15.75" x14ac:dyDescent="0.25">
      <c r="A5" s="69"/>
      <c r="B5" s="69"/>
      <c r="C5" s="69"/>
      <c r="D5" s="69"/>
      <c r="E5" s="69"/>
      <c r="F5" s="69"/>
      <c r="G5" s="207" t="s">
        <v>377</v>
      </c>
      <c r="H5" s="67"/>
      <c r="I5" s="34" t="s">
        <v>227</v>
      </c>
      <c r="J5" s="34" t="s">
        <v>378</v>
      </c>
    </row>
    <row r="6" spans="1:12" ht="15.75" x14ac:dyDescent="0.25">
      <c r="A6" s="71" t="s">
        <v>203</v>
      </c>
      <c r="B6" s="69"/>
      <c r="C6" s="69"/>
      <c r="D6" s="69"/>
      <c r="E6" s="69"/>
      <c r="F6" s="69"/>
      <c r="G6" s="75">
        <v>42277</v>
      </c>
      <c r="H6" s="76">
        <v>42643</v>
      </c>
      <c r="I6" s="34" t="s">
        <v>140</v>
      </c>
      <c r="J6" s="34" t="s">
        <v>379</v>
      </c>
    </row>
    <row r="7" spans="1:12" ht="15.75" x14ac:dyDescent="0.25">
      <c r="A7" s="69" t="s">
        <v>372</v>
      </c>
      <c r="B7" s="69"/>
      <c r="C7" s="69"/>
      <c r="D7" s="69"/>
      <c r="E7" s="70">
        <v>2406.25</v>
      </c>
      <c r="F7" s="70"/>
      <c r="G7" s="70"/>
      <c r="H7" s="70"/>
      <c r="I7" s="77"/>
      <c r="J7" s="77"/>
      <c r="K7" s="77"/>
      <c r="L7" s="77"/>
    </row>
    <row r="8" spans="1:12" ht="15.75" x14ac:dyDescent="0.25">
      <c r="A8" s="69" t="s">
        <v>373</v>
      </c>
      <c r="B8" s="69"/>
      <c r="C8" s="69"/>
      <c r="D8" s="69"/>
      <c r="E8" s="70">
        <v>11262.5</v>
      </c>
      <c r="F8" s="70"/>
      <c r="G8" s="70"/>
      <c r="H8" s="70"/>
      <c r="I8" s="77"/>
      <c r="J8" s="77"/>
      <c r="K8" s="77"/>
      <c r="L8" s="77"/>
    </row>
    <row r="9" spans="1:12" ht="15.75" x14ac:dyDescent="0.25">
      <c r="A9" s="69" t="s">
        <v>344</v>
      </c>
      <c r="B9" s="69"/>
      <c r="C9" s="69"/>
      <c r="D9" s="69"/>
      <c r="E9" s="70">
        <v>3981.25</v>
      </c>
      <c r="F9" s="70"/>
      <c r="G9" s="70"/>
      <c r="H9" s="70"/>
      <c r="I9" s="77"/>
      <c r="J9" s="77"/>
      <c r="K9" s="77"/>
      <c r="L9" s="77"/>
    </row>
    <row r="10" spans="1:12" ht="15.75" x14ac:dyDescent="0.25">
      <c r="A10" s="69" t="s">
        <v>374</v>
      </c>
      <c r="B10" s="69"/>
      <c r="C10" s="69"/>
      <c r="D10" s="69"/>
      <c r="E10" s="72">
        <f>1837.5+4900+5000</f>
        <v>11737.5</v>
      </c>
      <c r="F10" s="70"/>
      <c r="G10" s="70"/>
      <c r="H10" s="70"/>
      <c r="I10" s="77"/>
      <c r="J10" s="77"/>
      <c r="K10" s="77"/>
      <c r="L10" s="77"/>
    </row>
    <row r="11" spans="1:12" ht="15.75" x14ac:dyDescent="0.25">
      <c r="A11" s="69"/>
      <c r="B11" s="69"/>
      <c r="C11" s="69"/>
      <c r="D11" s="69"/>
      <c r="E11" s="70">
        <f>SUM(E7:E10)</f>
        <v>29387.5</v>
      </c>
      <c r="F11" s="70"/>
      <c r="G11" s="70">
        <f>+E11/4</f>
        <v>7346.875</v>
      </c>
      <c r="H11" s="70">
        <f>+E11/4</f>
        <v>7346.875</v>
      </c>
      <c r="I11" s="77">
        <f>SUM(G11:H11)</f>
        <v>14693.75</v>
      </c>
      <c r="J11" s="77">
        <f>+E11-I11</f>
        <v>14693.75</v>
      </c>
      <c r="K11" s="77"/>
      <c r="L11" s="77"/>
    </row>
    <row r="12" spans="1:12" ht="15.75" x14ac:dyDescent="0.25">
      <c r="A12" s="69"/>
      <c r="B12" s="69"/>
      <c r="C12" s="69"/>
      <c r="D12" s="69"/>
      <c r="E12" s="70"/>
      <c r="F12" s="70"/>
      <c r="G12" s="70"/>
      <c r="H12" s="70"/>
      <c r="I12" s="77"/>
      <c r="J12" s="77"/>
      <c r="K12" s="77"/>
      <c r="L12" s="77"/>
    </row>
    <row r="13" spans="1:12" ht="15.75" x14ac:dyDescent="0.25">
      <c r="A13" s="69"/>
      <c r="B13" s="69"/>
      <c r="C13" s="69"/>
      <c r="D13" s="69"/>
      <c r="E13" s="70"/>
      <c r="F13" s="70"/>
      <c r="G13" s="70"/>
      <c r="H13" s="70"/>
      <c r="I13" s="77"/>
      <c r="J13" s="77"/>
      <c r="K13" s="77"/>
      <c r="L13" s="77"/>
    </row>
    <row r="14" spans="1:12" ht="15.75" x14ac:dyDescent="0.25">
      <c r="A14" s="71" t="s">
        <v>375</v>
      </c>
      <c r="B14" s="69"/>
      <c r="C14" s="69"/>
      <c r="D14" s="69"/>
      <c r="E14" s="70"/>
      <c r="F14" s="70"/>
      <c r="G14" s="70"/>
      <c r="H14" s="70"/>
      <c r="I14" s="77"/>
      <c r="J14" s="77"/>
      <c r="K14" s="77"/>
      <c r="L14" s="77"/>
    </row>
    <row r="15" spans="1:12" ht="15.75" x14ac:dyDescent="0.25">
      <c r="A15" s="69" t="s">
        <v>376</v>
      </c>
      <c r="B15" s="69"/>
      <c r="C15" s="69"/>
      <c r="D15" s="69"/>
      <c r="E15" s="70">
        <f>9702.21</f>
        <v>9702.2099999999991</v>
      </c>
      <c r="F15" s="70"/>
      <c r="G15" s="70"/>
      <c r="H15" s="70"/>
      <c r="I15" s="77"/>
      <c r="J15" s="77"/>
      <c r="K15" s="77"/>
      <c r="L15" s="77"/>
    </row>
    <row r="16" spans="1:12" ht="15.75" x14ac:dyDescent="0.25">
      <c r="A16" s="73" t="s">
        <v>374</v>
      </c>
      <c r="B16" s="69"/>
      <c r="C16" s="69"/>
      <c r="D16" s="69"/>
      <c r="E16" s="72">
        <v>7849.78</v>
      </c>
      <c r="F16" s="70"/>
      <c r="G16" s="72"/>
      <c r="H16" s="72"/>
      <c r="I16" s="198"/>
      <c r="J16" s="198"/>
      <c r="K16" s="77"/>
      <c r="L16" s="77"/>
    </row>
    <row r="17" spans="1:12" ht="15.75" x14ac:dyDescent="0.25">
      <c r="A17" s="69"/>
      <c r="B17" s="69"/>
      <c r="C17" s="69"/>
      <c r="D17" s="69"/>
      <c r="E17" s="74">
        <f>SUM(E15:E16)</f>
        <v>17551.989999999998</v>
      </c>
      <c r="F17" s="70"/>
      <c r="G17" s="72">
        <f>+E17/4</f>
        <v>4387.9974999999995</v>
      </c>
      <c r="H17" s="72">
        <f>+E17/4</f>
        <v>4387.9974999999995</v>
      </c>
      <c r="I17" s="198">
        <f>SUM(G17:H17)</f>
        <v>8775.994999999999</v>
      </c>
      <c r="J17" s="198">
        <f>+E17-I17</f>
        <v>8775.994999999999</v>
      </c>
      <c r="K17" s="77"/>
      <c r="L17" s="77"/>
    </row>
    <row r="18" spans="1:12" ht="15.75" x14ac:dyDescent="0.25">
      <c r="A18" s="69"/>
      <c r="B18" s="69"/>
      <c r="C18" s="69"/>
      <c r="D18" s="69"/>
      <c r="E18" s="70"/>
      <c r="F18" s="70"/>
      <c r="G18" s="70"/>
      <c r="H18" s="70"/>
      <c r="I18" s="77"/>
      <c r="J18" s="77"/>
      <c r="K18" s="77"/>
      <c r="L18" s="77"/>
    </row>
    <row r="19" spans="1:12" ht="15.75" x14ac:dyDescent="0.25">
      <c r="A19" s="69"/>
      <c r="B19" s="69"/>
      <c r="C19" s="69"/>
      <c r="D19" s="69"/>
      <c r="E19" s="70">
        <f>+E11+E17</f>
        <v>46939.49</v>
      </c>
      <c r="F19" s="70"/>
      <c r="G19" s="70">
        <f t="shared" ref="G19:J19" si="0">+G11+G17</f>
        <v>11734.872499999999</v>
      </c>
      <c r="H19" s="70">
        <f t="shared" si="0"/>
        <v>11734.872499999999</v>
      </c>
      <c r="I19" s="70">
        <f t="shared" si="0"/>
        <v>23469.744999999999</v>
      </c>
      <c r="J19" s="70">
        <f t="shared" si="0"/>
        <v>23469.744999999999</v>
      </c>
      <c r="K19" s="77"/>
      <c r="L19" s="77"/>
    </row>
    <row r="20" spans="1:12" x14ac:dyDescent="0.25">
      <c r="G20" s="77"/>
      <c r="H20" s="77"/>
      <c r="I20" s="77"/>
      <c r="J20" s="77"/>
      <c r="K20" s="77"/>
      <c r="L20" s="77"/>
    </row>
    <row r="21" spans="1:12" x14ac:dyDescent="0.25">
      <c r="G21" s="77"/>
      <c r="H21" s="77"/>
      <c r="I21" s="77"/>
      <c r="J21" s="77"/>
      <c r="K21" s="77"/>
      <c r="L21" s="77"/>
    </row>
    <row r="22" spans="1:12" x14ac:dyDescent="0.25">
      <c r="G22" s="77"/>
      <c r="H22" s="77"/>
      <c r="I22" s="77"/>
      <c r="J22" s="77"/>
      <c r="K22" s="77"/>
      <c r="L22" s="77"/>
    </row>
  </sheetData>
  <pageMargins left="0.7" right="0.7" top="0.75" bottom="0.75" header="0.3" footer="0.3"/>
  <pageSetup orientation="landscape" r:id="rId1"/>
  <headerFooter>
    <oddFooter>&amp;L&amp;F  &amp;A  &amp;T&amp;RPage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70"/>
  <sheetViews>
    <sheetView topLeftCell="A208" workbookViewId="0">
      <selection activeCell="B15" sqref="B15"/>
    </sheetView>
  </sheetViews>
  <sheetFormatPr defaultRowHeight="15" x14ac:dyDescent="0.25"/>
  <cols>
    <col min="1" max="1" width="10.42578125" customWidth="1"/>
    <col min="2" max="2" width="42.7109375" customWidth="1"/>
    <col min="3" max="3" width="12.85546875" customWidth="1"/>
    <col min="4" max="4" width="10.5703125" bestFit="1" customWidth="1"/>
    <col min="5" max="5" width="10.42578125" bestFit="1" customWidth="1"/>
    <col min="6" max="6" width="8.85546875" customWidth="1"/>
    <col min="7" max="7" width="10.5703125" bestFit="1" customWidth="1"/>
    <col min="8" max="8" width="13.85546875" customWidth="1"/>
    <col min="9" max="10" width="10.28515625" hidden="1" customWidth="1"/>
    <col min="11" max="11" width="12.5703125" bestFit="1" customWidth="1"/>
    <col min="12" max="12" width="10.28515625" hidden="1" customWidth="1"/>
    <col min="13" max="13" width="13.140625" customWidth="1"/>
    <col min="14" max="14" width="14.7109375" customWidth="1"/>
    <col min="15" max="15" width="16.140625" customWidth="1"/>
    <col min="16" max="20" width="10.28515625" hidden="1" customWidth="1"/>
    <col min="21" max="21" width="15.140625" customWidth="1"/>
    <col min="22" max="24" width="10.28515625" hidden="1" customWidth="1"/>
    <col min="25" max="25" width="15.7109375" customWidth="1"/>
    <col min="26" max="26" width="13.42578125" customWidth="1"/>
    <col min="27" max="30" width="10.5703125" bestFit="1" customWidth="1"/>
    <col min="31" max="31" width="10.42578125" bestFit="1" customWidth="1"/>
  </cols>
  <sheetData>
    <row r="1" spans="1:34" x14ac:dyDescent="0.25">
      <c r="A1" s="82"/>
      <c r="B1" s="83" t="s">
        <v>236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</row>
    <row r="2" spans="1:34" x14ac:dyDescent="0.25">
      <c r="A2" s="82"/>
      <c r="B2" s="83" t="s">
        <v>389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>
        <v>6</v>
      </c>
      <c r="N2" s="85"/>
      <c r="O2" s="86" t="s">
        <v>390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x14ac:dyDescent="0.25">
      <c r="A3" s="82"/>
      <c r="B3" s="87">
        <v>42916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85">
        <v>6</v>
      </c>
      <c r="N3" s="85"/>
      <c r="O3" s="86" t="s">
        <v>391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 t="s">
        <v>392</v>
      </c>
      <c r="AF3" s="86" t="s">
        <v>393</v>
      </c>
      <c r="AG3" s="85"/>
      <c r="AH3" s="85"/>
    </row>
    <row r="4" spans="1:34" x14ac:dyDescent="0.25">
      <c r="A4" s="82"/>
      <c r="B4" s="85"/>
      <c r="C4" s="88"/>
      <c r="D4" s="88"/>
      <c r="E4" s="85"/>
      <c r="F4" s="88"/>
      <c r="G4" s="85"/>
      <c r="H4" s="85"/>
      <c r="I4" s="85"/>
      <c r="J4" s="85"/>
      <c r="K4" s="85"/>
      <c r="L4" s="85"/>
      <c r="M4" s="89">
        <v>2016</v>
      </c>
      <c r="N4" s="85"/>
      <c r="O4" s="86" t="s">
        <v>394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 t="s">
        <v>395</v>
      </c>
      <c r="AF4" s="86" t="s">
        <v>396</v>
      </c>
      <c r="AG4" s="85"/>
      <c r="AH4" s="85"/>
    </row>
    <row r="5" spans="1:34" x14ac:dyDescent="0.25">
      <c r="A5" s="82"/>
      <c r="B5" s="85"/>
      <c r="C5" s="88"/>
      <c r="D5" s="88"/>
      <c r="E5" s="85"/>
      <c r="F5" s="88"/>
      <c r="G5" s="85"/>
      <c r="H5" s="85"/>
      <c r="I5" s="85"/>
      <c r="J5" s="85"/>
      <c r="K5" s="85"/>
      <c r="L5" s="85"/>
      <c r="M5" s="89">
        <v>2017</v>
      </c>
      <c r="N5" s="85"/>
      <c r="O5" s="86" t="s">
        <v>397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6" t="s">
        <v>241</v>
      </c>
      <c r="AF5" s="86" t="s">
        <v>398</v>
      </c>
      <c r="AG5" s="85"/>
      <c r="AH5" s="85"/>
    </row>
    <row r="6" spans="1:34" x14ac:dyDescent="0.25">
      <c r="A6" s="82"/>
      <c r="B6" s="85"/>
      <c r="C6" s="88"/>
      <c r="D6" s="88"/>
      <c r="E6" s="85"/>
      <c r="F6" s="88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 t="s">
        <v>399</v>
      </c>
      <c r="AF6" s="86" t="s">
        <v>400</v>
      </c>
      <c r="AG6" s="85"/>
      <c r="AH6" s="85"/>
    </row>
    <row r="7" spans="1:34" x14ac:dyDescent="0.25">
      <c r="A7" s="82"/>
      <c r="B7" s="85"/>
      <c r="C7" s="88"/>
      <c r="D7" s="88"/>
      <c r="E7" s="85"/>
      <c r="F7" s="88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8" t="s">
        <v>227</v>
      </c>
      <c r="T7" s="85"/>
      <c r="U7" s="90" t="s">
        <v>401</v>
      </c>
      <c r="V7" s="90" t="s">
        <v>402</v>
      </c>
      <c r="W7" s="91"/>
      <c r="X7" s="90" t="s">
        <v>402</v>
      </c>
      <c r="Y7" s="90" t="s">
        <v>403</v>
      </c>
      <c r="Z7" s="85"/>
      <c r="AA7" s="85"/>
      <c r="AB7" s="85"/>
      <c r="AC7" s="85"/>
      <c r="AD7" s="85"/>
      <c r="AE7" s="86" t="s">
        <v>404</v>
      </c>
      <c r="AF7" s="86" t="s">
        <v>405</v>
      </c>
      <c r="AG7" s="85"/>
      <c r="AH7" s="85"/>
    </row>
    <row r="8" spans="1:34" x14ac:dyDescent="0.25">
      <c r="A8" s="82"/>
      <c r="B8" s="91"/>
      <c r="C8" s="83" t="s">
        <v>406</v>
      </c>
      <c r="D8" s="83"/>
      <c r="E8" s="90" t="s">
        <v>407</v>
      </c>
      <c r="F8" s="90"/>
      <c r="G8" s="91"/>
      <c r="H8" s="90" t="s">
        <v>408</v>
      </c>
      <c r="I8" s="91"/>
      <c r="J8" s="91"/>
      <c r="K8" s="91"/>
      <c r="L8" s="91"/>
      <c r="M8" s="91"/>
      <c r="N8" s="91"/>
      <c r="O8" s="91"/>
      <c r="P8" s="90" t="s">
        <v>409</v>
      </c>
      <c r="Q8" s="90" t="s">
        <v>227</v>
      </c>
      <c r="R8" s="91"/>
      <c r="S8" s="90" t="s">
        <v>402</v>
      </c>
      <c r="T8" s="91"/>
      <c r="U8" s="90" t="s">
        <v>410</v>
      </c>
      <c r="V8" s="90" t="s">
        <v>410</v>
      </c>
      <c r="W8" s="90" t="s">
        <v>411</v>
      </c>
      <c r="X8" s="90" t="s">
        <v>412</v>
      </c>
      <c r="Y8" s="90" t="s">
        <v>410</v>
      </c>
      <c r="Z8" s="91"/>
      <c r="AA8" s="85"/>
      <c r="AB8" s="85"/>
      <c r="AC8" s="85"/>
      <c r="AD8" s="85"/>
      <c r="AE8" s="85"/>
      <c r="AF8" s="85"/>
      <c r="AG8" s="85"/>
      <c r="AH8" s="85"/>
    </row>
    <row r="9" spans="1:34" x14ac:dyDescent="0.25">
      <c r="A9" s="82"/>
      <c r="B9" s="91"/>
      <c r="C9" s="90"/>
      <c r="D9" s="90"/>
      <c r="E9" s="90" t="s">
        <v>413</v>
      </c>
      <c r="F9" s="90" t="s">
        <v>414</v>
      </c>
      <c r="G9" s="90" t="s">
        <v>415</v>
      </c>
      <c r="H9" s="90" t="s">
        <v>416</v>
      </c>
      <c r="I9" s="90" t="s">
        <v>409</v>
      </c>
      <c r="J9" s="91"/>
      <c r="K9" s="90" t="s">
        <v>417</v>
      </c>
      <c r="L9" s="90" t="s">
        <v>417</v>
      </c>
      <c r="M9" s="90" t="s">
        <v>418</v>
      </c>
      <c r="N9" s="90" t="s">
        <v>419</v>
      </c>
      <c r="O9" s="90" t="s">
        <v>420</v>
      </c>
      <c r="P9" s="90" t="s">
        <v>408</v>
      </c>
      <c r="Q9" s="90" t="s">
        <v>421</v>
      </c>
      <c r="R9" s="90" t="s">
        <v>422</v>
      </c>
      <c r="S9" s="90" t="s">
        <v>420</v>
      </c>
      <c r="T9" s="91"/>
      <c r="U9" s="90" t="s">
        <v>147</v>
      </c>
      <c r="V9" s="90" t="s">
        <v>147</v>
      </c>
      <c r="W9" s="90" t="s">
        <v>423</v>
      </c>
      <c r="X9" s="90" t="s">
        <v>424</v>
      </c>
      <c r="Y9" s="90" t="s">
        <v>147</v>
      </c>
      <c r="Z9" s="90" t="s">
        <v>425</v>
      </c>
      <c r="AA9" s="88"/>
      <c r="AB9" s="88"/>
      <c r="AC9" s="88"/>
      <c r="AD9" s="85"/>
      <c r="AE9" s="85"/>
      <c r="AF9" s="85"/>
      <c r="AG9" s="85"/>
      <c r="AH9" s="85"/>
    </row>
    <row r="10" spans="1:34" x14ac:dyDescent="0.25">
      <c r="A10" s="92" t="s">
        <v>147</v>
      </c>
      <c r="B10" s="90" t="s">
        <v>426</v>
      </c>
      <c r="C10" s="93" t="s">
        <v>408</v>
      </c>
      <c r="D10" s="93" t="s">
        <v>427</v>
      </c>
      <c r="E10" s="93" t="s">
        <v>422</v>
      </c>
      <c r="F10" s="93"/>
      <c r="G10" s="93"/>
      <c r="H10" s="93" t="s">
        <v>428</v>
      </c>
      <c r="I10" s="93" t="s">
        <v>429</v>
      </c>
      <c r="J10" s="93" t="s">
        <v>430</v>
      </c>
      <c r="K10" s="93" t="s">
        <v>431</v>
      </c>
      <c r="L10" s="93" t="s">
        <v>409</v>
      </c>
      <c r="M10" s="93" t="s">
        <v>431</v>
      </c>
      <c r="N10" s="93" t="s">
        <v>147</v>
      </c>
      <c r="O10" s="93" t="s">
        <v>147</v>
      </c>
      <c r="P10" s="93" t="s">
        <v>424</v>
      </c>
      <c r="Q10" s="93" t="s">
        <v>424</v>
      </c>
      <c r="R10" s="93" t="s">
        <v>423</v>
      </c>
      <c r="S10" s="93" t="s">
        <v>424</v>
      </c>
      <c r="T10" s="94"/>
      <c r="U10" s="95">
        <v>42551</v>
      </c>
      <c r="V10" s="96">
        <v>42916</v>
      </c>
      <c r="W10" s="93" t="s">
        <v>422</v>
      </c>
      <c r="X10" s="96">
        <v>42916</v>
      </c>
      <c r="Y10" s="96">
        <v>42916</v>
      </c>
      <c r="Z10" s="93" t="s">
        <v>432</v>
      </c>
      <c r="AA10" s="88"/>
      <c r="AB10" s="88"/>
      <c r="AC10" s="88"/>
      <c r="AD10" s="88" t="s">
        <v>392</v>
      </c>
      <c r="AE10" s="88" t="s">
        <v>240</v>
      </c>
      <c r="AF10" s="88" t="s">
        <v>433</v>
      </c>
      <c r="AG10" s="88" t="s">
        <v>399</v>
      </c>
      <c r="AH10" s="88" t="s">
        <v>404</v>
      </c>
    </row>
    <row r="11" spans="1:34" x14ac:dyDescent="0.25">
      <c r="A11" s="92" t="s">
        <v>434</v>
      </c>
      <c r="B11" s="97"/>
      <c r="C11" s="98"/>
      <c r="D11" s="88"/>
      <c r="E11" s="85"/>
      <c r="F11" s="88"/>
      <c r="G11" s="85"/>
      <c r="H11" s="89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99"/>
      <c r="AE11" s="99"/>
      <c r="AF11" s="99"/>
      <c r="AG11" s="99"/>
      <c r="AH11" s="99"/>
    </row>
    <row r="12" spans="1:34" x14ac:dyDescent="0.25">
      <c r="A12" s="100"/>
      <c r="B12" s="100"/>
      <c r="C12" s="101"/>
      <c r="D12" s="102"/>
      <c r="E12" s="103"/>
      <c r="F12" s="104"/>
      <c r="G12" s="105"/>
      <c r="H12" s="106"/>
      <c r="I12" s="105"/>
      <c r="J12" s="105"/>
      <c r="K12" s="107"/>
      <c r="L12" s="105"/>
      <c r="M12" s="107"/>
      <c r="N12" s="107"/>
      <c r="O12" s="107"/>
      <c r="P12" s="107"/>
      <c r="Q12" s="107"/>
      <c r="R12" s="105"/>
      <c r="S12" s="107"/>
      <c r="T12" s="105"/>
      <c r="U12" s="107"/>
      <c r="V12" s="107"/>
      <c r="W12" s="105"/>
      <c r="X12" s="107"/>
      <c r="Y12" s="107"/>
      <c r="Z12" s="107"/>
      <c r="AA12" s="107"/>
      <c r="AB12" s="107"/>
      <c r="AC12" s="107"/>
      <c r="AD12" s="108"/>
      <c r="AE12" s="108"/>
      <c r="AF12" s="108"/>
      <c r="AG12" s="108"/>
      <c r="AH12" s="108"/>
    </row>
    <row r="13" spans="1:34" x14ac:dyDescent="0.25">
      <c r="A13">
        <v>1</v>
      </c>
      <c r="B13" t="s">
        <v>435</v>
      </c>
      <c r="C13">
        <v>1995</v>
      </c>
      <c r="D13">
        <v>7</v>
      </c>
      <c r="E13" s="109"/>
      <c r="F13" s="34" t="s">
        <v>436</v>
      </c>
      <c r="G13">
        <v>7</v>
      </c>
      <c r="H13">
        <f>+C13+G13</f>
        <v>2002</v>
      </c>
      <c r="K13" s="32">
        <v>4863</v>
      </c>
      <c r="L13" s="32"/>
      <c r="M13" s="32">
        <f>+K13-K13*E13</f>
        <v>4863</v>
      </c>
      <c r="N13" s="107">
        <f t="shared" ref="N13:N86" si="0">M13/G13/12</f>
        <v>57.892857142857139</v>
      </c>
      <c r="O13" s="107">
        <f t="shared" ref="O13:O86" si="1">IF(L13&gt;0,0,IF((OR((AA13&gt;AB13),(AC13&lt;AD13))),0,IF((AND((AC13&gt;=AD13),(AC13&lt;=AB13))),N13*((AC13-AD13)*12),IF((AND((AD13&lt;=AA13),(AB13&gt;=AA13))),((AB13-AA13)*12)*N13,IF(AC13&gt;AB13,12*N13,0)))))</f>
        <v>0</v>
      </c>
      <c r="P13" s="107">
        <f t="shared" ref="P13:P86" si="2">IF(L13=0,0,IF((AND((AE13&gt;=AD13),(AE13&lt;=AC13))),((AE13-AD13)*12)*N13,0))</f>
        <v>0</v>
      </c>
      <c r="Q13" s="107">
        <f t="shared" ref="Q13:Q86" si="3">IF(P13&gt;0,P13,O13)</f>
        <v>0</v>
      </c>
      <c r="R13" s="105">
        <v>1</v>
      </c>
      <c r="S13" s="107">
        <f t="shared" ref="S13:S86" si="4">R13*SUM(O13:P13)</f>
        <v>0</v>
      </c>
      <c r="T13" s="105"/>
      <c r="U13" s="107">
        <f t="shared" ref="U13:U86" si="5">IF(AA13&gt;AB13,0,IF(AC13&lt;AD13,M13,IF((AND((AC13&gt;=AD13),(AC13&lt;=AB13))),(M13-Q13),IF((AND((AD13&lt;=AA13),(AB13&gt;=AA13))),0,IF(AC13&gt;AB13,((AD13-AA13)*12)*N13,0)))))</f>
        <v>4863</v>
      </c>
      <c r="V13" s="107">
        <f t="shared" ref="V13:V86" si="6">U13*R13</f>
        <v>4863</v>
      </c>
      <c r="W13" s="105">
        <v>1</v>
      </c>
      <c r="X13" s="107">
        <f t="shared" ref="X13:X86" si="7">V13*W13</f>
        <v>4863</v>
      </c>
      <c r="Y13" s="107">
        <f t="shared" ref="Y13:Y86" si="8">IF(L13&gt;0,0,X13+S13*W13)*W13</f>
        <v>4863</v>
      </c>
      <c r="Z13" s="107">
        <f t="shared" ref="Z13:Z86" si="9">IF(L13&gt;0,(K13-X13)/2,IF(AA13&gt;=AD13,(((K13*R13)*W13)-Y13)/2,((((K13*R13)*W13)-X13)+(((K13*R13)*W13)-Y13))/2))</f>
        <v>0</v>
      </c>
      <c r="AA13" s="107">
        <f t="shared" ref="AA13:AA86" si="10">$C13+(($D13-1)/12)</f>
        <v>1995.5</v>
      </c>
      <c r="AB13" s="107">
        <f t="shared" ref="AB13:AB86" si="11">($M$5+1)-($M$2/12)</f>
        <v>2017.5</v>
      </c>
      <c r="AC13" s="107">
        <f t="shared" ref="AC13:AC86" si="12">$H13+(($D13-1)/12)</f>
        <v>2002.5</v>
      </c>
      <c r="AD13" s="108">
        <f t="shared" ref="AD13:AD86" si="13">$M$4+($M$3/12)</f>
        <v>2016.5</v>
      </c>
      <c r="AE13" s="108">
        <f t="shared" ref="AE13:AE86" si="14">$I13+(($J13-1)/12)</f>
        <v>-8.3333333333333329E-2</v>
      </c>
      <c r="AF13" s="108">
        <f t="shared" ref="AF13:AF86" si="15">$H13+(($D13-1)/12)</f>
        <v>2002.5</v>
      </c>
      <c r="AG13" s="108">
        <f t="shared" ref="AG13:AG86" si="16">$M$4+($M$3/12)</f>
        <v>2016.5</v>
      </c>
      <c r="AH13" s="108">
        <f t="shared" ref="AH13:AH86" si="17">$I13+(($J13-1)/12)</f>
        <v>-8.3333333333333329E-2</v>
      </c>
    </row>
    <row r="14" spans="1:34" x14ac:dyDescent="0.25">
      <c r="A14">
        <v>2</v>
      </c>
      <c r="B14" t="s">
        <v>437</v>
      </c>
      <c r="C14">
        <v>2000</v>
      </c>
      <c r="D14">
        <v>11</v>
      </c>
      <c r="E14" s="75"/>
      <c r="F14" s="34" t="s">
        <v>436</v>
      </c>
      <c r="G14">
        <v>7</v>
      </c>
      <c r="H14">
        <f t="shared" ref="H14:H86" si="18">+C14+G14</f>
        <v>2007</v>
      </c>
      <c r="K14" s="32">
        <v>3883</v>
      </c>
      <c r="L14" s="32"/>
      <c r="M14" s="32">
        <f t="shared" ref="M14:M86" si="19">+K14-K14*E14</f>
        <v>3883</v>
      </c>
      <c r="N14" s="107">
        <f t="shared" si="0"/>
        <v>46.226190476190474</v>
      </c>
      <c r="O14" s="107">
        <f t="shared" si="1"/>
        <v>0</v>
      </c>
      <c r="P14" s="107">
        <f t="shared" si="2"/>
        <v>0</v>
      </c>
      <c r="Q14" s="107">
        <f t="shared" si="3"/>
        <v>0</v>
      </c>
      <c r="R14" s="105">
        <v>1</v>
      </c>
      <c r="S14" s="107">
        <f t="shared" si="4"/>
        <v>0</v>
      </c>
      <c r="T14" s="105"/>
      <c r="U14" s="107">
        <f t="shared" si="5"/>
        <v>3883</v>
      </c>
      <c r="V14" s="107">
        <f t="shared" si="6"/>
        <v>3883</v>
      </c>
      <c r="W14" s="105">
        <v>1</v>
      </c>
      <c r="X14" s="107">
        <f t="shared" si="7"/>
        <v>3883</v>
      </c>
      <c r="Y14" s="107">
        <f t="shared" si="8"/>
        <v>3883</v>
      </c>
      <c r="Z14" s="107">
        <f t="shared" si="9"/>
        <v>0</v>
      </c>
      <c r="AA14" s="107">
        <f t="shared" si="10"/>
        <v>2000.8333333333333</v>
      </c>
      <c r="AB14" s="107">
        <f t="shared" si="11"/>
        <v>2017.5</v>
      </c>
      <c r="AC14" s="107">
        <f t="shared" si="12"/>
        <v>2007.8333333333333</v>
      </c>
      <c r="AD14" s="108">
        <f t="shared" si="13"/>
        <v>2016.5</v>
      </c>
      <c r="AE14" s="108">
        <f t="shared" si="14"/>
        <v>-8.3333333333333329E-2</v>
      </c>
      <c r="AF14" s="108">
        <f t="shared" si="15"/>
        <v>2007.8333333333333</v>
      </c>
      <c r="AG14" s="108">
        <f t="shared" si="16"/>
        <v>2016.5</v>
      </c>
      <c r="AH14" s="108">
        <f t="shared" si="17"/>
        <v>-8.3333333333333329E-2</v>
      </c>
    </row>
    <row r="15" spans="1:34" x14ac:dyDescent="0.25">
      <c r="A15">
        <v>3</v>
      </c>
      <c r="B15" t="s">
        <v>438</v>
      </c>
      <c r="C15">
        <v>2001</v>
      </c>
      <c r="D15">
        <v>2</v>
      </c>
      <c r="E15" s="75"/>
      <c r="F15" s="34" t="s">
        <v>436</v>
      </c>
      <c r="G15">
        <v>7</v>
      </c>
      <c r="H15">
        <f t="shared" si="18"/>
        <v>2008</v>
      </c>
      <c r="K15" s="32">
        <v>3122</v>
      </c>
      <c r="L15" s="32"/>
      <c r="M15" s="32">
        <f t="shared" si="19"/>
        <v>3122</v>
      </c>
      <c r="N15" s="107">
        <f t="shared" si="0"/>
        <v>37.166666666666664</v>
      </c>
      <c r="O15" s="107">
        <f t="shared" si="1"/>
        <v>0</v>
      </c>
      <c r="P15" s="107">
        <f t="shared" si="2"/>
        <v>0</v>
      </c>
      <c r="Q15" s="107">
        <f t="shared" si="3"/>
        <v>0</v>
      </c>
      <c r="R15" s="105">
        <v>1</v>
      </c>
      <c r="S15" s="107">
        <f t="shared" si="4"/>
        <v>0</v>
      </c>
      <c r="T15" s="105"/>
      <c r="U15" s="107">
        <f t="shared" si="5"/>
        <v>3122</v>
      </c>
      <c r="V15" s="107">
        <f t="shared" si="6"/>
        <v>3122</v>
      </c>
      <c r="W15" s="105">
        <v>1</v>
      </c>
      <c r="X15" s="107">
        <f t="shared" si="7"/>
        <v>3122</v>
      </c>
      <c r="Y15" s="107">
        <f t="shared" si="8"/>
        <v>3122</v>
      </c>
      <c r="Z15" s="107">
        <f t="shared" si="9"/>
        <v>0</v>
      </c>
      <c r="AA15" s="107">
        <f t="shared" si="10"/>
        <v>2001.0833333333333</v>
      </c>
      <c r="AB15" s="107">
        <f t="shared" si="11"/>
        <v>2017.5</v>
      </c>
      <c r="AC15" s="107">
        <f t="shared" si="12"/>
        <v>2008.0833333333333</v>
      </c>
      <c r="AD15" s="108">
        <f t="shared" si="13"/>
        <v>2016.5</v>
      </c>
      <c r="AE15" s="108">
        <f t="shared" si="14"/>
        <v>-8.3333333333333329E-2</v>
      </c>
      <c r="AF15" s="108">
        <f t="shared" si="15"/>
        <v>2008.0833333333333</v>
      </c>
      <c r="AG15" s="108">
        <f t="shared" si="16"/>
        <v>2016.5</v>
      </c>
      <c r="AH15" s="108">
        <f t="shared" si="17"/>
        <v>-8.3333333333333329E-2</v>
      </c>
    </row>
    <row r="16" spans="1:34" x14ac:dyDescent="0.25">
      <c r="A16">
        <v>4</v>
      </c>
      <c r="B16" t="s">
        <v>439</v>
      </c>
      <c r="C16">
        <v>2002</v>
      </c>
      <c r="D16">
        <v>3</v>
      </c>
      <c r="E16" s="75"/>
      <c r="F16" s="34" t="s">
        <v>436</v>
      </c>
      <c r="G16">
        <v>5</v>
      </c>
      <c r="H16">
        <f t="shared" si="18"/>
        <v>2007</v>
      </c>
      <c r="K16" s="32">
        <v>1188</v>
      </c>
      <c r="L16" s="32"/>
      <c r="M16" s="32">
        <f t="shared" si="19"/>
        <v>1188</v>
      </c>
      <c r="N16" s="107">
        <f t="shared" si="0"/>
        <v>19.8</v>
      </c>
      <c r="O16" s="107">
        <f t="shared" si="1"/>
        <v>0</v>
      </c>
      <c r="P16" s="107">
        <f t="shared" si="2"/>
        <v>0</v>
      </c>
      <c r="Q16" s="107">
        <f t="shared" si="3"/>
        <v>0</v>
      </c>
      <c r="R16" s="105">
        <v>1</v>
      </c>
      <c r="S16" s="107">
        <f t="shared" si="4"/>
        <v>0</v>
      </c>
      <c r="T16" s="105"/>
      <c r="U16" s="107">
        <f t="shared" si="5"/>
        <v>1188</v>
      </c>
      <c r="V16" s="107">
        <f t="shared" si="6"/>
        <v>1188</v>
      </c>
      <c r="W16" s="105">
        <v>1</v>
      </c>
      <c r="X16" s="107">
        <f t="shared" si="7"/>
        <v>1188</v>
      </c>
      <c r="Y16" s="107">
        <f t="shared" si="8"/>
        <v>1188</v>
      </c>
      <c r="Z16" s="107">
        <f t="shared" si="9"/>
        <v>0</v>
      </c>
      <c r="AA16" s="107">
        <f t="shared" si="10"/>
        <v>2002.1666666666667</v>
      </c>
      <c r="AB16" s="107">
        <f t="shared" si="11"/>
        <v>2017.5</v>
      </c>
      <c r="AC16" s="107">
        <f t="shared" si="12"/>
        <v>2007.1666666666667</v>
      </c>
      <c r="AD16" s="108">
        <f t="shared" si="13"/>
        <v>2016.5</v>
      </c>
      <c r="AE16" s="108">
        <f t="shared" si="14"/>
        <v>-8.3333333333333329E-2</v>
      </c>
      <c r="AF16" s="108">
        <f t="shared" si="15"/>
        <v>2007.1666666666667</v>
      </c>
      <c r="AG16" s="108">
        <f t="shared" si="16"/>
        <v>2016.5</v>
      </c>
      <c r="AH16" s="108">
        <f t="shared" si="17"/>
        <v>-8.3333333333333329E-2</v>
      </c>
    </row>
    <row r="17" spans="1:34" x14ac:dyDescent="0.25">
      <c r="A17">
        <v>5</v>
      </c>
      <c r="B17" t="s">
        <v>435</v>
      </c>
      <c r="C17">
        <v>2004</v>
      </c>
      <c r="D17">
        <v>6</v>
      </c>
      <c r="E17" s="75"/>
      <c r="F17" s="34" t="s">
        <v>436</v>
      </c>
      <c r="G17">
        <v>7</v>
      </c>
      <c r="H17">
        <f t="shared" si="18"/>
        <v>2011</v>
      </c>
      <c r="K17" s="32">
        <v>2651</v>
      </c>
      <c r="L17" s="32"/>
      <c r="M17" s="32">
        <f t="shared" si="19"/>
        <v>2651</v>
      </c>
      <c r="N17" s="107">
        <f t="shared" si="0"/>
        <v>31.55952380952381</v>
      </c>
      <c r="O17" s="107">
        <f t="shared" si="1"/>
        <v>0</v>
      </c>
      <c r="P17" s="107">
        <f t="shared" si="2"/>
        <v>0</v>
      </c>
      <c r="Q17" s="107">
        <f t="shared" si="3"/>
        <v>0</v>
      </c>
      <c r="R17" s="105">
        <v>1</v>
      </c>
      <c r="S17" s="107">
        <f t="shared" si="4"/>
        <v>0</v>
      </c>
      <c r="T17" s="105"/>
      <c r="U17" s="107">
        <f t="shared" si="5"/>
        <v>2651</v>
      </c>
      <c r="V17" s="107">
        <f t="shared" si="6"/>
        <v>2651</v>
      </c>
      <c r="W17" s="105">
        <v>1</v>
      </c>
      <c r="X17" s="107">
        <f t="shared" si="7"/>
        <v>2651</v>
      </c>
      <c r="Y17" s="107">
        <f t="shared" si="8"/>
        <v>2651</v>
      </c>
      <c r="Z17" s="107">
        <f t="shared" si="9"/>
        <v>0</v>
      </c>
      <c r="AA17" s="107">
        <f t="shared" si="10"/>
        <v>2004.4166666666667</v>
      </c>
      <c r="AB17" s="107">
        <f t="shared" si="11"/>
        <v>2017.5</v>
      </c>
      <c r="AC17" s="107">
        <f t="shared" si="12"/>
        <v>2011.4166666666667</v>
      </c>
      <c r="AD17" s="108">
        <f t="shared" si="13"/>
        <v>2016.5</v>
      </c>
      <c r="AE17" s="108">
        <f t="shared" si="14"/>
        <v>-8.3333333333333329E-2</v>
      </c>
      <c r="AF17" s="108">
        <f t="shared" si="15"/>
        <v>2011.4166666666667</v>
      </c>
      <c r="AG17" s="108">
        <f t="shared" si="16"/>
        <v>2016.5</v>
      </c>
      <c r="AH17" s="108">
        <f t="shared" si="17"/>
        <v>-8.3333333333333329E-2</v>
      </c>
    </row>
    <row r="18" spans="1:34" x14ac:dyDescent="0.25">
      <c r="A18">
        <v>6</v>
      </c>
      <c r="B18" t="s">
        <v>440</v>
      </c>
      <c r="C18">
        <v>2007</v>
      </c>
      <c r="D18">
        <v>3</v>
      </c>
      <c r="E18" s="75"/>
      <c r="F18" s="34" t="s">
        <v>436</v>
      </c>
      <c r="G18">
        <v>7</v>
      </c>
      <c r="H18">
        <f t="shared" si="18"/>
        <v>2014</v>
      </c>
      <c r="K18" s="32">
        <v>24165</v>
      </c>
      <c r="L18" s="32"/>
      <c r="M18" s="32">
        <f t="shared" si="19"/>
        <v>24165</v>
      </c>
      <c r="N18" s="107">
        <f t="shared" si="0"/>
        <v>287.67857142857144</v>
      </c>
      <c r="O18" s="107">
        <f t="shared" si="1"/>
        <v>0</v>
      </c>
      <c r="P18" s="107">
        <f t="shared" si="2"/>
        <v>0</v>
      </c>
      <c r="Q18" s="107">
        <f t="shared" si="3"/>
        <v>0</v>
      </c>
      <c r="R18" s="105">
        <v>1</v>
      </c>
      <c r="S18" s="107">
        <f t="shared" si="4"/>
        <v>0</v>
      </c>
      <c r="T18" s="105"/>
      <c r="U18" s="107">
        <f t="shared" si="5"/>
        <v>24165</v>
      </c>
      <c r="V18" s="107">
        <f t="shared" si="6"/>
        <v>24165</v>
      </c>
      <c r="W18" s="105">
        <v>1</v>
      </c>
      <c r="X18" s="107">
        <f t="shared" si="7"/>
        <v>24165</v>
      </c>
      <c r="Y18" s="107">
        <f t="shared" si="8"/>
        <v>24165</v>
      </c>
      <c r="Z18" s="107">
        <f t="shared" si="9"/>
        <v>0</v>
      </c>
      <c r="AA18" s="107">
        <f t="shared" si="10"/>
        <v>2007.1666666666667</v>
      </c>
      <c r="AB18" s="107">
        <f t="shared" si="11"/>
        <v>2017.5</v>
      </c>
      <c r="AC18" s="107">
        <f t="shared" si="12"/>
        <v>2014.1666666666667</v>
      </c>
      <c r="AD18" s="108">
        <f t="shared" si="13"/>
        <v>2016.5</v>
      </c>
      <c r="AE18" s="108">
        <f t="shared" si="14"/>
        <v>-8.3333333333333329E-2</v>
      </c>
      <c r="AF18" s="108">
        <f t="shared" si="15"/>
        <v>2014.1666666666667</v>
      </c>
      <c r="AG18" s="108">
        <f t="shared" si="16"/>
        <v>2016.5</v>
      </c>
      <c r="AH18" s="108">
        <f t="shared" si="17"/>
        <v>-8.3333333333333329E-2</v>
      </c>
    </row>
    <row r="19" spans="1:34" x14ac:dyDescent="0.25">
      <c r="A19">
        <v>7</v>
      </c>
      <c r="B19" t="s">
        <v>440</v>
      </c>
      <c r="C19">
        <v>2006</v>
      </c>
      <c r="D19">
        <v>6</v>
      </c>
      <c r="E19" s="75"/>
      <c r="F19" s="34" t="s">
        <v>436</v>
      </c>
      <c r="G19">
        <v>3</v>
      </c>
      <c r="H19">
        <f t="shared" si="18"/>
        <v>2009</v>
      </c>
      <c r="K19" s="32">
        <v>46600</v>
      </c>
      <c r="L19" s="32"/>
      <c r="M19" s="32">
        <f t="shared" si="19"/>
        <v>46600</v>
      </c>
      <c r="N19" s="107">
        <f t="shared" si="0"/>
        <v>1294.4444444444446</v>
      </c>
      <c r="O19" s="107">
        <f t="shared" si="1"/>
        <v>0</v>
      </c>
      <c r="P19" s="107">
        <f t="shared" si="2"/>
        <v>0</v>
      </c>
      <c r="Q19" s="107">
        <f t="shared" si="3"/>
        <v>0</v>
      </c>
      <c r="R19" s="105">
        <v>1</v>
      </c>
      <c r="S19" s="107">
        <f t="shared" si="4"/>
        <v>0</v>
      </c>
      <c r="T19" s="105"/>
      <c r="U19" s="107">
        <f t="shared" si="5"/>
        <v>46600</v>
      </c>
      <c r="V19" s="107">
        <f t="shared" si="6"/>
        <v>46600</v>
      </c>
      <c r="W19" s="105">
        <v>1</v>
      </c>
      <c r="X19" s="107">
        <f t="shared" si="7"/>
        <v>46600</v>
      </c>
      <c r="Y19" s="107">
        <f t="shared" si="8"/>
        <v>46600</v>
      </c>
      <c r="Z19" s="107">
        <f t="shared" si="9"/>
        <v>0</v>
      </c>
      <c r="AA19" s="107">
        <f t="shared" si="10"/>
        <v>2006.4166666666667</v>
      </c>
      <c r="AB19" s="107">
        <f t="shared" si="11"/>
        <v>2017.5</v>
      </c>
      <c r="AC19" s="107">
        <f t="shared" si="12"/>
        <v>2009.4166666666667</v>
      </c>
      <c r="AD19" s="108">
        <f t="shared" si="13"/>
        <v>2016.5</v>
      </c>
      <c r="AE19" s="108">
        <f t="shared" si="14"/>
        <v>-8.3333333333333329E-2</v>
      </c>
      <c r="AF19" s="108">
        <f t="shared" si="15"/>
        <v>2009.4166666666667</v>
      </c>
      <c r="AG19" s="108">
        <f t="shared" si="16"/>
        <v>2016.5</v>
      </c>
      <c r="AH19" s="108">
        <f t="shared" si="17"/>
        <v>-8.3333333333333329E-2</v>
      </c>
    </row>
    <row r="20" spans="1:34" x14ac:dyDescent="0.25">
      <c r="A20">
        <v>8</v>
      </c>
      <c r="B20" t="s">
        <v>441</v>
      </c>
      <c r="C20">
        <v>2007</v>
      </c>
      <c r="D20">
        <v>6</v>
      </c>
      <c r="E20" s="75"/>
      <c r="F20" s="34" t="s">
        <v>436</v>
      </c>
      <c r="G20">
        <v>5</v>
      </c>
      <c r="H20">
        <f t="shared" si="18"/>
        <v>2012</v>
      </c>
      <c r="K20" s="32">
        <v>2900</v>
      </c>
      <c r="L20" s="32"/>
      <c r="M20" s="32">
        <f t="shared" si="19"/>
        <v>2900</v>
      </c>
      <c r="N20" s="107">
        <f t="shared" si="0"/>
        <v>48.333333333333336</v>
      </c>
      <c r="O20" s="107">
        <f t="shared" si="1"/>
        <v>0</v>
      </c>
      <c r="P20" s="107">
        <f t="shared" si="2"/>
        <v>0</v>
      </c>
      <c r="Q20" s="107">
        <f t="shared" si="3"/>
        <v>0</v>
      </c>
      <c r="R20" s="105">
        <v>1</v>
      </c>
      <c r="S20" s="107">
        <f t="shared" si="4"/>
        <v>0</v>
      </c>
      <c r="T20" s="105"/>
      <c r="U20" s="107">
        <f t="shared" si="5"/>
        <v>2900</v>
      </c>
      <c r="V20" s="107">
        <f t="shared" si="6"/>
        <v>2900</v>
      </c>
      <c r="W20" s="105">
        <v>1</v>
      </c>
      <c r="X20" s="107">
        <f t="shared" si="7"/>
        <v>2900</v>
      </c>
      <c r="Y20" s="107">
        <f t="shared" si="8"/>
        <v>2900</v>
      </c>
      <c r="Z20" s="107">
        <f t="shared" si="9"/>
        <v>0</v>
      </c>
      <c r="AA20" s="107">
        <f t="shared" si="10"/>
        <v>2007.4166666666667</v>
      </c>
      <c r="AB20" s="107">
        <f t="shared" si="11"/>
        <v>2017.5</v>
      </c>
      <c r="AC20" s="107">
        <f t="shared" si="12"/>
        <v>2012.4166666666667</v>
      </c>
      <c r="AD20" s="108">
        <f t="shared" si="13"/>
        <v>2016.5</v>
      </c>
      <c r="AE20" s="108">
        <f t="shared" si="14"/>
        <v>-8.3333333333333329E-2</v>
      </c>
      <c r="AF20" s="108">
        <f t="shared" si="15"/>
        <v>2012.4166666666667</v>
      </c>
      <c r="AG20" s="108">
        <f t="shared" si="16"/>
        <v>2016.5</v>
      </c>
      <c r="AH20" s="108">
        <f t="shared" si="17"/>
        <v>-8.3333333333333329E-2</v>
      </c>
    </row>
    <row r="21" spans="1:34" x14ac:dyDescent="0.25">
      <c r="A21">
        <v>9</v>
      </c>
      <c r="B21" t="s">
        <v>442</v>
      </c>
      <c r="C21">
        <v>2007</v>
      </c>
      <c r="D21">
        <v>6</v>
      </c>
      <c r="E21" s="75"/>
      <c r="F21" s="34" t="s">
        <v>436</v>
      </c>
      <c r="G21">
        <v>5</v>
      </c>
      <c r="H21">
        <f t="shared" si="18"/>
        <v>2012</v>
      </c>
      <c r="K21" s="32">
        <v>3000</v>
      </c>
      <c r="L21" s="32"/>
      <c r="M21" s="32">
        <f t="shared" si="19"/>
        <v>3000</v>
      </c>
      <c r="N21" s="107">
        <f t="shared" si="0"/>
        <v>50</v>
      </c>
      <c r="O21" s="107">
        <f t="shared" si="1"/>
        <v>0</v>
      </c>
      <c r="P21" s="107">
        <f t="shared" si="2"/>
        <v>0</v>
      </c>
      <c r="Q21" s="107">
        <f t="shared" si="3"/>
        <v>0</v>
      </c>
      <c r="R21" s="105">
        <v>1</v>
      </c>
      <c r="S21" s="107">
        <f t="shared" si="4"/>
        <v>0</v>
      </c>
      <c r="T21" s="105"/>
      <c r="U21" s="107">
        <f t="shared" si="5"/>
        <v>3000</v>
      </c>
      <c r="V21" s="107">
        <f t="shared" si="6"/>
        <v>3000</v>
      </c>
      <c r="W21" s="105">
        <v>1</v>
      </c>
      <c r="X21" s="107">
        <f t="shared" si="7"/>
        <v>3000</v>
      </c>
      <c r="Y21" s="107">
        <f t="shared" si="8"/>
        <v>3000</v>
      </c>
      <c r="Z21" s="107">
        <f t="shared" si="9"/>
        <v>0</v>
      </c>
      <c r="AA21" s="107">
        <f t="shared" si="10"/>
        <v>2007.4166666666667</v>
      </c>
      <c r="AB21" s="107">
        <f t="shared" si="11"/>
        <v>2017.5</v>
      </c>
      <c r="AC21" s="107">
        <f t="shared" si="12"/>
        <v>2012.4166666666667</v>
      </c>
      <c r="AD21" s="108">
        <f t="shared" si="13"/>
        <v>2016.5</v>
      </c>
      <c r="AE21" s="108">
        <f t="shared" si="14"/>
        <v>-8.3333333333333329E-2</v>
      </c>
      <c r="AF21" s="108">
        <f t="shared" si="15"/>
        <v>2012.4166666666667</v>
      </c>
      <c r="AG21" s="108">
        <f t="shared" si="16"/>
        <v>2016.5</v>
      </c>
      <c r="AH21" s="108">
        <f t="shared" si="17"/>
        <v>-8.3333333333333329E-2</v>
      </c>
    </row>
    <row r="22" spans="1:34" x14ac:dyDescent="0.25">
      <c r="A22">
        <v>100</v>
      </c>
      <c r="B22" t="s">
        <v>443</v>
      </c>
      <c r="C22">
        <v>2009</v>
      </c>
      <c r="D22">
        <v>8</v>
      </c>
      <c r="E22" s="75"/>
      <c r="F22" s="34" t="s">
        <v>436</v>
      </c>
      <c r="G22">
        <v>3</v>
      </c>
      <c r="H22">
        <f>+C22+G22</f>
        <v>2012</v>
      </c>
      <c r="K22" s="32">
        <v>2363</v>
      </c>
      <c r="L22" s="32"/>
      <c r="M22" s="32">
        <f>+K22-K22*E22</f>
        <v>2363</v>
      </c>
      <c r="N22" s="107">
        <f>M22/G22/12</f>
        <v>65.638888888888886</v>
      </c>
      <c r="O22" s="107">
        <f>IF(L22&gt;0,0,IF((OR((AA22&gt;AB22),(AC22&lt;AD22))),0,IF((AND((AC22&gt;=AD22),(AC22&lt;=AB22))),N22*((AC22-AD22)*12),IF((AND((AD22&lt;=AA22),(AB22&gt;=AA22))),((AB22-AA22)*12)*N22,IF(AC22&gt;AB22,12*N22,0)))))</f>
        <v>0</v>
      </c>
      <c r="P22" s="107">
        <f>IF(L22=0,0,IF((AND((AE22&gt;=AD22),(AE22&lt;=AC22))),((AE22-AD22)*12)*N22,0))</f>
        <v>0</v>
      </c>
      <c r="Q22" s="107">
        <f>IF(P22&gt;0,P22,O22)</f>
        <v>0</v>
      </c>
      <c r="R22" s="105">
        <v>1</v>
      </c>
      <c r="S22" s="107">
        <f>R22*SUM(O22:P22)</f>
        <v>0</v>
      </c>
      <c r="T22" s="105"/>
      <c r="U22" s="107">
        <f>IF(AA22&gt;AB22,0,IF(AC22&lt;AD22,M22,IF((AND((AC22&gt;=AD22),(AC22&lt;=AB22))),(M22-Q22),IF((AND((AD22&lt;=AA22),(AB22&gt;=AA22))),0,IF(AC22&gt;AB22,((AD22-AA22)*12)*N22,0)))))</f>
        <v>2363</v>
      </c>
      <c r="V22" s="107">
        <f>U22*R22</f>
        <v>2363</v>
      </c>
      <c r="W22" s="105">
        <v>1</v>
      </c>
      <c r="X22" s="107">
        <f>V22*W22</f>
        <v>2363</v>
      </c>
      <c r="Y22" s="107">
        <f>IF(L22&gt;0,0,X22+S22*W22)*W22</f>
        <v>2363</v>
      </c>
      <c r="Z22" s="107">
        <f>IF(L22&gt;0,(K22-X22)/2,IF(AA22&gt;=AD22,(((K22*R22)*W22)-Y22)/2,((((K22*R22)*W22)-X22)+(((K22*R22)*W22)-Y22))/2))</f>
        <v>0</v>
      </c>
      <c r="AA22" s="107">
        <f>$C22+(($D22-1)/12)</f>
        <v>2009.5833333333333</v>
      </c>
      <c r="AB22" s="107">
        <f>($M$5+1)-($M$2/12)</f>
        <v>2017.5</v>
      </c>
      <c r="AC22" s="107">
        <f>$H22+(($D22-1)/12)</f>
        <v>2012.5833333333333</v>
      </c>
      <c r="AD22" s="108">
        <f>$M$4+($M$3/12)</f>
        <v>2016.5</v>
      </c>
      <c r="AE22" s="108">
        <f>$I22+(($J22-1)/12)</f>
        <v>-8.3333333333333329E-2</v>
      </c>
      <c r="AF22" s="108">
        <f>$H22+(($D22-1)/12)</f>
        <v>2012.5833333333333</v>
      </c>
      <c r="AG22" s="108">
        <f>$M$4+($M$3/12)</f>
        <v>2016.5</v>
      </c>
      <c r="AH22" s="108">
        <f>$I22+(($J22-1)/12)</f>
        <v>-8.3333333333333329E-2</v>
      </c>
    </row>
    <row r="23" spans="1:34" x14ac:dyDescent="0.25">
      <c r="A23">
        <v>101</v>
      </c>
      <c r="B23" t="s">
        <v>444</v>
      </c>
      <c r="C23">
        <v>2009</v>
      </c>
      <c r="D23">
        <v>11</v>
      </c>
      <c r="E23" s="75"/>
      <c r="F23" s="34" t="s">
        <v>436</v>
      </c>
      <c r="G23">
        <v>3</v>
      </c>
      <c r="H23">
        <f>+C23+G23</f>
        <v>2012</v>
      </c>
      <c r="K23" s="32">
        <v>1422</v>
      </c>
      <c r="L23" s="32"/>
      <c r="M23" s="32">
        <f>+K23-K23*E23</f>
        <v>1422</v>
      </c>
      <c r="N23" s="107">
        <f>M23/G23/12</f>
        <v>39.5</v>
      </c>
      <c r="O23" s="107">
        <f>IF(L23&gt;0,0,IF((OR((AA23&gt;AB23),(AC23&lt;AD23))),0,IF((AND((AC23&gt;=AD23),(AC23&lt;=AB23))),N23*((AC23-AD23)*12),IF((AND((AD23&lt;=AA23),(AB23&gt;=AA23))),((AB23-AA23)*12)*N23,IF(AC23&gt;AB23,12*N23,0)))))</f>
        <v>0</v>
      </c>
      <c r="P23" s="107">
        <f>IF(L23=0,0,IF((AND((AE23&gt;=AD23),(AE23&lt;=AC23))),((AE23-AD23)*12)*N23,0))</f>
        <v>0</v>
      </c>
      <c r="Q23" s="107">
        <f>IF(P23&gt;0,P23,O23)</f>
        <v>0</v>
      </c>
      <c r="R23" s="105">
        <v>1</v>
      </c>
      <c r="S23" s="107">
        <f>R23*SUM(O23:P23)</f>
        <v>0</v>
      </c>
      <c r="T23" s="105"/>
      <c r="U23" s="107">
        <f>IF(AA23&gt;AB23,0,IF(AC23&lt;AD23,M23,IF((AND((AC23&gt;=AD23),(AC23&lt;=AB23))),(M23-Q23),IF((AND((AD23&lt;=AA23),(AB23&gt;=AA23))),0,IF(AC23&gt;AB23,((AD23-AA23)*12)*N23,0)))))</f>
        <v>1422</v>
      </c>
      <c r="V23" s="107">
        <f>U23*R23</f>
        <v>1422</v>
      </c>
      <c r="W23" s="105">
        <v>1</v>
      </c>
      <c r="X23" s="107">
        <f>V23*W23</f>
        <v>1422</v>
      </c>
      <c r="Y23" s="107">
        <f>IF(L23&gt;0,0,X23+S23*W23)*W23</f>
        <v>1422</v>
      </c>
      <c r="Z23" s="107">
        <f>IF(L23&gt;0,(K23-X23)/2,IF(AA23&gt;=AD23,(((K23*R23)*W23)-Y23)/2,((((K23*R23)*W23)-X23)+(((K23*R23)*W23)-Y23))/2))</f>
        <v>0</v>
      </c>
      <c r="AA23" s="107">
        <f>$C23+(($D23-1)/12)</f>
        <v>2009.8333333333333</v>
      </c>
      <c r="AB23" s="107">
        <f>($M$5+1)-($M$2/12)</f>
        <v>2017.5</v>
      </c>
      <c r="AC23" s="107">
        <f>$H23+(($D23-1)/12)</f>
        <v>2012.8333333333333</v>
      </c>
      <c r="AD23" s="108">
        <f>$M$4+($M$3/12)</f>
        <v>2016.5</v>
      </c>
      <c r="AE23" s="108">
        <f>$I23+(($J23-1)/12)</f>
        <v>-8.3333333333333329E-2</v>
      </c>
      <c r="AF23" s="108">
        <f>$H23+(($D23-1)/12)</f>
        <v>2012.8333333333333</v>
      </c>
      <c r="AG23" s="108">
        <f>$M$4+($M$3/12)</f>
        <v>2016.5</v>
      </c>
      <c r="AH23" s="108">
        <f>$I23+(($J23-1)/12)</f>
        <v>-8.3333333333333329E-2</v>
      </c>
    </row>
    <row r="24" spans="1:34" x14ac:dyDescent="0.25">
      <c r="A24">
        <v>170</v>
      </c>
      <c r="B24" t="s">
        <v>445</v>
      </c>
      <c r="C24">
        <v>2012</v>
      </c>
      <c r="D24">
        <v>7</v>
      </c>
      <c r="E24" s="75"/>
      <c r="F24" s="34" t="s">
        <v>436</v>
      </c>
      <c r="G24">
        <v>3</v>
      </c>
      <c r="H24">
        <f>+C24+G24</f>
        <v>2015</v>
      </c>
      <c r="K24" s="32">
        <v>1111</v>
      </c>
      <c r="L24" s="32"/>
      <c r="M24" s="32">
        <f>+K24-K24*E24</f>
        <v>1111</v>
      </c>
      <c r="N24" s="107">
        <f>M24/G24/12</f>
        <v>30.861111111111111</v>
      </c>
      <c r="O24" s="107">
        <f>IF(L24&gt;0,0,IF((OR((AA24&gt;AB24),(AC24&lt;AD24))),0,IF((AND((AC24&gt;=AD24),(AC24&lt;=AB24))),N24*((AC24-AD24)*12),IF((AND((AD24&lt;=AA24),(AB24&gt;=AA24))),((AB24-AA24)*12)*N24,IF(AC24&gt;AB24,12*N24,0)))))</f>
        <v>0</v>
      </c>
      <c r="P24" s="107">
        <f>IF(L24=0,0,IF((AND((AE24&gt;=AD24),(AE24&lt;=AC24))),((AE24-AD24)*12)*N24,0))</f>
        <v>0</v>
      </c>
      <c r="Q24" s="107">
        <f>IF(P24&gt;0,P24,O24)</f>
        <v>0</v>
      </c>
      <c r="R24" s="105">
        <v>1</v>
      </c>
      <c r="S24" s="107">
        <f>R24*SUM(O24:P24)</f>
        <v>0</v>
      </c>
      <c r="T24" s="105"/>
      <c r="U24" s="107">
        <f>IF(AA24&gt;AB24,0,IF(AC24&lt;AD24,M24,IF((AND((AC24&gt;=AD24),(AC24&lt;=AB24))),(M24-Q24),IF((AND((AD24&lt;=AA24),(AB24&gt;=AA24))),0,IF(AC24&gt;AB24,((AD24-AA24)*12)*N24,0)))))</f>
        <v>1111</v>
      </c>
      <c r="V24" s="107">
        <f>U24*R24</f>
        <v>1111</v>
      </c>
      <c r="W24" s="105">
        <v>1</v>
      </c>
      <c r="X24" s="107">
        <f>V24*W24</f>
        <v>1111</v>
      </c>
      <c r="Y24" s="107">
        <f>IF(L24&gt;0,0,X24+S24*W24)*W24</f>
        <v>1111</v>
      </c>
      <c r="Z24" s="107">
        <f>IF(L24&gt;0,(K24-X24)/2,IF(AA24&gt;=AD24,(((K24*R24)*W24)-Y24)/2,((((K24*R24)*W24)-X24)+(((K24*R24)*W24)-Y24))/2))</f>
        <v>0</v>
      </c>
      <c r="AA24" s="107">
        <f>$C24+(($D24-1)/12)</f>
        <v>2012.5</v>
      </c>
      <c r="AB24" s="107">
        <f>($M$5+1)-($M$2/12)</f>
        <v>2017.5</v>
      </c>
      <c r="AC24" s="107">
        <f>$H24+(($D24-1)/12)</f>
        <v>2015.5</v>
      </c>
      <c r="AD24" s="108">
        <f>$M$4+($M$3/12)</f>
        <v>2016.5</v>
      </c>
      <c r="AE24" s="108">
        <f>$I24+(($J24-1)/12)</f>
        <v>-8.3333333333333329E-2</v>
      </c>
      <c r="AF24" s="108">
        <f>$H24+(($D24-1)/12)</f>
        <v>2015.5</v>
      </c>
      <c r="AG24" s="108">
        <f>$M$4+($M$3/12)</f>
        <v>2016.5</v>
      </c>
      <c r="AH24" s="108">
        <f>$I24+(($J24-1)/12)</f>
        <v>-8.3333333333333329E-2</v>
      </c>
    </row>
    <row r="25" spans="1:34" x14ac:dyDescent="0.25">
      <c r="A25">
        <v>221</v>
      </c>
      <c r="B25" t="s">
        <v>446</v>
      </c>
      <c r="C25">
        <v>2014</v>
      </c>
      <c r="D25">
        <v>12</v>
      </c>
      <c r="E25" s="75"/>
      <c r="F25" s="34" t="s">
        <v>436</v>
      </c>
      <c r="G25">
        <v>7</v>
      </c>
      <c r="H25">
        <f>+C25+G25</f>
        <v>2021</v>
      </c>
      <c r="K25" s="110">
        <v>3000</v>
      </c>
      <c r="L25" s="110"/>
      <c r="M25" s="110">
        <f>+K25-K25*E25</f>
        <v>3000</v>
      </c>
      <c r="N25" s="111">
        <f>M25/G25/12</f>
        <v>35.714285714285715</v>
      </c>
      <c r="O25" s="111">
        <f>IF(L25&gt;0,0,IF((OR((AA25&gt;AB25),(AC25&lt;AD25))),0,IF((AND((AC25&gt;=AD25),(AC25&lt;=AB25))),N25*((AC25-AD25)*12),IF((AND((AD25&lt;=AA25),(AB25&gt;=AA25))),((AB25-AA25)*12)*N25,IF(AC25&gt;AB25,12*N25,0)))))</f>
        <v>428.57142857142856</v>
      </c>
      <c r="P25" s="111">
        <f>IF(L25=0,0,IF((AND((AE25&gt;=AD25),(AE25&lt;=AC25))),((AE25-AD25)*12)*N25,0))</f>
        <v>0</v>
      </c>
      <c r="Q25" s="111">
        <f>IF(P25&gt;0,P25,O25)</f>
        <v>428.57142857142856</v>
      </c>
      <c r="R25" s="112">
        <v>1</v>
      </c>
      <c r="S25" s="111">
        <f>R25*SUM(O25:P25)</f>
        <v>428.57142857142856</v>
      </c>
      <c r="T25" s="112"/>
      <c r="U25" s="111">
        <f>IF(AA25&gt;AB25,0,IF(AC25&lt;AD25,M25,IF((AND((AC25&gt;=AD25),(AC25&lt;=AB25))),(M25-Q25),IF((AND((AD25&lt;=AA25),(AB25&gt;=AA25))),0,IF(AC25&gt;AB25,((AD25-AA25)*12)*N25,0)))))</f>
        <v>678.57142857139615</v>
      </c>
      <c r="V25" s="111">
        <f>U25*R25</f>
        <v>678.57142857139615</v>
      </c>
      <c r="W25" s="112">
        <v>1</v>
      </c>
      <c r="X25" s="111">
        <f>V25*W25</f>
        <v>678.57142857139615</v>
      </c>
      <c r="Y25" s="111">
        <f>IF(L25&gt;0,0,X25+S25*W25)*W25</f>
        <v>1107.1428571428246</v>
      </c>
      <c r="Z25" s="111">
        <f>IF(L25&gt;0,(K25-X25)/2,IF(AA25&gt;=AD25,(((K25*R25)*W25)-Y25)/2,((((K25*R25)*W25)-X25)+(((K25*R25)*W25)-Y25))/2))</f>
        <v>2107.1428571428896</v>
      </c>
      <c r="AA25" s="111">
        <f>$C25+(($D25-1)/12)</f>
        <v>2014.9166666666667</v>
      </c>
      <c r="AB25" s="111">
        <f>($M$5+1)-($M$2/12)</f>
        <v>2017.5</v>
      </c>
      <c r="AC25" s="111">
        <f>$H25+(($D25-1)/12)</f>
        <v>2021.9166666666667</v>
      </c>
      <c r="AD25" s="113">
        <f>$M$4+($M$3/12)</f>
        <v>2016.5</v>
      </c>
      <c r="AE25" s="113">
        <f>$I25+(($J25-1)/12)</f>
        <v>-8.3333333333333329E-2</v>
      </c>
      <c r="AF25" s="113">
        <f>$H25+(($D25-1)/12)</f>
        <v>2021.9166666666667</v>
      </c>
      <c r="AG25" s="113">
        <f>$M$4+($M$3/12)</f>
        <v>2016.5</v>
      </c>
      <c r="AH25" s="113">
        <f>$I25+(($J25-1)/12)</f>
        <v>-8.3333333333333329E-2</v>
      </c>
    </row>
    <row r="26" spans="1:34" x14ac:dyDescent="0.25">
      <c r="A26">
        <v>242</v>
      </c>
      <c r="B26" t="s">
        <v>447</v>
      </c>
      <c r="C26">
        <v>2016</v>
      </c>
      <c r="D26">
        <v>4</v>
      </c>
      <c r="E26" s="75"/>
      <c r="F26" s="34" t="s">
        <v>436</v>
      </c>
      <c r="G26">
        <v>5</v>
      </c>
      <c r="H26">
        <f>+C26+G26</f>
        <v>2021</v>
      </c>
      <c r="K26" s="110">
        <v>1358</v>
      </c>
      <c r="L26" s="110"/>
      <c r="M26" s="110">
        <f>+K26-K26*E26</f>
        <v>1358</v>
      </c>
      <c r="N26" s="111">
        <f>M26/G26/12</f>
        <v>22.633333333333336</v>
      </c>
      <c r="O26" s="111">
        <f>IF(L26&gt;0,0,IF((OR((AA26&gt;AB26),(AC26&lt;AD26))),0,IF((AND((AC26&gt;=AD26),(AC26&lt;=AB26))),N26*((AC26-AD26)*12),IF((AND((AD26&lt;=AA26),(AB26&gt;=AA26))),((AB26-AA26)*12)*N26,IF(AC26&gt;AB26,12*N26,0)))))</f>
        <v>271.60000000000002</v>
      </c>
      <c r="P26" s="111">
        <f>IF(L26=0,0,IF((AND((AE26&gt;=AD26),(AE26&lt;=AC26))),((AE26-AD26)*12)*N26,0))</f>
        <v>0</v>
      </c>
      <c r="Q26" s="111">
        <f>IF(P26&gt;0,P26,O26)</f>
        <v>271.60000000000002</v>
      </c>
      <c r="R26" s="112">
        <v>1</v>
      </c>
      <c r="S26" s="111">
        <f>R26*SUM(O26:P26)</f>
        <v>271.60000000000002</v>
      </c>
      <c r="T26" s="112"/>
      <c r="U26" s="111">
        <f>IF(AA26&gt;AB26,0,IF(AC26&lt;AD26,M26,IF((AND((AC26&gt;=AD26),(AC26&lt;=AB26))),(M26-Q26),IF((AND((AD26&lt;=AA26),(AB26&gt;=AA26))),0,IF(AC26&gt;AB26,((AD26-AA26)*12)*N26,0)))))</f>
        <v>67.900000000000006</v>
      </c>
      <c r="V26" s="111">
        <f>U26*R26</f>
        <v>67.900000000000006</v>
      </c>
      <c r="W26" s="112">
        <v>1</v>
      </c>
      <c r="X26" s="111">
        <f>V26*W26</f>
        <v>67.900000000000006</v>
      </c>
      <c r="Y26" s="111">
        <f>IF(L26&gt;0,0,X26+S26*W26)*W26</f>
        <v>339.5</v>
      </c>
      <c r="Z26" s="111">
        <f>IF(L26&gt;0,(K26-X26)/2,IF(AA26&gt;=AD26,(((K26*R26)*W26)-Y26)/2,((((K26*R26)*W26)-X26)+(((K26*R26)*W26)-Y26))/2))</f>
        <v>1154.3</v>
      </c>
      <c r="AA26" s="111">
        <f>$C26+(($D26-1)/12)</f>
        <v>2016.25</v>
      </c>
      <c r="AB26" s="111">
        <f>($M$5+1)-($M$2/12)</f>
        <v>2017.5</v>
      </c>
      <c r="AC26" s="111">
        <f>$H26+(($D26-1)/12)</f>
        <v>2021.25</v>
      </c>
      <c r="AD26" s="113">
        <f>$M$4+($M$3/12)</f>
        <v>2016.5</v>
      </c>
      <c r="AE26" s="113">
        <f>$I26+(($J26-1)/12)</f>
        <v>-8.3333333333333329E-2</v>
      </c>
      <c r="AF26" s="113">
        <f>$H26+(($D26-1)/12)</f>
        <v>2021.25</v>
      </c>
      <c r="AG26" s="113">
        <f>$M$4+($M$3/12)</f>
        <v>2016.5</v>
      </c>
      <c r="AH26" s="113">
        <f>$I26+(($J26-1)/12)</f>
        <v>-8.3333333333333329E-2</v>
      </c>
    </row>
    <row r="27" spans="1:34" x14ac:dyDescent="0.25">
      <c r="A27">
        <v>244</v>
      </c>
      <c r="B27" t="s">
        <v>448</v>
      </c>
      <c r="C27">
        <v>2016</v>
      </c>
      <c r="D27">
        <v>4</v>
      </c>
      <c r="E27" s="75"/>
      <c r="F27" s="34" t="s">
        <v>436</v>
      </c>
      <c r="G27">
        <v>5</v>
      </c>
      <c r="H27">
        <f t="shared" ref="H27:H29" si="20">+C27+G27</f>
        <v>2021</v>
      </c>
      <c r="K27" s="110">
        <v>11914</v>
      </c>
      <c r="L27" s="110"/>
      <c r="M27" s="110">
        <f t="shared" ref="M27:M29" si="21">+K27-K27*E27</f>
        <v>11914</v>
      </c>
      <c r="N27" s="111">
        <f t="shared" ref="N27:N29" si="22">M27/G27/12</f>
        <v>198.56666666666669</v>
      </c>
      <c r="O27" s="111">
        <f t="shared" ref="O27:O29" si="23">IF(L27&gt;0,0,IF((OR((AA27&gt;AB27),(AC27&lt;AD27))),0,IF((AND((AC27&gt;=AD27),(AC27&lt;=AB27))),N27*((AC27-AD27)*12),IF((AND((AD27&lt;=AA27),(AB27&gt;=AA27))),((AB27-AA27)*12)*N27,IF(AC27&gt;AB27,12*N27,0)))))</f>
        <v>2382.8000000000002</v>
      </c>
      <c r="P27" s="111">
        <f t="shared" ref="P27:P29" si="24">IF(L27=0,0,IF((AND((AE27&gt;=AD27),(AE27&lt;=AC27))),((AE27-AD27)*12)*N27,0))</f>
        <v>0</v>
      </c>
      <c r="Q27" s="111">
        <f t="shared" ref="Q27:Q29" si="25">IF(P27&gt;0,P27,O27)</f>
        <v>2382.8000000000002</v>
      </c>
      <c r="R27" s="112">
        <v>1</v>
      </c>
      <c r="S27" s="111">
        <f t="shared" ref="S27:S29" si="26">R27*SUM(O27:P27)</f>
        <v>2382.8000000000002</v>
      </c>
      <c r="T27" s="112"/>
      <c r="U27" s="111">
        <f t="shared" ref="U27:U29" si="27">IF(AA27&gt;AB27,0,IF(AC27&lt;AD27,M27,IF((AND((AC27&gt;=AD27),(AC27&lt;=AB27))),(M27-Q27),IF((AND((AD27&lt;=AA27),(AB27&gt;=AA27))),0,IF(AC27&gt;AB27,((AD27-AA27)*12)*N27,0)))))</f>
        <v>595.70000000000005</v>
      </c>
      <c r="V27" s="111">
        <f t="shared" ref="V27:V29" si="28">U27*R27</f>
        <v>595.70000000000005</v>
      </c>
      <c r="W27" s="112">
        <v>1</v>
      </c>
      <c r="X27" s="111">
        <f t="shared" ref="X27:X29" si="29">V27*W27</f>
        <v>595.70000000000005</v>
      </c>
      <c r="Y27" s="111">
        <f t="shared" ref="Y27:Y29" si="30">IF(L27&gt;0,0,X27+S27*W27)*W27</f>
        <v>2978.5</v>
      </c>
      <c r="Z27" s="111">
        <f t="shared" ref="Z27:Z29" si="31">IF(L27&gt;0,(K27-X27)/2,IF(AA27&gt;=AD27,(((K27*R27)*W27)-Y27)/2,((((K27*R27)*W27)-X27)+(((K27*R27)*W27)-Y27))/2))</f>
        <v>10126.9</v>
      </c>
      <c r="AA27" s="111">
        <f t="shared" ref="AA27:AA29" si="32">$C27+(($D27-1)/12)</f>
        <v>2016.25</v>
      </c>
      <c r="AB27" s="111">
        <f t="shared" ref="AB27:AB29" si="33">($M$5+1)-($M$2/12)</f>
        <v>2017.5</v>
      </c>
      <c r="AC27" s="111">
        <f t="shared" ref="AC27:AC29" si="34">$H27+(($D27-1)/12)</f>
        <v>2021.25</v>
      </c>
      <c r="AD27" s="113">
        <f t="shared" ref="AD27:AD29" si="35">$M$4+($M$3/12)</f>
        <v>2016.5</v>
      </c>
      <c r="AE27" s="113">
        <f t="shared" ref="AE27:AE29" si="36">$I27+(($J27-1)/12)</f>
        <v>-8.3333333333333329E-2</v>
      </c>
      <c r="AF27" s="113">
        <f t="shared" ref="AF27:AF29" si="37">$H27+(($D27-1)/12)</f>
        <v>2021.25</v>
      </c>
      <c r="AG27" s="113">
        <f t="shared" ref="AG27:AG29" si="38">$M$4+($M$3/12)</f>
        <v>2016.5</v>
      </c>
      <c r="AH27" s="113">
        <f t="shared" ref="AH27:AH29" si="39">$I27+(($J27-1)/12)</f>
        <v>-8.3333333333333329E-2</v>
      </c>
    </row>
    <row r="28" spans="1:34" x14ac:dyDescent="0.25">
      <c r="A28">
        <v>243</v>
      </c>
      <c r="B28" t="s">
        <v>447</v>
      </c>
      <c r="C28">
        <v>2016</v>
      </c>
      <c r="D28">
        <v>6</v>
      </c>
      <c r="E28" s="75"/>
      <c r="F28" s="34" t="s">
        <v>436</v>
      </c>
      <c r="G28">
        <v>5</v>
      </c>
      <c r="H28">
        <f t="shared" si="20"/>
        <v>2021</v>
      </c>
      <c r="K28" s="110">
        <v>1990</v>
      </c>
      <c r="L28" s="110"/>
      <c r="M28" s="110">
        <f t="shared" si="21"/>
        <v>1990</v>
      </c>
      <c r="N28" s="111">
        <f t="shared" si="22"/>
        <v>33.166666666666664</v>
      </c>
      <c r="O28" s="111">
        <f t="shared" si="23"/>
        <v>398</v>
      </c>
      <c r="P28" s="111">
        <f t="shared" si="24"/>
        <v>0</v>
      </c>
      <c r="Q28" s="111">
        <f t="shared" si="25"/>
        <v>398</v>
      </c>
      <c r="R28" s="112">
        <v>1</v>
      </c>
      <c r="S28" s="111">
        <f t="shared" si="26"/>
        <v>398</v>
      </c>
      <c r="T28" s="112"/>
      <c r="U28" s="111">
        <f t="shared" si="27"/>
        <v>33.166666666636502</v>
      </c>
      <c r="V28" s="111">
        <f t="shared" si="28"/>
        <v>33.166666666636502</v>
      </c>
      <c r="W28" s="112">
        <v>1</v>
      </c>
      <c r="X28" s="111">
        <f t="shared" si="29"/>
        <v>33.166666666636502</v>
      </c>
      <c r="Y28" s="111">
        <f t="shared" si="30"/>
        <v>431.1666666666365</v>
      </c>
      <c r="Z28" s="111">
        <f t="shared" si="31"/>
        <v>1757.8333333333635</v>
      </c>
      <c r="AA28" s="111">
        <f t="shared" si="32"/>
        <v>2016.4166666666667</v>
      </c>
      <c r="AB28" s="111">
        <f t="shared" si="33"/>
        <v>2017.5</v>
      </c>
      <c r="AC28" s="111">
        <f t="shared" si="34"/>
        <v>2021.4166666666667</v>
      </c>
      <c r="AD28" s="113">
        <f t="shared" si="35"/>
        <v>2016.5</v>
      </c>
      <c r="AE28" s="113">
        <f t="shared" si="36"/>
        <v>-8.3333333333333329E-2</v>
      </c>
      <c r="AF28" s="113">
        <f t="shared" si="37"/>
        <v>2021.4166666666667</v>
      </c>
      <c r="AG28" s="113">
        <f t="shared" si="38"/>
        <v>2016.5</v>
      </c>
      <c r="AH28" s="113">
        <f t="shared" si="39"/>
        <v>-8.3333333333333329E-2</v>
      </c>
    </row>
    <row r="29" spans="1:34" x14ac:dyDescent="0.25">
      <c r="A29">
        <v>247</v>
      </c>
      <c r="B29" t="s">
        <v>449</v>
      </c>
      <c r="C29">
        <v>2016</v>
      </c>
      <c r="D29">
        <v>6</v>
      </c>
      <c r="E29" s="75"/>
      <c r="F29" s="34" t="s">
        <v>436</v>
      </c>
      <c r="G29">
        <v>7</v>
      </c>
      <c r="H29">
        <f t="shared" si="20"/>
        <v>2023</v>
      </c>
      <c r="K29" s="110">
        <v>5732</v>
      </c>
      <c r="L29" s="110"/>
      <c r="M29" s="110">
        <f t="shared" si="21"/>
        <v>5732</v>
      </c>
      <c r="N29" s="111">
        <f t="shared" si="22"/>
        <v>68.238095238095241</v>
      </c>
      <c r="O29" s="111">
        <f t="shared" si="23"/>
        <v>818.85714285714289</v>
      </c>
      <c r="P29" s="111">
        <f t="shared" si="24"/>
        <v>0</v>
      </c>
      <c r="Q29" s="111">
        <f t="shared" si="25"/>
        <v>818.85714285714289</v>
      </c>
      <c r="R29" s="112">
        <v>1</v>
      </c>
      <c r="S29" s="111">
        <f t="shared" si="26"/>
        <v>818.85714285714289</v>
      </c>
      <c r="T29" s="112"/>
      <c r="U29" s="111">
        <f t="shared" si="27"/>
        <v>68.238095238033182</v>
      </c>
      <c r="V29" s="111">
        <f t="shared" si="28"/>
        <v>68.238095238033182</v>
      </c>
      <c r="W29" s="112">
        <v>1</v>
      </c>
      <c r="X29" s="111">
        <f t="shared" si="29"/>
        <v>68.238095238033182</v>
      </c>
      <c r="Y29" s="111">
        <f t="shared" si="30"/>
        <v>887.09523809517611</v>
      </c>
      <c r="Z29" s="111">
        <f t="shared" si="31"/>
        <v>5254.3333333333958</v>
      </c>
      <c r="AA29" s="111">
        <f t="shared" si="32"/>
        <v>2016.4166666666667</v>
      </c>
      <c r="AB29" s="111">
        <f t="shared" si="33"/>
        <v>2017.5</v>
      </c>
      <c r="AC29" s="111">
        <f t="shared" si="34"/>
        <v>2023.4166666666667</v>
      </c>
      <c r="AD29" s="113">
        <f t="shared" si="35"/>
        <v>2016.5</v>
      </c>
      <c r="AE29" s="113">
        <f t="shared" si="36"/>
        <v>-8.3333333333333329E-2</v>
      </c>
      <c r="AF29" s="113">
        <f t="shared" si="37"/>
        <v>2023.4166666666667</v>
      </c>
      <c r="AG29" s="113">
        <f t="shared" si="38"/>
        <v>2016.5</v>
      </c>
      <c r="AH29" s="113">
        <f t="shared" si="39"/>
        <v>-8.3333333333333329E-2</v>
      </c>
    </row>
    <row r="30" spans="1:34" x14ac:dyDescent="0.25">
      <c r="B30" t="s">
        <v>450</v>
      </c>
      <c r="C30">
        <v>2017</v>
      </c>
      <c r="D30">
        <v>4</v>
      </c>
      <c r="E30" s="75"/>
      <c r="F30" s="34" t="s">
        <v>436</v>
      </c>
      <c r="G30">
        <v>3</v>
      </c>
      <c r="H30">
        <f>+C30+G30</f>
        <v>2020</v>
      </c>
      <c r="K30" s="114">
        <v>3061</v>
      </c>
      <c r="L30" s="114"/>
      <c r="M30" s="114">
        <f>+K30-K30*E30</f>
        <v>3061</v>
      </c>
      <c r="N30" s="115">
        <f>M30/G30/12</f>
        <v>85.027777777777786</v>
      </c>
      <c r="O30" s="115">
        <f>IF(L30&gt;0,0,IF((OR((AA30&gt;AB30),(AC30&lt;AD30))),0,IF((AND((AC30&gt;=AD30),(AC30&lt;=AB30))),N30*((AC30-AD30)*12),IF((AND((AD30&lt;=AA30),(AB30&gt;=AA30))),((AB30-AA30)*12)*N30,IF(AC30&gt;AB30,12*N30,0)))))</f>
        <v>255.08333333333337</v>
      </c>
      <c r="P30" s="115">
        <f>IF(L30=0,0,IF((AND((AE30&gt;=AD30),(AE30&lt;=AC30))),((AE30-AD30)*12)*N30,0))</f>
        <v>0</v>
      </c>
      <c r="Q30" s="115">
        <f>IF(P30&gt;0,P30,O30)</f>
        <v>255.08333333333337</v>
      </c>
      <c r="R30" s="116">
        <v>1</v>
      </c>
      <c r="S30" s="115">
        <f>R30*SUM(O30:P30)</f>
        <v>255.08333333333337</v>
      </c>
      <c r="T30" s="116"/>
      <c r="U30" s="115">
        <f>IF(AA30&gt;AB30,0,IF(AC30&lt;AD30,M30,IF((AND((AC30&gt;=AD30),(AC30&lt;=AB30))),(M30-Q30),IF((AND((AD30&lt;=AA30),(AB30&gt;=AA30))),0,IF(AC30&gt;AB30,((AD30-AA30)*12)*N30,0)))))</f>
        <v>0</v>
      </c>
      <c r="V30" s="115">
        <f>U30*R30</f>
        <v>0</v>
      </c>
      <c r="W30" s="116">
        <v>1</v>
      </c>
      <c r="X30" s="115">
        <f>V30*W30</f>
        <v>0</v>
      </c>
      <c r="Y30" s="115">
        <f>IF(L30&gt;0,0,X30+S30*W30)*W30</f>
        <v>255.08333333333337</v>
      </c>
      <c r="Z30" s="115">
        <f>IF(L30&gt;0,(K30-X30)/2,IF(AA30&gt;=AD30,(((K30*R30)*W30)-Y30)/2,((((K30*R30)*W30)-X30)+(((K30*R30)*W30)-Y30))/2))</f>
        <v>1402.9583333333333</v>
      </c>
      <c r="AA30" s="107">
        <f>$C30+(($D30-1)/12)</f>
        <v>2017.25</v>
      </c>
      <c r="AB30" s="107">
        <f>($M$5+1)-($M$2/12)</f>
        <v>2017.5</v>
      </c>
      <c r="AC30" s="107">
        <f>$H30+(($D30-1)/12)</f>
        <v>2020.25</v>
      </c>
      <c r="AD30" s="108">
        <f>$M$4+($M$3/12)</f>
        <v>2016.5</v>
      </c>
      <c r="AE30" s="108">
        <f>$I30+(($J30-1)/12)</f>
        <v>-8.3333333333333329E-2</v>
      </c>
      <c r="AF30" s="108">
        <f>$H30+(($D30-1)/12)</f>
        <v>2020.25</v>
      </c>
      <c r="AG30" s="108">
        <f>$M$4+($M$3/12)</f>
        <v>2016.5</v>
      </c>
      <c r="AH30" s="108">
        <f>$I30+(($J30-1)/12)</f>
        <v>-8.3333333333333329E-2</v>
      </c>
    </row>
    <row r="31" spans="1:34" x14ac:dyDescent="0.25">
      <c r="E31" s="75"/>
      <c r="K31" s="32">
        <f>SUM(K13:K30)</f>
        <v>124323</v>
      </c>
      <c r="L31" s="32">
        <f t="shared" ref="L31:Z31" si="40">SUM(L13:L30)</f>
        <v>0</v>
      </c>
      <c r="M31" s="32">
        <f t="shared" si="40"/>
        <v>124323</v>
      </c>
      <c r="N31" s="32">
        <f t="shared" si="40"/>
        <v>2452.448412698413</v>
      </c>
      <c r="O31" s="32">
        <f t="shared" si="40"/>
        <v>4554.9119047619051</v>
      </c>
      <c r="P31" s="32">
        <f t="shared" si="40"/>
        <v>0</v>
      </c>
      <c r="Q31" s="32">
        <f t="shared" si="40"/>
        <v>4554.9119047619051</v>
      </c>
      <c r="R31" s="32">
        <f t="shared" si="40"/>
        <v>18</v>
      </c>
      <c r="S31" s="32">
        <f t="shared" si="40"/>
        <v>4554.9119047619051</v>
      </c>
      <c r="T31" s="32">
        <f t="shared" si="40"/>
        <v>0</v>
      </c>
      <c r="U31" s="32">
        <f t="shared" si="40"/>
        <v>98711.576190476058</v>
      </c>
      <c r="V31" s="32">
        <f t="shared" si="40"/>
        <v>98711.576190476058</v>
      </c>
      <c r="W31" s="32">
        <f t="shared" si="40"/>
        <v>18</v>
      </c>
      <c r="X31" s="32">
        <f t="shared" si="40"/>
        <v>98711.576190476058</v>
      </c>
      <c r="Y31" s="32">
        <f t="shared" si="40"/>
        <v>103266.48809523798</v>
      </c>
      <c r="Z31" s="32">
        <f t="shared" si="40"/>
        <v>21803.467857142979</v>
      </c>
      <c r="AA31" s="107"/>
      <c r="AB31" s="107"/>
      <c r="AC31" s="107"/>
      <c r="AD31" s="108"/>
      <c r="AE31" s="108"/>
      <c r="AF31" s="108"/>
      <c r="AG31" s="108"/>
      <c r="AH31" s="108"/>
    </row>
    <row r="32" spans="1:34" x14ac:dyDescent="0.25">
      <c r="E32" s="75"/>
      <c r="K32" s="32"/>
      <c r="L32" s="32"/>
      <c r="M32" s="32"/>
      <c r="N32" s="107"/>
      <c r="O32" s="107"/>
      <c r="P32" s="107"/>
      <c r="Q32" s="107"/>
      <c r="R32" s="105"/>
      <c r="S32" s="107"/>
      <c r="T32" s="105"/>
      <c r="U32" s="107"/>
      <c r="V32" s="107"/>
      <c r="W32" s="105"/>
      <c r="X32" s="107"/>
      <c r="Y32" s="107"/>
      <c r="Z32" s="107"/>
      <c r="AA32" s="107"/>
      <c r="AB32" s="107"/>
      <c r="AC32" s="107"/>
      <c r="AD32" s="108"/>
      <c r="AE32" s="108"/>
      <c r="AF32" s="108"/>
      <c r="AG32" s="108"/>
      <c r="AH32" s="108"/>
    </row>
    <row r="33" spans="1:34" x14ac:dyDescent="0.25">
      <c r="A33">
        <v>10</v>
      </c>
      <c r="B33" t="s">
        <v>451</v>
      </c>
      <c r="C33">
        <v>1989</v>
      </c>
      <c r="D33">
        <v>10</v>
      </c>
      <c r="E33" s="75"/>
      <c r="F33" s="34" t="s">
        <v>436</v>
      </c>
      <c r="G33">
        <v>20</v>
      </c>
      <c r="H33">
        <f t="shared" si="18"/>
        <v>2009</v>
      </c>
      <c r="K33" s="32">
        <v>67500</v>
      </c>
      <c r="L33" s="32"/>
      <c r="M33" s="32">
        <f t="shared" si="19"/>
        <v>67500</v>
      </c>
      <c r="N33" s="107">
        <f t="shared" si="0"/>
        <v>281.25</v>
      </c>
      <c r="O33" s="107">
        <f t="shared" si="1"/>
        <v>0</v>
      </c>
      <c r="P33" s="107">
        <f t="shared" si="2"/>
        <v>0</v>
      </c>
      <c r="Q33" s="107">
        <f t="shared" si="3"/>
        <v>0</v>
      </c>
      <c r="R33" s="105">
        <v>1</v>
      </c>
      <c r="S33" s="107">
        <f t="shared" si="4"/>
        <v>0</v>
      </c>
      <c r="T33" s="105"/>
      <c r="U33" s="107">
        <f t="shared" si="5"/>
        <v>67500</v>
      </c>
      <c r="V33" s="107">
        <f t="shared" si="6"/>
        <v>67500</v>
      </c>
      <c r="W33" s="105">
        <v>1</v>
      </c>
      <c r="X33" s="107">
        <f t="shared" si="7"/>
        <v>67500</v>
      </c>
      <c r="Y33" s="107">
        <f t="shared" si="8"/>
        <v>67500</v>
      </c>
      <c r="Z33" s="107">
        <f t="shared" si="9"/>
        <v>0</v>
      </c>
      <c r="AA33" s="107">
        <f t="shared" si="10"/>
        <v>1989.75</v>
      </c>
      <c r="AB33" s="107">
        <f t="shared" si="11"/>
        <v>2017.5</v>
      </c>
      <c r="AC33" s="107">
        <f t="shared" si="12"/>
        <v>2009.75</v>
      </c>
      <c r="AD33" s="108">
        <f t="shared" si="13"/>
        <v>2016.5</v>
      </c>
      <c r="AE33" s="108">
        <f t="shared" si="14"/>
        <v>-8.3333333333333329E-2</v>
      </c>
      <c r="AF33" s="108">
        <f t="shared" si="15"/>
        <v>2009.75</v>
      </c>
      <c r="AG33" s="108">
        <f t="shared" si="16"/>
        <v>2016.5</v>
      </c>
      <c r="AH33" s="108">
        <f t="shared" si="17"/>
        <v>-8.3333333333333329E-2</v>
      </c>
    </row>
    <row r="34" spans="1:34" x14ac:dyDescent="0.25">
      <c r="A34">
        <v>11</v>
      </c>
      <c r="B34" t="s">
        <v>452</v>
      </c>
      <c r="C34">
        <v>1989</v>
      </c>
      <c r="D34">
        <v>10</v>
      </c>
      <c r="E34" s="75"/>
      <c r="F34" s="34" t="s">
        <v>436</v>
      </c>
      <c r="G34">
        <v>20</v>
      </c>
      <c r="H34">
        <f t="shared" si="18"/>
        <v>2009</v>
      </c>
      <c r="K34" s="32">
        <v>67500</v>
      </c>
      <c r="L34" s="32"/>
      <c r="M34" s="32">
        <f t="shared" si="19"/>
        <v>67500</v>
      </c>
      <c r="N34" s="107">
        <f t="shared" si="0"/>
        <v>281.25</v>
      </c>
      <c r="O34" s="107">
        <f t="shared" si="1"/>
        <v>0</v>
      </c>
      <c r="P34" s="107">
        <f t="shared" si="2"/>
        <v>0</v>
      </c>
      <c r="Q34" s="107">
        <f t="shared" si="3"/>
        <v>0</v>
      </c>
      <c r="R34" s="105">
        <v>1</v>
      </c>
      <c r="S34" s="107">
        <f t="shared" si="4"/>
        <v>0</v>
      </c>
      <c r="T34" s="105"/>
      <c r="U34" s="107">
        <f t="shared" si="5"/>
        <v>67500</v>
      </c>
      <c r="V34" s="107">
        <f t="shared" si="6"/>
        <v>67500</v>
      </c>
      <c r="W34" s="105">
        <v>1</v>
      </c>
      <c r="X34" s="107">
        <f t="shared" si="7"/>
        <v>67500</v>
      </c>
      <c r="Y34" s="107">
        <f t="shared" si="8"/>
        <v>67500</v>
      </c>
      <c r="Z34" s="107">
        <f t="shared" si="9"/>
        <v>0</v>
      </c>
      <c r="AA34" s="107">
        <f t="shared" si="10"/>
        <v>1989.75</v>
      </c>
      <c r="AB34" s="107">
        <f t="shared" si="11"/>
        <v>2017.5</v>
      </c>
      <c r="AC34" s="107">
        <f t="shared" si="12"/>
        <v>2009.75</v>
      </c>
      <c r="AD34" s="108">
        <f t="shared" si="13"/>
        <v>2016.5</v>
      </c>
      <c r="AE34" s="108">
        <f t="shared" si="14"/>
        <v>-8.3333333333333329E-2</v>
      </c>
      <c r="AF34" s="108">
        <f t="shared" si="15"/>
        <v>2009.75</v>
      </c>
      <c r="AG34" s="108">
        <f t="shared" si="16"/>
        <v>2016.5</v>
      </c>
      <c r="AH34" s="108">
        <f t="shared" si="17"/>
        <v>-8.3333333333333329E-2</v>
      </c>
    </row>
    <row r="35" spans="1:34" x14ac:dyDescent="0.25">
      <c r="A35">
        <v>12</v>
      </c>
      <c r="B35" t="s">
        <v>453</v>
      </c>
      <c r="C35">
        <v>1989</v>
      </c>
      <c r="D35">
        <v>10</v>
      </c>
      <c r="E35" s="75"/>
      <c r="F35" s="34" t="s">
        <v>436</v>
      </c>
      <c r="G35">
        <v>20</v>
      </c>
      <c r="H35">
        <f t="shared" si="18"/>
        <v>2009</v>
      </c>
      <c r="K35" s="32">
        <v>25000</v>
      </c>
      <c r="L35" s="32"/>
      <c r="M35" s="32">
        <f t="shared" si="19"/>
        <v>25000</v>
      </c>
      <c r="N35" s="107">
        <f t="shared" si="0"/>
        <v>104.16666666666667</v>
      </c>
      <c r="O35" s="107">
        <f t="shared" si="1"/>
        <v>0</v>
      </c>
      <c r="P35" s="107">
        <f t="shared" si="2"/>
        <v>0</v>
      </c>
      <c r="Q35" s="107">
        <f t="shared" si="3"/>
        <v>0</v>
      </c>
      <c r="R35" s="105">
        <v>1</v>
      </c>
      <c r="S35" s="107">
        <f t="shared" si="4"/>
        <v>0</v>
      </c>
      <c r="T35" s="105"/>
      <c r="U35" s="107">
        <f t="shared" si="5"/>
        <v>25000</v>
      </c>
      <c r="V35" s="107">
        <f t="shared" si="6"/>
        <v>25000</v>
      </c>
      <c r="W35" s="105">
        <v>1</v>
      </c>
      <c r="X35" s="107">
        <f t="shared" si="7"/>
        <v>25000</v>
      </c>
      <c r="Y35" s="107">
        <f t="shared" si="8"/>
        <v>25000</v>
      </c>
      <c r="Z35" s="107">
        <f t="shared" si="9"/>
        <v>0</v>
      </c>
      <c r="AA35" s="107">
        <f t="shared" si="10"/>
        <v>1989.75</v>
      </c>
      <c r="AB35" s="107">
        <f t="shared" si="11"/>
        <v>2017.5</v>
      </c>
      <c r="AC35" s="107">
        <f t="shared" si="12"/>
        <v>2009.75</v>
      </c>
      <c r="AD35" s="108">
        <f t="shared" si="13"/>
        <v>2016.5</v>
      </c>
      <c r="AE35" s="108">
        <f t="shared" si="14"/>
        <v>-8.3333333333333329E-2</v>
      </c>
      <c r="AF35" s="108">
        <f t="shared" si="15"/>
        <v>2009.75</v>
      </c>
      <c r="AG35" s="108">
        <f t="shared" si="16"/>
        <v>2016.5</v>
      </c>
      <c r="AH35" s="108">
        <f t="shared" si="17"/>
        <v>-8.3333333333333329E-2</v>
      </c>
    </row>
    <row r="36" spans="1:34" x14ac:dyDescent="0.25">
      <c r="A36">
        <v>13</v>
      </c>
      <c r="B36" t="s">
        <v>454</v>
      </c>
      <c r="C36">
        <v>1989</v>
      </c>
      <c r="D36">
        <v>10</v>
      </c>
      <c r="E36" s="75"/>
      <c r="F36" s="34" t="s">
        <v>436</v>
      </c>
      <c r="G36">
        <v>20</v>
      </c>
      <c r="H36">
        <f t="shared" si="18"/>
        <v>2009</v>
      </c>
      <c r="K36" s="32">
        <v>25000</v>
      </c>
      <c r="L36" s="32"/>
      <c r="M36" s="32">
        <f t="shared" si="19"/>
        <v>25000</v>
      </c>
      <c r="N36" s="107">
        <f t="shared" si="0"/>
        <v>104.16666666666667</v>
      </c>
      <c r="O36" s="107">
        <f t="shared" si="1"/>
        <v>0</v>
      </c>
      <c r="P36" s="107">
        <f t="shared" si="2"/>
        <v>0</v>
      </c>
      <c r="Q36" s="107">
        <f t="shared" si="3"/>
        <v>0</v>
      </c>
      <c r="R36" s="105">
        <v>1</v>
      </c>
      <c r="S36" s="107">
        <f t="shared" si="4"/>
        <v>0</v>
      </c>
      <c r="T36" s="105"/>
      <c r="U36" s="107">
        <f t="shared" si="5"/>
        <v>25000</v>
      </c>
      <c r="V36" s="107">
        <f t="shared" si="6"/>
        <v>25000</v>
      </c>
      <c r="W36" s="105">
        <v>1</v>
      </c>
      <c r="X36" s="107">
        <f t="shared" si="7"/>
        <v>25000</v>
      </c>
      <c r="Y36" s="107">
        <f t="shared" si="8"/>
        <v>25000</v>
      </c>
      <c r="Z36" s="107">
        <f t="shared" si="9"/>
        <v>0</v>
      </c>
      <c r="AA36" s="107">
        <f t="shared" si="10"/>
        <v>1989.75</v>
      </c>
      <c r="AB36" s="107">
        <f t="shared" si="11"/>
        <v>2017.5</v>
      </c>
      <c r="AC36" s="107">
        <f t="shared" si="12"/>
        <v>2009.75</v>
      </c>
      <c r="AD36" s="108">
        <f t="shared" si="13"/>
        <v>2016.5</v>
      </c>
      <c r="AE36" s="108">
        <f t="shared" si="14"/>
        <v>-8.3333333333333329E-2</v>
      </c>
      <c r="AF36" s="108">
        <f t="shared" si="15"/>
        <v>2009.75</v>
      </c>
      <c r="AG36" s="108">
        <f t="shared" si="16"/>
        <v>2016.5</v>
      </c>
      <c r="AH36" s="108">
        <f t="shared" si="17"/>
        <v>-8.3333333333333329E-2</v>
      </c>
    </row>
    <row r="37" spans="1:34" ht="15.75" x14ac:dyDescent="0.25">
      <c r="A37">
        <v>14</v>
      </c>
      <c r="B37" s="117" t="s">
        <v>455</v>
      </c>
      <c r="C37">
        <v>1989</v>
      </c>
      <c r="D37">
        <v>10</v>
      </c>
      <c r="E37" s="75"/>
      <c r="F37" s="34" t="s">
        <v>436</v>
      </c>
      <c r="G37">
        <v>10</v>
      </c>
      <c r="H37">
        <f t="shared" si="18"/>
        <v>1999</v>
      </c>
      <c r="K37" s="32">
        <v>2500</v>
      </c>
      <c r="L37" s="32"/>
      <c r="M37" s="32">
        <f t="shared" si="19"/>
        <v>2500</v>
      </c>
      <c r="N37" s="107">
        <f t="shared" si="0"/>
        <v>20.833333333333332</v>
      </c>
      <c r="O37" s="107">
        <f t="shared" si="1"/>
        <v>0</v>
      </c>
      <c r="P37" s="107">
        <f t="shared" si="2"/>
        <v>0</v>
      </c>
      <c r="Q37" s="107">
        <f t="shared" si="3"/>
        <v>0</v>
      </c>
      <c r="R37" s="105">
        <v>1</v>
      </c>
      <c r="S37" s="107">
        <f t="shared" si="4"/>
        <v>0</v>
      </c>
      <c r="T37" s="105"/>
      <c r="U37" s="107">
        <f t="shared" si="5"/>
        <v>2500</v>
      </c>
      <c r="V37" s="107">
        <f t="shared" si="6"/>
        <v>2500</v>
      </c>
      <c r="W37" s="105">
        <v>1</v>
      </c>
      <c r="X37" s="107">
        <f t="shared" si="7"/>
        <v>2500</v>
      </c>
      <c r="Y37" s="107">
        <f t="shared" si="8"/>
        <v>2500</v>
      </c>
      <c r="Z37" s="107">
        <f t="shared" si="9"/>
        <v>0</v>
      </c>
      <c r="AA37" s="107">
        <f t="shared" si="10"/>
        <v>1989.75</v>
      </c>
      <c r="AB37" s="107">
        <f t="shared" si="11"/>
        <v>2017.5</v>
      </c>
      <c r="AC37" s="107">
        <f t="shared" si="12"/>
        <v>1999.75</v>
      </c>
      <c r="AD37" s="108">
        <f t="shared" si="13"/>
        <v>2016.5</v>
      </c>
      <c r="AE37" s="108">
        <f t="shared" si="14"/>
        <v>-8.3333333333333329E-2</v>
      </c>
      <c r="AF37" s="108">
        <f t="shared" si="15"/>
        <v>1999.75</v>
      </c>
      <c r="AG37" s="108">
        <f t="shared" si="16"/>
        <v>2016.5</v>
      </c>
      <c r="AH37" s="108">
        <f t="shared" si="17"/>
        <v>-8.3333333333333329E-2</v>
      </c>
    </row>
    <row r="38" spans="1:34" x14ac:dyDescent="0.25">
      <c r="A38">
        <v>15</v>
      </c>
      <c r="B38" t="s">
        <v>456</v>
      </c>
      <c r="C38">
        <v>1989</v>
      </c>
      <c r="D38">
        <v>10</v>
      </c>
      <c r="E38" s="75"/>
      <c r="F38" s="34" t="s">
        <v>436</v>
      </c>
      <c r="G38">
        <v>2</v>
      </c>
      <c r="H38">
        <f t="shared" si="18"/>
        <v>1991</v>
      </c>
      <c r="K38" s="32">
        <v>131110</v>
      </c>
      <c r="L38" s="32"/>
      <c r="M38" s="32">
        <f t="shared" si="19"/>
        <v>131110</v>
      </c>
      <c r="N38" s="107">
        <f t="shared" si="0"/>
        <v>5462.916666666667</v>
      </c>
      <c r="O38" s="107">
        <f t="shared" si="1"/>
        <v>0</v>
      </c>
      <c r="P38" s="107">
        <f t="shared" si="2"/>
        <v>0</v>
      </c>
      <c r="Q38" s="107">
        <f t="shared" si="3"/>
        <v>0</v>
      </c>
      <c r="R38" s="105">
        <v>1</v>
      </c>
      <c r="S38" s="107">
        <f t="shared" si="4"/>
        <v>0</v>
      </c>
      <c r="T38" s="105"/>
      <c r="U38" s="107">
        <f t="shared" si="5"/>
        <v>131110</v>
      </c>
      <c r="V38" s="107">
        <f t="shared" si="6"/>
        <v>131110</v>
      </c>
      <c r="W38" s="105">
        <v>1</v>
      </c>
      <c r="X38" s="107">
        <f t="shared" si="7"/>
        <v>131110</v>
      </c>
      <c r="Y38" s="107">
        <f t="shared" si="8"/>
        <v>131110</v>
      </c>
      <c r="Z38" s="107">
        <f t="shared" si="9"/>
        <v>0</v>
      </c>
      <c r="AA38" s="107">
        <f t="shared" si="10"/>
        <v>1989.75</v>
      </c>
      <c r="AB38" s="107">
        <f t="shared" si="11"/>
        <v>2017.5</v>
      </c>
      <c r="AC38" s="107">
        <f t="shared" si="12"/>
        <v>1991.75</v>
      </c>
      <c r="AD38" s="108">
        <f t="shared" si="13"/>
        <v>2016.5</v>
      </c>
      <c r="AE38" s="108">
        <f t="shared" si="14"/>
        <v>-8.3333333333333329E-2</v>
      </c>
      <c r="AF38" s="108">
        <f t="shared" si="15"/>
        <v>1991.75</v>
      </c>
      <c r="AG38" s="108">
        <f t="shared" si="16"/>
        <v>2016.5</v>
      </c>
      <c r="AH38" s="108">
        <f t="shared" si="17"/>
        <v>-8.3333333333333329E-2</v>
      </c>
    </row>
    <row r="39" spans="1:34" x14ac:dyDescent="0.25">
      <c r="A39">
        <v>16</v>
      </c>
      <c r="B39" t="s">
        <v>457</v>
      </c>
      <c r="C39">
        <v>1994</v>
      </c>
      <c r="D39">
        <v>4</v>
      </c>
      <c r="E39" s="75"/>
      <c r="F39" s="34" t="s">
        <v>436</v>
      </c>
      <c r="G39">
        <v>20</v>
      </c>
      <c r="H39">
        <f t="shared" si="18"/>
        <v>2014</v>
      </c>
      <c r="K39" s="32">
        <v>113974</v>
      </c>
      <c r="L39" s="32"/>
      <c r="M39" s="32">
        <f t="shared" si="19"/>
        <v>113974</v>
      </c>
      <c r="N39" s="107">
        <f t="shared" si="0"/>
        <v>474.89166666666665</v>
      </c>
      <c r="O39" s="107">
        <f t="shared" si="1"/>
        <v>0</v>
      </c>
      <c r="P39" s="107">
        <f t="shared" si="2"/>
        <v>0</v>
      </c>
      <c r="Q39" s="107">
        <f t="shared" si="3"/>
        <v>0</v>
      </c>
      <c r="R39" s="105">
        <v>1</v>
      </c>
      <c r="S39" s="107">
        <f t="shared" si="4"/>
        <v>0</v>
      </c>
      <c r="T39" s="105"/>
      <c r="U39" s="107">
        <f t="shared" si="5"/>
        <v>113974</v>
      </c>
      <c r="V39" s="107">
        <f t="shared" si="6"/>
        <v>113974</v>
      </c>
      <c r="W39" s="105">
        <v>1</v>
      </c>
      <c r="X39" s="107">
        <f t="shared" si="7"/>
        <v>113974</v>
      </c>
      <c r="Y39" s="107">
        <f t="shared" si="8"/>
        <v>113974</v>
      </c>
      <c r="Z39" s="107">
        <f t="shared" si="9"/>
        <v>0</v>
      </c>
      <c r="AA39" s="107">
        <f t="shared" si="10"/>
        <v>1994.25</v>
      </c>
      <c r="AB39" s="107">
        <f t="shared" si="11"/>
        <v>2017.5</v>
      </c>
      <c r="AC39" s="107">
        <f t="shared" si="12"/>
        <v>2014.25</v>
      </c>
      <c r="AD39" s="108">
        <f t="shared" si="13"/>
        <v>2016.5</v>
      </c>
      <c r="AE39" s="108">
        <f t="shared" si="14"/>
        <v>-8.3333333333333329E-2</v>
      </c>
      <c r="AF39" s="108">
        <f t="shared" si="15"/>
        <v>2014.25</v>
      </c>
      <c r="AG39" s="108">
        <f t="shared" si="16"/>
        <v>2016.5</v>
      </c>
      <c r="AH39" s="108">
        <f t="shared" si="17"/>
        <v>-8.3333333333333329E-2</v>
      </c>
    </row>
    <row r="40" spans="1:34" ht="15.75" x14ac:dyDescent="0.25">
      <c r="A40">
        <v>17</v>
      </c>
      <c r="B40" s="117" t="s">
        <v>773</v>
      </c>
      <c r="C40">
        <v>1994</v>
      </c>
      <c r="D40">
        <v>10</v>
      </c>
      <c r="E40" s="75"/>
      <c r="F40" s="34" t="s">
        <v>436</v>
      </c>
      <c r="G40">
        <v>10</v>
      </c>
      <c r="H40">
        <f t="shared" si="18"/>
        <v>2004</v>
      </c>
      <c r="K40" s="32">
        <v>1440</v>
      </c>
      <c r="L40" s="32"/>
      <c r="M40" s="32">
        <f t="shared" si="19"/>
        <v>1440</v>
      </c>
      <c r="N40" s="107">
        <f t="shared" si="0"/>
        <v>12</v>
      </c>
      <c r="O40" s="107">
        <f t="shared" si="1"/>
        <v>0</v>
      </c>
      <c r="P40" s="107">
        <f t="shared" si="2"/>
        <v>0</v>
      </c>
      <c r="Q40" s="107">
        <f t="shared" si="3"/>
        <v>0</v>
      </c>
      <c r="R40" s="105">
        <v>1</v>
      </c>
      <c r="S40" s="107">
        <f t="shared" si="4"/>
        <v>0</v>
      </c>
      <c r="T40" s="105"/>
      <c r="U40" s="107">
        <f t="shared" si="5"/>
        <v>1440</v>
      </c>
      <c r="V40" s="107">
        <f t="shared" si="6"/>
        <v>1440</v>
      </c>
      <c r="W40" s="105">
        <v>1</v>
      </c>
      <c r="X40" s="107">
        <f t="shared" si="7"/>
        <v>1440</v>
      </c>
      <c r="Y40" s="107">
        <f t="shared" si="8"/>
        <v>1440</v>
      </c>
      <c r="Z40" s="107">
        <f t="shared" si="9"/>
        <v>0</v>
      </c>
      <c r="AA40" s="107">
        <f t="shared" si="10"/>
        <v>1994.75</v>
      </c>
      <c r="AB40" s="107">
        <f t="shared" si="11"/>
        <v>2017.5</v>
      </c>
      <c r="AC40" s="107">
        <f t="shared" si="12"/>
        <v>2004.75</v>
      </c>
      <c r="AD40" s="108">
        <f t="shared" si="13"/>
        <v>2016.5</v>
      </c>
      <c r="AE40" s="108">
        <f t="shared" si="14"/>
        <v>-8.3333333333333329E-2</v>
      </c>
      <c r="AF40" s="108">
        <f t="shared" si="15"/>
        <v>2004.75</v>
      </c>
      <c r="AG40" s="108">
        <f t="shared" si="16"/>
        <v>2016.5</v>
      </c>
      <c r="AH40" s="108">
        <f t="shared" si="17"/>
        <v>-8.3333333333333329E-2</v>
      </c>
    </row>
    <row r="41" spans="1:34" x14ac:dyDescent="0.25">
      <c r="A41">
        <v>18</v>
      </c>
      <c r="B41" t="s">
        <v>458</v>
      </c>
      <c r="C41">
        <v>1994</v>
      </c>
      <c r="D41">
        <v>11</v>
      </c>
      <c r="E41" s="75"/>
      <c r="F41" s="34" t="s">
        <v>436</v>
      </c>
      <c r="G41">
        <v>10</v>
      </c>
      <c r="H41">
        <f t="shared" si="18"/>
        <v>2004</v>
      </c>
      <c r="K41" s="32">
        <v>6783</v>
      </c>
      <c r="L41" s="32"/>
      <c r="M41" s="32">
        <f t="shared" si="19"/>
        <v>6783</v>
      </c>
      <c r="N41" s="107">
        <f t="shared" si="0"/>
        <v>56.524999999999999</v>
      </c>
      <c r="O41" s="107">
        <f t="shared" si="1"/>
        <v>0</v>
      </c>
      <c r="P41" s="107">
        <f t="shared" si="2"/>
        <v>0</v>
      </c>
      <c r="Q41" s="107">
        <f t="shared" si="3"/>
        <v>0</v>
      </c>
      <c r="R41" s="105">
        <v>1</v>
      </c>
      <c r="S41" s="107">
        <f t="shared" si="4"/>
        <v>0</v>
      </c>
      <c r="T41" s="105"/>
      <c r="U41" s="107">
        <f t="shared" si="5"/>
        <v>6783</v>
      </c>
      <c r="V41" s="107">
        <f t="shared" si="6"/>
        <v>6783</v>
      </c>
      <c r="W41" s="105">
        <v>1</v>
      </c>
      <c r="X41" s="107">
        <f t="shared" si="7"/>
        <v>6783</v>
      </c>
      <c r="Y41" s="107">
        <f t="shared" si="8"/>
        <v>6783</v>
      </c>
      <c r="Z41" s="107">
        <f t="shared" si="9"/>
        <v>0</v>
      </c>
      <c r="AA41" s="107">
        <f t="shared" si="10"/>
        <v>1994.8333333333333</v>
      </c>
      <c r="AB41" s="107">
        <f t="shared" si="11"/>
        <v>2017.5</v>
      </c>
      <c r="AC41" s="107">
        <f t="shared" si="12"/>
        <v>2004.8333333333333</v>
      </c>
      <c r="AD41" s="108">
        <f t="shared" si="13"/>
        <v>2016.5</v>
      </c>
      <c r="AE41" s="108">
        <f t="shared" si="14"/>
        <v>-8.3333333333333329E-2</v>
      </c>
      <c r="AF41" s="108">
        <f t="shared" si="15"/>
        <v>2004.8333333333333</v>
      </c>
      <c r="AG41" s="108">
        <f t="shared" si="16"/>
        <v>2016.5</v>
      </c>
      <c r="AH41" s="108">
        <f t="shared" si="17"/>
        <v>-8.3333333333333329E-2</v>
      </c>
    </row>
    <row r="42" spans="1:34" x14ac:dyDescent="0.25">
      <c r="A42">
        <v>19</v>
      </c>
      <c r="B42" t="s">
        <v>459</v>
      </c>
      <c r="C42">
        <v>1996</v>
      </c>
      <c r="D42">
        <v>5</v>
      </c>
      <c r="E42" s="75"/>
      <c r="F42" s="34" t="s">
        <v>436</v>
      </c>
      <c r="G42">
        <v>20</v>
      </c>
      <c r="H42">
        <f t="shared" si="18"/>
        <v>2016</v>
      </c>
      <c r="K42" s="32">
        <v>200000</v>
      </c>
      <c r="L42" s="32"/>
      <c r="M42" s="32">
        <f t="shared" si="19"/>
        <v>200000</v>
      </c>
      <c r="N42" s="107">
        <f t="shared" si="0"/>
        <v>833.33333333333337</v>
      </c>
      <c r="O42" s="107">
        <f t="shared" si="1"/>
        <v>0</v>
      </c>
      <c r="P42" s="107">
        <f t="shared" si="2"/>
        <v>0</v>
      </c>
      <c r="Q42" s="107">
        <f t="shared" si="3"/>
        <v>0</v>
      </c>
      <c r="R42" s="105">
        <v>1</v>
      </c>
      <c r="S42" s="107">
        <f t="shared" si="4"/>
        <v>0</v>
      </c>
      <c r="T42" s="105"/>
      <c r="U42" s="107">
        <f t="shared" si="5"/>
        <v>200000</v>
      </c>
      <c r="V42" s="107">
        <f t="shared" si="6"/>
        <v>200000</v>
      </c>
      <c r="W42" s="105">
        <v>1</v>
      </c>
      <c r="X42" s="107">
        <f t="shared" si="7"/>
        <v>200000</v>
      </c>
      <c r="Y42" s="107">
        <f t="shared" si="8"/>
        <v>200000</v>
      </c>
      <c r="Z42" s="107">
        <f t="shared" si="9"/>
        <v>0</v>
      </c>
      <c r="AA42" s="107">
        <f t="shared" si="10"/>
        <v>1996.3333333333333</v>
      </c>
      <c r="AB42" s="107">
        <f t="shared" si="11"/>
        <v>2017.5</v>
      </c>
      <c r="AC42" s="107">
        <f t="shared" si="12"/>
        <v>2016.3333333333333</v>
      </c>
      <c r="AD42" s="108">
        <f t="shared" si="13"/>
        <v>2016.5</v>
      </c>
      <c r="AE42" s="108">
        <f t="shared" si="14"/>
        <v>-8.3333333333333329E-2</v>
      </c>
      <c r="AF42" s="108">
        <f t="shared" si="15"/>
        <v>2016.3333333333333</v>
      </c>
      <c r="AG42" s="108">
        <f t="shared" si="16"/>
        <v>2016.5</v>
      </c>
      <c r="AH42" s="108">
        <f t="shared" si="17"/>
        <v>-8.3333333333333329E-2</v>
      </c>
    </row>
    <row r="43" spans="1:34" x14ac:dyDescent="0.25">
      <c r="A43">
        <v>20</v>
      </c>
      <c r="B43" t="s">
        <v>460</v>
      </c>
      <c r="C43">
        <v>1996</v>
      </c>
      <c r="D43">
        <v>8</v>
      </c>
      <c r="E43" s="75"/>
      <c r="F43" s="34" t="s">
        <v>436</v>
      </c>
      <c r="G43">
        <v>7</v>
      </c>
      <c r="H43">
        <f t="shared" si="18"/>
        <v>2003</v>
      </c>
      <c r="K43" s="32">
        <v>16000</v>
      </c>
      <c r="L43" s="32"/>
      <c r="M43" s="32">
        <f t="shared" si="19"/>
        <v>16000</v>
      </c>
      <c r="N43" s="107">
        <f t="shared" si="0"/>
        <v>190.47619047619048</v>
      </c>
      <c r="O43" s="107">
        <f t="shared" si="1"/>
        <v>0</v>
      </c>
      <c r="P43" s="107">
        <f t="shared" si="2"/>
        <v>0</v>
      </c>
      <c r="Q43" s="107">
        <f t="shared" si="3"/>
        <v>0</v>
      </c>
      <c r="R43" s="105">
        <v>1</v>
      </c>
      <c r="S43" s="107">
        <f t="shared" si="4"/>
        <v>0</v>
      </c>
      <c r="T43" s="105"/>
      <c r="U43" s="107">
        <f t="shared" si="5"/>
        <v>16000</v>
      </c>
      <c r="V43" s="107">
        <f t="shared" si="6"/>
        <v>16000</v>
      </c>
      <c r="W43" s="105">
        <v>1</v>
      </c>
      <c r="X43" s="107">
        <f t="shared" si="7"/>
        <v>16000</v>
      </c>
      <c r="Y43" s="107">
        <f t="shared" si="8"/>
        <v>16000</v>
      </c>
      <c r="Z43" s="107">
        <f t="shared" si="9"/>
        <v>0</v>
      </c>
      <c r="AA43" s="107">
        <f t="shared" si="10"/>
        <v>1996.5833333333333</v>
      </c>
      <c r="AB43" s="107">
        <f t="shared" si="11"/>
        <v>2017.5</v>
      </c>
      <c r="AC43" s="107">
        <f t="shared" si="12"/>
        <v>2003.5833333333333</v>
      </c>
      <c r="AD43" s="108">
        <f t="shared" si="13"/>
        <v>2016.5</v>
      </c>
      <c r="AE43" s="108">
        <f t="shared" si="14"/>
        <v>-8.3333333333333329E-2</v>
      </c>
      <c r="AF43" s="108">
        <f t="shared" si="15"/>
        <v>2003.5833333333333</v>
      </c>
      <c r="AG43" s="108">
        <f t="shared" si="16"/>
        <v>2016.5</v>
      </c>
      <c r="AH43" s="108">
        <f t="shared" si="17"/>
        <v>-8.3333333333333329E-2</v>
      </c>
    </row>
    <row r="44" spans="1:34" x14ac:dyDescent="0.25">
      <c r="A44">
        <v>21</v>
      </c>
      <c r="B44" t="s">
        <v>461</v>
      </c>
      <c r="C44">
        <v>1996</v>
      </c>
      <c r="D44">
        <v>10</v>
      </c>
      <c r="E44" s="75"/>
      <c r="F44" s="34" t="s">
        <v>436</v>
      </c>
      <c r="G44">
        <v>7</v>
      </c>
      <c r="H44">
        <f t="shared" si="18"/>
        <v>2003</v>
      </c>
      <c r="K44" s="32">
        <v>2182</v>
      </c>
      <c r="L44" s="32"/>
      <c r="M44" s="32">
        <f t="shared" si="19"/>
        <v>2182</v>
      </c>
      <c r="N44" s="107">
        <f t="shared" si="0"/>
        <v>25.976190476190478</v>
      </c>
      <c r="O44" s="107">
        <f t="shared" si="1"/>
        <v>0</v>
      </c>
      <c r="P44" s="107">
        <f t="shared" si="2"/>
        <v>0</v>
      </c>
      <c r="Q44" s="107">
        <f t="shared" si="3"/>
        <v>0</v>
      </c>
      <c r="R44" s="105">
        <v>1</v>
      </c>
      <c r="S44" s="107">
        <f t="shared" si="4"/>
        <v>0</v>
      </c>
      <c r="T44" s="105"/>
      <c r="U44" s="107">
        <f t="shared" si="5"/>
        <v>2182</v>
      </c>
      <c r="V44" s="107">
        <f t="shared" si="6"/>
        <v>2182</v>
      </c>
      <c r="W44" s="105">
        <v>1</v>
      </c>
      <c r="X44" s="107">
        <f t="shared" si="7"/>
        <v>2182</v>
      </c>
      <c r="Y44" s="107">
        <f t="shared" si="8"/>
        <v>2182</v>
      </c>
      <c r="Z44" s="107">
        <f t="shared" si="9"/>
        <v>0</v>
      </c>
      <c r="AA44" s="107">
        <f t="shared" si="10"/>
        <v>1996.75</v>
      </c>
      <c r="AB44" s="107">
        <f t="shared" si="11"/>
        <v>2017.5</v>
      </c>
      <c r="AC44" s="107">
        <f t="shared" si="12"/>
        <v>2003.75</v>
      </c>
      <c r="AD44" s="108">
        <f t="shared" si="13"/>
        <v>2016.5</v>
      </c>
      <c r="AE44" s="108">
        <f t="shared" si="14"/>
        <v>-8.3333333333333329E-2</v>
      </c>
      <c r="AF44" s="108">
        <f t="shared" si="15"/>
        <v>2003.75</v>
      </c>
      <c r="AG44" s="108">
        <f t="shared" si="16"/>
        <v>2016.5</v>
      </c>
      <c r="AH44" s="108">
        <f t="shared" si="17"/>
        <v>-8.3333333333333329E-2</v>
      </c>
    </row>
    <row r="45" spans="1:34" x14ac:dyDescent="0.25">
      <c r="A45">
        <v>22</v>
      </c>
      <c r="B45" t="s">
        <v>462</v>
      </c>
      <c r="C45">
        <v>1996</v>
      </c>
      <c r="D45">
        <v>10</v>
      </c>
      <c r="E45" s="75"/>
      <c r="F45" s="34" t="s">
        <v>436</v>
      </c>
      <c r="G45">
        <v>7</v>
      </c>
      <c r="H45">
        <f t="shared" si="18"/>
        <v>2003</v>
      </c>
      <c r="K45" s="32">
        <v>5140</v>
      </c>
      <c r="L45" s="32"/>
      <c r="M45" s="32">
        <f t="shared" si="19"/>
        <v>5140</v>
      </c>
      <c r="N45" s="107">
        <f t="shared" si="0"/>
        <v>61.190476190476197</v>
      </c>
      <c r="O45" s="107">
        <f t="shared" si="1"/>
        <v>0</v>
      </c>
      <c r="P45" s="107">
        <f t="shared" si="2"/>
        <v>0</v>
      </c>
      <c r="Q45" s="107">
        <f t="shared" si="3"/>
        <v>0</v>
      </c>
      <c r="R45" s="105">
        <v>1</v>
      </c>
      <c r="S45" s="107">
        <f t="shared" si="4"/>
        <v>0</v>
      </c>
      <c r="T45" s="105"/>
      <c r="U45" s="107">
        <f t="shared" si="5"/>
        <v>5140</v>
      </c>
      <c r="V45" s="107">
        <f t="shared" si="6"/>
        <v>5140</v>
      </c>
      <c r="W45" s="105">
        <v>1</v>
      </c>
      <c r="X45" s="107">
        <f t="shared" si="7"/>
        <v>5140</v>
      </c>
      <c r="Y45" s="107">
        <f t="shared" si="8"/>
        <v>5140</v>
      </c>
      <c r="Z45" s="107">
        <f t="shared" si="9"/>
        <v>0</v>
      </c>
      <c r="AA45" s="107">
        <f t="shared" si="10"/>
        <v>1996.75</v>
      </c>
      <c r="AB45" s="107">
        <f t="shared" si="11"/>
        <v>2017.5</v>
      </c>
      <c r="AC45" s="107">
        <f t="shared" si="12"/>
        <v>2003.75</v>
      </c>
      <c r="AD45" s="108">
        <f t="shared" si="13"/>
        <v>2016.5</v>
      </c>
      <c r="AE45" s="108">
        <f t="shared" si="14"/>
        <v>-8.3333333333333329E-2</v>
      </c>
      <c r="AF45" s="108">
        <f t="shared" si="15"/>
        <v>2003.75</v>
      </c>
      <c r="AG45" s="108">
        <f t="shared" si="16"/>
        <v>2016.5</v>
      </c>
      <c r="AH45" s="108">
        <f t="shared" si="17"/>
        <v>-8.3333333333333329E-2</v>
      </c>
    </row>
    <row r="46" spans="1:34" x14ac:dyDescent="0.25">
      <c r="A46">
        <v>23</v>
      </c>
      <c r="B46" t="s">
        <v>463</v>
      </c>
      <c r="C46">
        <v>1997</v>
      </c>
      <c r="D46">
        <v>9</v>
      </c>
      <c r="E46" s="75"/>
      <c r="F46" s="34" t="s">
        <v>436</v>
      </c>
      <c r="G46">
        <v>20</v>
      </c>
      <c r="H46">
        <f t="shared" si="18"/>
        <v>2017</v>
      </c>
      <c r="K46" s="32">
        <v>150000</v>
      </c>
      <c r="L46" s="32"/>
      <c r="M46" s="32">
        <f t="shared" si="19"/>
        <v>150000</v>
      </c>
      <c r="N46" s="107">
        <f t="shared" si="0"/>
        <v>625</v>
      </c>
      <c r="O46" s="107">
        <f t="shared" si="1"/>
        <v>7500</v>
      </c>
      <c r="P46" s="107">
        <f t="shared" si="2"/>
        <v>0</v>
      </c>
      <c r="Q46" s="107">
        <f t="shared" si="3"/>
        <v>7500</v>
      </c>
      <c r="R46" s="105">
        <v>1</v>
      </c>
      <c r="S46" s="107">
        <f t="shared" si="4"/>
        <v>7500</v>
      </c>
      <c r="T46" s="105"/>
      <c r="U46" s="107">
        <f t="shared" si="5"/>
        <v>141249.99999999942</v>
      </c>
      <c r="V46" s="107">
        <f t="shared" si="6"/>
        <v>141249.99999999942</v>
      </c>
      <c r="W46" s="105">
        <v>1</v>
      </c>
      <c r="X46" s="107">
        <f t="shared" si="7"/>
        <v>141249.99999999942</v>
      </c>
      <c r="Y46" s="107">
        <f t="shared" si="8"/>
        <v>148749.99999999942</v>
      </c>
      <c r="Z46" s="107">
        <f t="shared" si="9"/>
        <v>5000.0000000005821</v>
      </c>
      <c r="AA46" s="107">
        <f t="shared" si="10"/>
        <v>1997.6666666666667</v>
      </c>
      <c r="AB46" s="107">
        <f t="shared" si="11"/>
        <v>2017.5</v>
      </c>
      <c r="AC46" s="107">
        <f t="shared" si="12"/>
        <v>2017.6666666666667</v>
      </c>
      <c r="AD46" s="108">
        <f t="shared" si="13"/>
        <v>2016.5</v>
      </c>
      <c r="AE46" s="108">
        <f t="shared" si="14"/>
        <v>-8.3333333333333329E-2</v>
      </c>
      <c r="AF46" s="108">
        <f t="shared" si="15"/>
        <v>2017.6666666666667</v>
      </c>
      <c r="AG46" s="108">
        <f t="shared" si="16"/>
        <v>2016.5</v>
      </c>
      <c r="AH46" s="108">
        <f t="shared" si="17"/>
        <v>-8.3333333333333329E-2</v>
      </c>
    </row>
    <row r="47" spans="1:34" x14ac:dyDescent="0.25">
      <c r="A47">
        <v>24</v>
      </c>
      <c r="B47" t="s">
        <v>464</v>
      </c>
      <c r="C47">
        <v>1997</v>
      </c>
      <c r="D47">
        <v>9</v>
      </c>
      <c r="E47" s="75"/>
      <c r="F47" s="34" t="s">
        <v>436</v>
      </c>
      <c r="G47">
        <v>7</v>
      </c>
      <c r="H47">
        <f t="shared" si="18"/>
        <v>2004</v>
      </c>
      <c r="K47" s="32">
        <v>21689</v>
      </c>
      <c r="L47" s="32"/>
      <c r="M47" s="32">
        <f t="shared" si="19"/>
        <v>21689</v>
      </c>
      <c r="N47" s="107">
        <f t="shared" si="0"/>
        <v>258.20238095238096</v>
      </c>
      <c r="O47" s="107">
        <f t="shared" si="1"/>
        <v>0</v>
      </c>
      <c r="P47" s="107">
        <f t="shared" si="2"/>
        <v>0</v>
      </c>
      <c r="Q47" s="107">
        <f t="shared" si="3"/>
        <v>0</v>
      </c>
      <c r="R47" s="105">
        <v>1</v>
      </c>
      <c r="S47" s="107">
        <f t="shared" si="4"/>
        <v>0</v>
      </c>
      <c r="T47" s="105"/>
      <c r="U47" s="107">
        <f t="shared" si="5"/>
        <v>21689</v>
      </c>
      <c r="V47" s="107">
        <f t="shared" si="6"/>
        <v>21689</v>
      </c>
      <c r="W47" s="105">
        <v>1</v>
      </c>
      <c r="X47" s="107">
        <f t="shared" si="7"/>
        <v>21689</v>
      </c>
      <c r="Y47" s="107">
        <f t="shared" si="8"/>
        <v>21689</v>
      </c>
      <c r="Z47" s="107">
        <f t="shared" si="9"/>
        <v>0</v>
      </c>
      <c r="AA47" s="107">
        <f t="shared" si="10"/>
        <v>1997.6666666666667</v>
      </c>
      <c r="AB47" s="107">
        <f t="shared" si="11"/>
        <v>2017.5</v>
      </c>
      <c r="AC47" s="107">
        <f t="shared" si="12"/>
        <v>2004.6666666666667</v>
      </c>
      <c r="AD47" s="108">
        <f t="shared" si="13"/>
        <v>2016.5</v>
      </c>
      <c r="AE47" s="108">
        <f t="shared" si="14"/>
        <v>-8.3333333333333329E-2</v>
      </c>
      <c r="AF47" s="108">
        <f t="shared" si="15"/>
        <v>2004.6666666666667</v>
      </c>
      <c r="AG47" s="108">
        <f t="shared" si="16"/>
        <v>2016.5</v>
      </c>
      <c r="AH47" s="108">
        <f t="shared" si="17"/>
        <v>-8.3333333333333329E-2</v>
      </c>
    </row>
    <row r="48" spans="1:34" x14ac:dyDescent="0.25">
      <c r="A48">
        <v>25</v>
      </c>
      <c r="B48" t="s">
        <v>464</v>
      </c>
      <c r="C48">
        <v>1998</v>
      </c>
      <c r="D48">
        <v>3</v>
      </c>
      <c r="E48" s="75"/>
      <c r="F48" s="34" t="s">
        <v>436</v>
      </c>
      <c r="G48">
        <v>7</v>
      </c>
      <c r="H48">
        <f t="shared" si="18"/>
        <v>2005</v>
      </c>
      <c r="K48" s="32">
        <v>10066</v>
      </c>
      <c r="L48" s="32"/>
      <c r="M48" s="32">
        <f t="shared" si="19"/>
        <v>10066</v>
      </c>
      <c r="N48" s="107">
        <f t="shared" si="0"/>
        <v>119.83333333333333</v>
      </c>
      <c r="O48" s="107">
        <f t="shared" si="1"/>
        <v>0</v>
      </c>
      <c r="P48" s="107">
        <f t="shared" si="2"/>
        <v>0</v>
      </c>
      <c r="Q48" s="107">
        <f t="shared" si="3"/>
        <v>0</v>
      </c>
      <c r="R48" s="105">
        <v>1</v>
      </c>
      <c r="S48" s="107">
        <f t="shared" si="4"/>
        <v>0</v>
      </c>
      <c r="T48" s="105"/>
      <c r="U48" s="107">
        <f t="shared" si="5"/>
        <v>10066</v>
      </c>
      <c r="V48" s="107">
        <f t="shared" si="6"/>
        <v>10066</v>
      </c>
      <c r="W48" s="105">
        <v>1</v>
      </c>
      <c r="X48" s="107">
        <f t="shared" si="7"/>
        <v>10066</v>
      </c>
      <c r="Y48" s="107">
        <f t="shared" si="8"/>
        <v>10066</v>
      </c>
      <c r="Z48" s="107">
        <f t="shared" si="9"/>
        <v>0</v>
      </c>
      <c r="AA48" s="107">
        <f t="shared" si="10"/>
        <v>1998.1666666666667</v>
      </c>
      <c r="AB48" s="107">
        <f t="shared" si="11"/>
        <v>2017.5</v>
      </c>
      <c r="AC48" s="107">
        <f t="shared" si="12"/>
        <v>2005.1666666666667</v>
      </c>
      <c r="AD48" s="108">
        <f t="shared" si="13"/>
        <v>2016.5</v>
      </c>
      <c r="AE48" s="108">
        <f t="shared" si="14"/>
        <v>-8.3333333333333329E-2</v>
      </c>
      <c r="AF48" s="108">
        <f t="shared" si="15"/>
        <v>2005.1666666666667</v>
      </c>
      <c r="AG48" s="108">
        <f t="shared" si="16"/>
        <v>2016.5</v>
      </c>
      <c r="AH48" s="108">
        <f t="shared" si="17"/>
        <v>-8.3333333333333329E-2</v>
      </c>
    </row>
    <row r="49" spans="1:34" x14ac:dyDescent="0.25">
      <c r="A49">
        <v>26</v>
      </c>
      <c r="B49" t="s">
        <v>465</v>
      </c>
      <c r="C49">
        <v>1998</v>
      </c>
      <c r="D49">
        <v>4</v>
      </c>
      <c r="E49" s="75"/>
      <c r="F49" s="34" t="s">
        <v>436</v>
      </c>
      <c r="G49">
        <v>20</v>
      </c>
      <c r="H49">
        <f t="shared" si="18"/>
        <v>2018</v>
      </c>
      <c r="K49" s="32">
        <v>50000</v>
      </c>
      <c r="L49" s="32"/>
      <c r="M49" s="32">
        <f t="shared" si="19"/>
        <v>50000</v>
      </c>
      <c r="N49" s="107">
        <f t="shared" si="0"/>
        <v>208.33333333333334</v>
      </c>
      <c r="O49" s="107">
        <f t="shared" si="1"/>
        <v>2500</v>
      </c>
      <c r="P49" s="107">
        <f t="shared" si="2"/>
        <v>0</v>
      </c>
      <c r="Q49" s="107">
        <f t="shared" si="3"/>
        <v>2500</v>
      </c>
      <c r="R49" s="105">
        <v>1</v>
      </c>
      <c r="S49" s="107">
        <f t="shared" si="4"/>
        <v>2500</v>
      </c>
      <c r="T49" s="105"/>
      <c r="U49" s="107">
        <f t="shared" si="5"/>
        <v>45625</v>
      </c>
      <c r="V49" s="107">
        <f t="shared" si="6"/>
        <v>45625</v>
      </c>
      <c r="W49" s="105">
        <v>1</v>
      </c>
      <c r="X49" s="107">
        <f t="shared" si="7"/>
        <v>45625</v>
      </c>
      <c r="Y49" s="107">
        <f t="shared" si="8"/>
        <v>48125</v>
      </c>
      <c r="Z49" s="107">
        <f t="shared" si="9"/>
        <v>3125</v>
      </c>
      <c r="AA49" s="107">
        <f t="shared" si="10"/>
        <v>1998.25</v>
      </c>
      <c r="AB49" s="107">
        <f t="shared" si="11"/>
        <v>2017.5</v>
      </c>
      <c r="AC49" s="107">
        <f t="shared" si="12"/>
        <v>2018.25</v>
      </c>
      <c r="AD49" s="108">
        <f t="shared" si="13"/>
        <v>2016.5</v>
      </c>
      <c r="AE49" s="108">
        <f t="shared" si="14"/>
        <v>-8.3333333333333329E-2</v>
      </c>
      <c r="AF49" s="108">
        <f t="shared" si="15"/>
        <v>2018.25</v>
      </c>
      <c r="AG49" s="108">
        <f t="shared" si="16"/>
        <v>2016.5</v>
      </c>
      <c r="AH49" s="108">
        <f t="shared" si="17"/>
        <v>-8.3333333333333329E-2</v>
      </c>
    </row>
    <row r="50" spans="1:34" x14ac:dyDescent="0.25">
      <c r="A50">
        <v>27</v>
      </c>
      <c r="B50" t="s">
        <v>464</v>
      </c>
      <c r="C50">
        <v>1998</v>
      </c>
      <c r="D50">
        <v>9</v>
      </c>
      <c r="E50" s="75"/>
      <c r="F50" s="34" t="s">
        <v>436</v>
      </c>
      <c r="G50">
        <v>7</v>
      </c>
      <c r="H50">
        <f t="shared" si="18"/>
        <v>2005</v>
      </c>
      <c r="K50" s="32">
        <v>6087</v>
      </c>
      <c r="L50" s="32"/>
      <c r="M50" s="32">
        <f t="shared" si="19"/>
        <v>6087</v>
      </c>
      <c r="N50" s="107">
        <f t="shared" si="0"/>
        <v>72.464285714285708</v>
      </c>
      <c r="O50" s="107">
        <f t="shared" si="1"/>
        <v>0</v>
      </c>
      <c r="P50" s="107">
        <f t="shared" si="2"/>
        <v>0</v>
      </c>
      <c r="Q50" s="107">
        <f t="shared" si="3"/>
        <v>0</v>
      </c>
      <c r="R50" s="105">
        <v>1</v>
      </c>
      <c r="S50" s="107">
        <f t="shared" si="4"/>
        <v>0</v>
      </c>
      <c r="T50" s="105"/>
      <c r="U50" s="107">
        <f t="shared" si="5"/>
        <v>6087</v>
      </c>
      <c r="V50" s="107">
        <f t="shared" si="6"/>
        <v>6087</v>
      </c>
      <c r="W50" s="105">
        <v>1</v>
      </c>
      <c r="X50" s="107">
        <f t="shared" si="7"/>
        <v>6087</v>
      </c>
      <c r="Y50" s="107">
        <f t="shared" si="8"/>
        <v>6087</v>
      </c>
      <c r="Z50" s="107">
        <f t="shared" si="9"/>
        <v>0</v>
      </c>
      <c r="AA50" s="107">
        <f t="shared" si="10"/>
        <v>1998.6666666666667</v>
      </c>
      <c r="AB50" s="107">
        <f t="shared" si="11"/>
        <v>2017.5</v>
      </c>
      <c r="AC50" s="107">
        <f t="shared" si="12"/>
        <v>2005.6666666666667</v>
      </c>
      <c r="AD50" s="108">
        <f t="shared" si="13"/>
        <v>2016.5</v>
      </c>
      <c r="AE50" s="108">
        <f t="shared" si="14"/>
        <v>-8.3333333333333329E-2</v>
      </c>
      <c r="AF50" s="108">
        <f t="shared" si="15"/>
        <v>2005.6666666666667</v>
      </c>
      <c r="AG50" s="108">
        <f t="shared" si="16"/>
        <v>2016.5</v>
      </c>
      <c r="AH50" s="108">
        <f t="shared" si="17"/>
        <v>-8.3333333333333329E-2</v>
      </c>
    </row>
    <row r="51" spans="1:34" x14ac:dyDescent="0.25">
      <c r="A51">
        <v>28</v>
      </c>
      <c r="B51" t="s">
        <v>466</v>
      </c>
      <c r="C51">
        <v>1999</v>
      </c>
      <c r="D51">
        <v>1</v>
      </c>
      <c r="E51" s="75"/>
      <c r="F51" s="34" t="s">
        <v>436</v>
      </c>
      <c r="G51">
        <v>10</v>
      </c>
      <c r="H51">
        <f t="shared" si="18"/>
        <v>2009</v>
      </c>
      <c r="K51" s="32">
        <v>1518</v>
      </c>
      <c r="L51" s="32"/>
      <c r="M51" s="32">
        <f t="shared" si="19"/>
        <v>1518</v>
      </c>
      <c r="N51" s="107">
        <f t="shared" si="0"/>
        <v>12.65</v>
      </c>
      <c r="O51" s="107">
        <f t="shared" si="1"/>
        <v>0</v>
      </c>
      <c r="P51" s="107">
        <f t="shared" si="2"/>
        <v>0</v>
      </c>
      <c r="Q51" s="107">
        <f t="shared" si="3"/>
        <v>0</v>
      </c>
      <c r="R51" s="105">
        <v>1</v>
      </c>
      <c r="S51" s="107">
        <f t="shared" si="4"/>
        <v>0</v>
      </c>
      <c r="T51" s="105"/>
      <c r="U51" s="107">
        <f t="shared" si="5"/>
        <v>1518</v>
      </c>
      <c r="V51" s="107">
        <f t="shared" si="6"/>
        <v>1518</v>
      </c>
      <c r="W51" s="105">
        <v>1</v>
      </c>
      <c r="X51" s="107">
        <f t="shared" si="7"/>
        <v>1518</v>
      </c>
      <c r="Y51" s="107">
        <f t="shared" si="8"/>
        <v>1518</v>
      </c>
      <c r="Z51" s="107">
        <f t="shared" si="9"/>
        <v>0</v>
      </c>
      <c r="AA51" s="107">
        <f t="shared" si="10"/>
        <v>1999</v>
      </c>
      <c r="AB51" s="107">
        <f t="shared" si="11"/>
        <v>2017.5</v>
      </c>
      <c r="AC51" s="107">
        <f t="shared" si="12"/>
        <v>2009</v>
      </c>
      <c r="AD51" s="108">
        <f t="shared" si="13"/>
        <v>2016.5</v>
      </c>
      <c r="AE51" s="108">
        <f t="shared" si="14"/>
        <v>-8.3333333333333329E-2</v>
      </c>
      <c r="AF51" s="108">
        <f t="shared" si="15"/>
        <v>2009</v>
      </c>
      <c r="AG51" s="108">
        <f t="shared" si="16"/>
        <v>2016.5</v>
      </c>
      <c r="AH51" s="108">
        <f t="shared" si="17"/>
        <v>-8.3333333333333329E-2</v>
      </c>
    </row>
    <row r="52" spans="1:34" x14ac:dyDescent="0.25">
      <c r="A52">
        <v>29</v>
      </c>
      <c r="B52" t="s">
        <v>467</v>
      </c>
      <c r="C52">
        <v>1999</v>
      </c>
      <c r="D52">
        <v>5</v>
      </c>
      <c r="E52" s="75"/>
      <c r="F52" s="34" t="s">
        <v>436</v>
      </c>
      <c r="G52">
        <v>10</v>
      </c>
      <c r="H52">
        <f t="shared" si="18"/>
        <v>2009</v>
      </c>
      <c r="K52" s="32">
        <v>2288</v>
      </c>
      <c r="L52" s="32"/>
      <c r="M52" s="32">
        <f t="shared" si="19"/>
        <v>2288</v>
      </c>
      <c r="N52" s="107">
        <f t="shared" si="0"/>
        <v>19.066666666666666</v>
      </c>
      <c r="O52" s="107">
        <f t="shared" si="1"/>
        <v>0</v>
      </c>
      <c r="P52" s="107">
        <f t="shared" si="2"/>
        <v>0</v>
      </c>
      <c r="Q52" s="107">
        <f t="shared" si="3"/>
        <v>0</v>
      </c>
      <c r="R52" s="105">
        <v>1</v>
      </c>
      <c r="S52" s="107">
        <f t="shared" si="4"/>
        <v>0</v>
      </c>
      <c r="T52" s="105"/>
      <c r="U52" s="107">
        <f t="shared" si="5"/>
        <v>2288</v>
      </c>
      <c r="V52" s="107">
        <f t="shared" si="6"/>
        <v>2288</v>
      </c>
      <c r="W52" s="105">
        <v>1</v>
      </c>
      <c r="X52" s="107">
        <f t="shared" si="7"/>
        <v>2288</v>
      </c>
      <c r="Y52" s="107">
        <f t="shared" si="8"/>
        <v>2288</v>
      </c>
      <c r="Z52" s="107">
        <f t="shared" si="9"/>
        <v>0</v>
      </c>
      <c r="AA52" s="107">
        <f t="shared" si="10"/>
        <v>1999.3333333333333</v>
      </c>
      <c r="AB52" s="107">
        <f t="shared" si="11"/>
        <v>2017.5</v>
      </c>
      <c r="AC52" s="107">
        <f t="shared" si="12"/>
        <v>2009.3333333333333</v>
      </c>
      <c r="AD52" s="108">
        <f t="shared" si="13"/>
        <v>2016.5</v>
      </c>
      <c r="AE52" s="108">
        <f t="shared" si="14"/>
        <v>-8.3333333333333329E-2</v>
      </c>
      <c r="AF52" s="108">
        <f t="shared" si="15"/>
        <v>2009.3333333333333</v>
      </c>
      <c r="AG52" s="108">
        <f t="shared" si="16"/>
        <v>2016.5</v>
      </c>
      <c r="AH52" s="108">
        <f t="shared" si="17"/>
        <v>-8.3333333333333329E-2</v>
      </c>
    </row>
    <row r="53" spans="1:34" x14ac:dyDescent="0.25">
      <c r="A53">
        <v>30</v>
      </c>
      <c r="B53" t="s">
        <v>468</v>
      </c>
      <c r="C53">
        <v>1999</v>
      </c>
      <c r="D53">
        <v>8</v>
      </c>
      <c r="E53" s="75"/>
      <c r="F53" s="34" t="s">
        <v>436</v>
      </c>
      <c r="G53">
        <v>10</v>
      </c>
      <c r="H53">
        <f t="shared" si="18"/>
        <v>2009</v>
      </c>
      <c r="K53" s="32">
        <v>10000</v>
      </c>
      <c r="L53" s="32"/>
      <c r="M53" s="32">
        <f t="shared" si="19"/>
        <v>10000</v>
      </c>
      <c r="N53" s="107">
        <f t="shared" si="0"/>
        <v>83.333333333333329</v>
      </c>
      <c r="O53" s="107">
        <f t="shared" si="1"/>
        <v>0</v>
      </c>
      <c r="P53" s="107">
        <f t="shared" si="2"/>
        <v>0</v>
      </c>
      <c r="Q53" s="107">
        <f t="shared" si="3"/>
        <v>0</v>
      </c>
      <c r="R53" s="105">
        <v>1</v>
      </c>
      <c r="S53" s="107">
        <f t="shared" si="4"/>
        <v>0</v>
      </c>
      <c r="T53" s="105"/>
      <c r="U53" s="107">
        <f t="shared" si="5"/>
        <v>10000</v>
      </c>
      <c r="V53" s="107">
        <f t="shared" si="6"/>
        <v>10000</v>
      </c>
      <c r="W53" s="105">
        <v>1</v>
      </c>
      <c r="X53" s="107">
        <f t="shared" si="7"/>
        <v>10000</v>
      </c>
      <c r="Y53" s="107">
        <f t="shared" si="8"/>
        <v>10000</v>
      </c>
      <c r="Z53" s="107">
        <f t="shared" si="9"/>
        <v>0</v>
      </c>
      <c r="AA53" s="107">
        <f t="shared" si="10"/>
        <v>1999.5833333333333</v>
      </c>
      <c r="AB53" s="107">
        <f t="shared" si="11"/>
        <v>2017.5</v>
      </c>
      <c r="AC53" s="107">
        <f t="shared" si="12"/>
        <v>2009.5833333333333</v>
      </c>
      <c r="AD53" s="108">
        <f t="shared" si="13"/>
        <v>2016.5</v>
      </c>
      <c r="AE53" s="108">
        <f t="shared" si="14"/>
        <v>-8.3333333333333329E-2</v>
      </c>
      <c r="AF53" s="108">
        <f t="shared" si="15"/>
        <v>2009.5833333333333</v>
      </c>
      <c r="AG53" s="108">
        <f t="shared" si="16"/>
        <v>2016.5</v>
      </c>
      <c r="AH53" s="108">
        <f t="shared" si="17"/>
        <v>-8.3333333333333329E-2</v>
      </c>
    </row>
    <row r="54" spans="1:34" x14ac:dyDescent="0.25">
      <c r="A54">
        <v>31</v>
      </c>
      <c r="B54" t="s">
        <v>469</v>
      </c>
      <c r="C54">
        <v>1999</v>
      </c>
      <c r="D54">
        <v>11</v>
      </c>
      <c r="E54" s="75"/>
      <c r="F54" s="34" t="s">
        <v>436</v>
      </c>
      <c r="G54">
        <v>10</v>
      </c>
      <c r="H54">
        <f t="shared" si="18"/>
        <v>2009</v>
      </c>
      <c r="K54" s="32">
        <v>2252</v>
      </c>
      <c r="L54" s="32"/>
      <c r="M54" s="32">
        <f t="shared" si="19"/>
        <v>2252</v>
      </c>
      <c r="N54" s="107">
        <f t="shared" si="0"/>
        <v>18.766666666666666</v>
      </c>
      <c r="O54" s="107">
        <f t="shared" si="1"/>
        <v>0</v>
      </c>
      <c r="P54" s="107">
        <f t="shared" si="2"/>
        <v>0</v>
      </c>
      <c r="Q54" s="107">
        <f t="shared" si="3"/>
        <v>0</v>
      </c>
      <c r="R54" s="105">
        <v>1</v>
      </c>
      <c r="S54" s="107">
        <f t="shared" si="4"/>
        <v>0</v>
      </c>
      <c r="T54" s="105"/>
      <c r="U54" s="107">
        <f t="shared" si="5"/>
        <v>2252</v>
      </c>
      <c r="V54" s="107">
        <f t="shared" si="6"/>
        <v>2252</v>
      </c>
      <c r="W54" s="105">
        <v>1</v>
      </c>
      <c r="X54" s="107">
        <f t="shared" si="7"/>
        <v>2252</v>
      </c>
      <c r="Y54" s="107">
        <f t="shared" si="8"/>
        <v>2252</v>
      </c>
      <c r="Z54" s="107">
        <f t="shared" si="9"/>
        <v>0</v>
      </c>
      <c r="AA54" s="107">
        <f t="shared" si="10"/>
        <v>1999.8333333333333</v>
      </c>
      <c r="AB54" s="107">
        <f t="shared" si="11"/>
        <v>2017.5</v>
      </c>
      <c r="AC54" s="107">
        <f t="shared" si="12"/>
        <v>2009.8333333333333</v>
      </c>
      <c r="AD54" s="108">
        <f t="shared" si="13"/>
        <v>2016.5</v>
      </c>
      <c r="AE54" s="108">
        <f t="shared" si="14"/>
        <v>-8.3333333333333329E-2</v>
      </c>
      <c r="AF54" s="108">
        <f t="shared" si="15"/>
        <v>2009.8333333333333</v>
      </c>
      <c r="AG54" s="108">
        <f t="shared" si="16"/>
        <v>2016.5</v>
      </c>
      <c r="AH54" s="108">
        <f t="shared" si="17"/>
        <v>-8.3333333333333329E-2</v>
      </c>
    </row>
    <row r="55" spans="1:34" x14ac:dyDescent="0.25">
      <c r="A55">
        <v>32</v>
      </c>
      <c r="B55" t="s">
        <v>469</v>
      </c>
      <c r="C55">
        <v>1999</v>
      </c>
      <c r="D55">
        <v>11</v>
      </c>
      <c r="E55" s="75"/>
      <c r="F55" s="34" t="s">
        <v>436</v>
      </c>
      <c r="G55">
        <v>10</v>
      </c>
      <c r="H55">
        <f t="shared" si="18"/>
        <v>2009</v>
      </c>
      <c r="K55" s="32">
        <v>2254</v>
      </c>
      <c r="L55" s="32"/>
      <c r="M55" s="32">
        <f t="shared" si="19"/>
        <v>2254</v>
      </c>
      <c r="N55" s="107">
        <f t="shared" si="0"/>
        <v>18.783333333333335</v>
      </c>
      <c r="O55" s="107">
        <f t="shared" si="1"/>
        <v>0</v>
      </c>
      <c r="P55" s="107">
        <f t="shared" si="2"/>
        <v>0</v>
      </c>
      <c r="Q55" s="107">
        <f t="shared" si="3"/>
        <v>0</v>
      </c>
      <c r="R55" s="105">
        <v>1</v>
      </c>
      <c r="S55" s="107">
        <f t="shared" si="4"/>
        <v>0</v>
      </c>
      <c r="T55" s="105"/>
      <c r="U55" s="107">
        <f t="shared" si="5"/>
        <v>2254</v>
      </c>
      <c r="V55" s="107">
        <f t="shared" si="6"/>
        <v>2254</v>
      </c>
      <c r="W55" s="105">
        <v>1</v>
      </c>
      <c r="X55" s="107">
        <f t="shared" si="7"/>
        <v>2254</v>
      </c>
      <c r="Y55" s="107">
        <f t="shared" si="8"/>
        <v>2254</v>
      </c>
      <c r="Z55" s="107">
        <f t="shared" si="9"/>
        <v>0</v>
      </c>
      <c r="AA55" s="107">
        <f t="shared" si="10"/>
        <v>1999.8333333333333</v>
      </c>
      <c r="AB55" s="107">
        <f t="shared" si="11"/>
        <v>2017.5</v>
      </c>
      <c r="AC55" s="107">
        <f t="shared" si="12"/>
        <v>2009.8333333333333</v>
      </c>
      <c r="AD55" s="108">
        <f t="shared" si="13"/>
        <v>2016.5</v>
      </c>
      <c r="AE55" s="108">
        <f t="shared" si="14"/>
        <v>-8.3333333333333329E-2</v>
      </c>
      <c r="AF55" s="108">
        <f t="shared" si="15"/>
        <v>2009.8333333333333</v>
      </c>
      <c r="AG55" s="108">
        <f t="shared" si="16"/>
        <v>2016.5</v>
      </c>
      <c r="AH55" s="108">
        <f t="shared" si="17"/>
        <v>-8.3333333333333329E-2</v>
      </c>
    </row>
    <row r="56" spans="1:34" x14ac:dyDescent="0.25">
      <c r="A56">
        <v>33</v>
      </c>
      <c r="B56" t="s">
        <v>470</v>
      </c>
      <c r="C56">
        <v>2000</v>
      </c>
      <c r="D56">
        <v>3</v>
      </c>
      <c r="E56" s="75"/>
      <c r="F56" s="34" t="s">
        <v>436</v>
      </c>
      <c r="G56">
        <v>7</v>
      </c>
      <c r="H56">
        <f t="shared" si="18"/>
        <v>2007</v>
      </c>
      <c r="K56" s="32">
        <v>6000</v>
      </c>
      <c r="L56" s="32"/>
      <c r="M56" s="32">
        <f t="shared" si="19"/>
        <v>6000</v>
      </c>
      <c r="N56" s="107">
        <f t="shared" si="0"/>
        <v>71.428571428571431</v>
      </c>
      <c r="O56" s="107">
        <f t="shared" si="1"/>
        <v>0</v>
      </c>
      <c r="P56" s="107">
        <f t="shared" si="2"/>
        <v>0</v>
      </c>
      <c r="Q56" s="107">
        <f t="shared" si="3"/>
        <v>0</v>
      </c>
      <c r="R56" s="105">
        <v>1</v>
      </c>
      <c r="S56" s="107">
        <f t="shared" si="4"/>
        <v>0</v>
      </c>
      <c r="T56" s="105"/>
      <c r="U56" s="107">
        <f t="shared" si="5"/>
        <v>6000</v>
      </c>
      <c r="V56" s="107">
        <f t="shared" si="6"/>
        <v>6000</v>
      </c>
      <c r="W56" s="105">
        <v>1</v>
      </c>
      <c r="X56" s="107">
        <f t="shared" si="7"/>
        <v>6000</v>
      </c>
      <c r="Y56" s="107">
        <f t="shared" si="8"/>
        <v>6000</v>
      </c>
      <c r="Z56" s="107">
        <f t="shared" si="9"/>
        <v>0</v>
      </c>
      <c r="AA56" s="107">
        <f t="shared" si="10"/>
        <v>2000.1666666666667</v>
      </c>
      <c r="AB56" s="107">
        <f t="shared" si="11"/>
        <v>2017.5</v>
      </c>
      <c r="AC56" s="107">
        <f t="shared" si="12"/>
        <v>2007.1666666666667</v>
      </c>
      <c r="AD56" s="108">
        <f t="shared" si="13"/>
        <v>2016.5</v>
      </c>
      <c r="AE56" s="108">
        <f t="shared" si="14"/>
        <v>-8.3333333333333329E-2</v>
      </c>
      <c r="AF56" s="108">
        <f t="shared" si="15"/>
        <v>2007.1666666666667</v>
      </c>
      <c r="AG56" s="108">
        <f t="shared" si="16"/>
        <v>2016.5</v>
      </c>
      <c r="AH56" s="108">
        <f t="shared" si="17"/>
        <v>-8.3333333333333329E-2</v>
      </c>
    </row>
    <row r="57" spans="1:34" x14ac:dyDescent="0.25">
      <c r="A57">
        <v>34</v>
      </c>
      <c r="B57" t="s">
        <v>471</v>
      </c>
      <c r="C57">
        <v>2000</v>
      </c>
      <c r="D57">
        <v>5</v>
      </c>
      <c r="E57" s="75"/>
      <c r="F57" s="34" t="s">
        <v>436</v>
      </c>
      <c r="G57">
        <v>7</v>
      </c>
      <c r="H57">
        <f t="shared" si="18"/>
        <v>2007</v>
      </c>
      <c r="K57" s="32">
        <v>1904</v>
      </c>
      <c r="L57" s="32"/>
      <c r="M57" s="32">
        <f t="shared" si="19"/>
        <v>1904</v>
      </c>
      <c r="N57" s="107">
        <f t="shared" si="0"/>
        <v>22.666666666666668</v>
      </c>
      <c r="O57" s="107">
        <f t="shared" si="1"/>
        <v>0</v>
      </c>
      <c r="P57" s="107">
        <f t="shared" si="2"/>
        <v>0</v>
      </c>
      <c r="Q57" s="107">
        <f t="shared" si="3"/>
        <v>0</v>
      </c>
      <c r="R57" s="105">
        <v>1</v>
      </c>
      <c r="S57" s="107">
        <f t="shared" si="4"/>
        <v>0</v>
      </c>
      <c r="T57" s="105"/>
      <c r="U57" s="107">
        <f t="shared" si="5"/>
        <v>1904</v>
      </c>
      <c r="V57" s="107">
        <f t="shared" si="6"/>
        <v>1904</v>
      </c>
      <c r="W57" s="105">
        <v>1</v>
      </c>
      <c r="X57" s="107">
        <f t="shared" si="7"/>
        <v>1904</v>
      </c>
      <c r="Y57" s="107">
        <f t="shared" si="8"/>
        <v>1904</v>
      </c>
      <c r="Z57" s="107">
        <f t="shared" si="9"/>
        <v>0</v>
      </c>
      <c r="AA57" s="107">
        <f t="shared" si="10"/>
        <v>2000.3333333333333</v>
      </c>
      <c r="AB57" s="107">
        <f t="shared" si="11"/>
        <v>2017.5</v>
      </c>
      <c r="AC57" s="107">
        <f t="shared" si="12"/>
        <v>2007.3333333333333</v>
      </c>
      <c r="AD57" s="108">
        <f t="shared" si="13"/>
        <v>2016.5</v>
      </c>
      <c r="AE57" s="108">
        <f t="shared" si="14"/>
        <v>-8.3333333333333329E-2</v>
      </c>
      <c r="AF57" s="108">
        <f t="shared" si="15"/>
        <v>2007.3333333333333</v>
      </c>
      <c r="AG57" s="108">
        <f t="shared" si="16"/>
        <v>2016.5</v>
      </c>
      <c r="AH57" s="108">
        <f t="shared" si="17"/>
        <v>-8.3333333333333329E-2</v>
      </c>
    </row>
    <row r="58" spans="1:34" x14ac:dyDescent="0.25">
      <c r="A58">
        <v>35</v>
      </c>
      <c r="B58" t="s">
        <v>472</v>
      </c>
      <c r="C58">
        <v>2000</v>
      </c>
      <c r="D58">
        <v>6</v>
      </c>
      <c r="E58" s="75"/>
      <c r="F58" s="34" t="s">
        <v>436</v>
      </c>
      <c r="G58">
        <v>7</v>
      </c>
      <c r="H58">
        <f t="shared" si="18"/>
        <v>2007</v>
      </c>
      <c r="K58" s="32">
        <v>2891</v>
      </c>
      <c r="L58" s="32"/>
      <c r="M58" s="32">
        <f t="shared" si="19"/>
        <v>2891</v>
      </c>
      <c r="N58" s="107">
        <f t="shared" si="0"/>
        <v>34.416666666666664</v>
      </c>
      <c r="O58" s="107">
        <f t="shared" si="1"/>
        <v>0</v>
      </c>
      <c r="P58" s="107">
        <f t="shared" si="2"/>
        <v>0</v>
      </c>
      <c r="Q58" s="107">
        <f t="shared" si="3"/>
        <v>0</v>
      </c>
      <c r="R58" s="105">
        <v>1</v>
      </c>
      <c r="S58" s="107">
        <f t="shared" si="4"/>
        <v>0</v>
      </c>
      <c r="T58" s="105"/>
      <c r="U58" s="107">
        <f t="shared" si="5"/>
        <v>2891</v>
      </c>
      <c r="V58" s="107">
        <f t="shared" si="6"/>
        <v>2891</v>
      </c>
      <c r="W58" s="105">
        <v>1</v>
      </c>
      <c r="X58" s="107">
        <f t="shared" si="7"/>
        <v>2891</v>
      </c>
      <c r="Y58" s="107">
        <f t="shared" si="8"/>
        <v>2891</v>
      </c>
      <c r="Z58" s="107">
        <f t="shared" si="9"/>
        <v>0</v>
      </c>
      <c r="AA58" s="107">
        <f t="shared" si="10"/>
        <v>2000.4166666666667</v>
      </c>
      <c r="AB58" s="107">
        <f t="shared" si="11"/>
        <v>2017.5</v>
      </c>
      <c r="AC58" s="107">
        <f t="shared" si="12"/>
        <v>2007.4166666666667</v>
      </c>
      <c r="AD58" s="108">
        <f t="shared" si="13"/>
        <v>2016.5</v>
      </c>
      <c r="AE58" s="108">
        <f t="shared" si="14"/>
        <v>-8.3333333333333329E-2</v>
      </c>
      <c r="AF58" s="108">
        <f t="shared" si="15"/>
        <v>2007.4166666666667</v>
      </c>
      <c r="AG58" s="108">
        <f t="shared" si="16"/>
        <v>2016.5</v>
      </c>
      <c r="AH58" s="108">
        <f t="shared" si="17"/>
        <v>-8.3333333333333329E-2</v>
      </c>
    </row>
    <row r="59" spans="1:34" x14ac:dyDescent="0.25">
      <c r="A59">
        <v>36</v>
      </c>
      <c r="B59" t="s">
        <v>473</v>
      </c>
      <c r="C59">
        <v>2000</v>
      </c>
      <c r="D59">
        <v>6</v>
      </c>
      <c r="E59" s="75"/>
      <c r="F59" s="34" t="s">
        <v>436</v>
      </c>
      <c r="G59">
        <v>7</v>
      </c>
      <c r="H59">
        <f t="shared" si="18"/>
        <v>2007</v>
      </c>
      <c r="K59" s="32">
        <v>23835</v>
      </c>
      <c r="L59" s="32"/>
      <c r="M59" s="32">
        <f t="shared" si="19"/>
        <v>23835</v>
      </c>
      <c r="N59" s="107">
        <f t="shared" si="0"/>
        <v>283.75</v>
      </c>
      <c r="O59" s="107">
        <f t="shared" si="1"/>
        <v>0</v>
      </c>
      <c r="P59" s="107">
        <f t="shared" si="2"/>
        <v>0</v>
      </c>
      <c r="Q59" s="107">
        <f t="shared" si="3"/>
        <v>0</v>
      </c>
      <c r="R59" s="105">
        <v>1</v>
      </c>
      <c r="S59" s="107">
        <f t="shared" si="4"/>
        <v>0</v>
      </c>
      <c r="T59" s="105"/>
      <c r="U59" s="107">
        <f t="shared" si="5"/>
        <v>23835</v>
      </c>
      <c r="V59" s="107">
        <f t="shared" si="6"/>
        <v>23835</v>
      </c>
      <c r="W59" s="105">
        <v>1</v>
      </c>
      <c r="X59" s="107">
        <f t="shared" si="7"/>
        <v>23835</v>
      </c>
      <c r="Y59" s="107">
        <f t="shared" si="8"/>
        <v>23835</v>
      </c>
      <c r="Z59" s="107">
        <f t="shared" si="9"/>
        <v>0</v>
      </c>
      <c r="AA59" s="107">
        <f t="shared" si="10"/>
        <v>2000.4166666666667</v>
      </c>
      <c r="AB59" s="107">
        <f t="shared" si="11"/>
        <v>2017.5</v>
      </c>
      <c r="AC59" s="107">
        <f t="shared" si="12"/>
        <v>2007.4166666666667</v>
      </c>
      <c r="AD59" s="108">
        <f t="shared" si="13"/>
        <v>2016.5</v>
      </c>
      <c r="AE59" s="108">
        <f t="shared" si="14"/>
        <v>-8.3333333333333329E-2</v>
      </c>
      <c r="AF59" s="108">
        <f t="shared" si="15"/>
        <v>2007.4166666666667</v>
      </c>
      <c r="AG59" s="108">
        <f t="shared" si="16"/>
        <v>2016.5</v>
      </c>
      <c r="AH59" s="108">
        <f t="shared" si="17"/>
        <v>-8.3333333333333329E-2</v>
      </c>
    </row>
    <row r="60" spans="1:34" x14ac:dyDescent="0.25">
      <c r="A60">
        <v>37</v>
      </c>
      <c r="B60" t="s">
        <v>474</v>
      </c>
      <c r="C60">
        <v>2000</v>
      </c>
      <c r="D60">
        <v>6</v>
      </c>
      <c r="E60" s="75"/>
      <c r="F60" s="34" t="s">
        <v>436</v>
      </c>
      <c r="G60">
        <v>7</v>
      </c>
      <c r="H60">
        <f t="shared" si="18"/>
        <v>2007</v>
      </c>
      <c r="K60" s="32">
        <v>12903</v>
      </c>
      <c r="L60" s="32"/>
      <c r="M60" s="32">
        <f t="shared" si="19"/>
        <v>12903</v>
      </c>
      <c r="N60" s="107">
        <f t="shared" si="0"/>
        <v>153.60714285714286</v>
      </c>
      <c r="O60" s="107">
        <f t="shared" si="1"/>
        <v>0</v>
      </c>
      <c r="P60" s="107">
        <f t="shared" si="2"/>
        <v>0</v>
      </c>
      <c r="Q60" s="107">
        <f t="shared" si="3"/>
        <v>0</v>
      </c>
      <c r="R60" s="105">
        <v>1</v>
      </c>
      <c r="S60" s="107">
        <f t="shared" si="4"/>
        <v>0</v>
      </c>
      <c r="T60" s="105"/>
      <c r="U60" s="107">
        <f t="shared" si="5"/>
        <v>12903</v>
      </c>
      <c r="V60" s="107">
        <f t="shared" si="6"/>
        <v>12903</v>
      </c>
      <c r="W60" s="105">
        <v>1</v>
      </c>
      <c r="X60" s="107">
        <f t="shared" si="7"/>
        <v>12903</v>
      </c>
      <c r="Y60" s="107">
        <f t="shared" si="8"/>
        <v>12903</v>
      </c>
      <c r="Z60" s="107">
        <f t="shared" si="9"/>
        <v>0</v>
      </c>
      <c r="AA60" s="107">
        <f t="shared" si="10"/>
        <v>2000.4166666666667</v>
      </c>
      <c r="AB60" s="107">
        <f t="shared" si="11"/>
        <v>2017.5</v>
      </c>
      <c r="AC60" s="107">
        <f t="shared" si="12"/>
        <v>2007.4166666666667</v>
      </c>
      <c r="AD60" s="108">
        <f t="shared" si="13"/>
        <v>2016.5</v>
      </c>
      <c r="AE60" s="108">
        <f t="shared" si="14"/>
        <v>-8.3333333333333329E-2</v>
      </c>
      <c r="AF60" s="108">
        <f t="shared" si="15"/>
        <v>2007.4166666666667</v>
      </c>
      <c r="AG60" s="108">
        <f t="shared" si="16"/>
        <v>2016.5</v>
      </c>
      <c r="AH60" s="108">
        <f t="shared" si="17"/>
        <v>-8.3333333333333329E-2</v>
      </c>
    </row>
    <row r="61" spans="1:34" x14ac:dyDescent="0.25">
      <c r="A61">
        <v>38</v>
      </c>
      <c r="B61" t="s">
        <v>475</v>
      </c>
      <c r="C61">
        <v>2000</v>
      </c>
      <c r="D61">
        <v>8</v>
      </c>
      <c r="E61" s="75"/>
      <c r="F61" s="34" t="s">
        <v>436</v>
      </c>
      <c r="G61">
        <v>7</v>
      </c>
      <c r="H61">
        <f t="shared" si="18"/>
        <v>2007</v>
      </c>
      <c r="K61" s="32">
        <v>2136</v>
      </c>
      <c r="L61" s="32"/>
      <c r="M61" s="32">
        <f t="shared" si="19"/>
        <v>2136</v>
      </c>
      <c r="N61" s="107">
        <f t="shared" si="0"/>
        <v>25.428571428571431</v>
      </c>
      <c r="O61" s="107">
        <f t="shared" si="1"/>
        <v>0</v>
      </c>
      <c r="P61" s="107">
        <f t="shared" si="2"/>
        <v>0</v>
      </c>
      <c r="Q61" s="107">
        <f t="shared" si="3"/>
        <v>0</v>
      </c>
      <c r="R61" s="105">
        <v>1</v>
      </c>
      <c r="S61" s="107">
        <f t="shared" si="4"/>
        <v>0</v>
      </c>
      <c r="T61" s="105"/>
      <c r="U61" s="107">
        <f t="shared" si="5"/>
        <v>2136</v>
      </c>
      <c r="V61" s="107">
        <f t="shared" si="6"/>
        <v>2136</v>
      </c>
      <c r="W61" s="105">
        <v>1</v>
      </c>
      <c r="X61" s="107">
        <f t="shared" si="7"/>
        <v>2136</v>
      </c>
      <c r="Y61" s="107">
        <f t="shared" si="8"/>
        <v>2136</v>
      </c>
      <c r="Z61" s="107">
        <f t="shared" si="9"/>
        <v>0</v>
      </c>
      <c r="AA61" s="107">
        <f t="shared" si="10"/>
        <v>2000.5833333333333</v>
      </c>
      <c r="AB61" s="107">
        <f t="shared" si="11"/>
        <v>2017.5</v>
      </c>
      <c r="AC61" s="107">
        <f t="shared" si="12"/>
        <v>2007.5833333333333</v>
      </c>
      <c r="AD61" s="108">
        <f t="shared" si="13"/>
        <v>2016.5</v>
      </c>
      <c r="AE61" s="108">
        <f t="shared" si="14"/>
        <v>-8.3333333333333329E-2</v>
      </c>
      <c r="AF61" s="108">
        <f t="shared" si="15"/>
        <v>2007.5833333333333</v>
      </c>
      <c r="AG61" s="108">
        <f t="shared" si="16"/>
        <v>2016.5</v>
      </c>
      <c r="AH61" s="108">
        <f t="shared" si="17"/>
        <v>-8.3333333333333329E-2</v>
      </c>
    </row>
    <row r="62" spans="1:34" x14ac:dyDescent="0.25">
      <c r="A62">
        <v>39</v>
      </c>
      <c r="B62" t="s">
        <v>476</v>
      </c>
      <c r="C62">
        <v>2000</v>
      </c>
      <c r="D62">
        <v>9</v>
      </c>
      <c r="E62" s="75"/>
      <c r="F62" s="34" t="s">
        <v>436</v>
      </c>
      <c r="G62">
        <v>7</v>
      </c>
      <c r="H62">
        <f t="shared" si="18"/>
        <v>2007</v>
      </c>
      <c r="K62" s="32">
        <v>2948</v>
      </c>
      <c r="L62" s="32"/>
      <c r="M62" s="32">
        <f t="shared" si="19"/>
        <v>2948</v>
      </c>
      <c r="N62" s="107">
        <f t="shared" si="0"/>
        <v>35.095238095238095</v>
      </c>
      <c r="O62" s="107">
        <f t="shared" si="1"/>
        <v>0</v>
      </c>
      <c r="P62" s="107">
        <f t="shared" si="2"/>
        <v>0</v>
      </c>
      <c r="Q62" s="107">
        <f t="shared" si="3"/>
        <v>0</v>
      </c>
      <c r="R62" s="105">
        <v>1</v>
      </c>
      <c r="S62" s="107">
        <f t="shared" si="4"/>
        <v>0</v>
      </c>
      <c r="T62" s="105"/>
      <c r="U62" s="107">
        <f t="shared" si="5"/>
        <v>2948</v>
      </c>
      <c r="V62" s="107">
        <f t="shared" si="6"/>
        <v>2948</v>
      </c>
      <c r="W62" s="105">
        <v>1</v>
      </c>
      <c r="X62" s="107">
        <f t="shared" si="7"/>
        <v>2948</v>
      </c>
      <c r="Y62" s="107">
        <f t="shared" si="8"/>
        <v>2948</v>
      </c>
      <c r="Z62" s="107">
        <f t="shared" si="9"/>
        <v>0</v>
      </c>
      <c r="AA62" s="107">
        <f t="shared" si="10"/>
        <v>2000.6666666666667</v>
      </c>
      <c r="AB62" s="107">
        <f t="shared" si="11"/>
        <v>2017.5</v>
      </c>
      <c r="AC62" s="107">
        <f t="shared" si="12"/>
        <v>2007.6666666666667</v>
      </c>
      <c r="AD62" s="108">
        <f t="shared" si="13"/>
        <v>2016.5</v>
      </c>
      <c r="AE62" s="108">
        <f t="shared" si="14"/>
        <v>-8.3333333333333329E-2</v>
      </c>
      <c r="AF62" s="108">
        <f t="shared" si="15"/>
        <v>2007.6666666666667</v>
      </c>
      <c r="AG62" s="108">
        <f t="shared" si="16"/>
        <v>2016.5</v>
      </c>
      <c r="AH62" s="108">
        <f t="shared" si="17"/>
        <v>-8.3333333333333329E-2</v>
      </c>
    </row>
    <row r="63" spans="1:34" x14ac:dyDescent="0.25">
      <c r="A63">
        <v>40</v>
      </c>
      <c r="B63" t="s">
        <v>477</v>
      </c>
      <c r="C63">
        <v>2000</v>
      </c>
      <c r="D63">
        <v>9</v>
      </c>
      <c r="E63" s="75"/>
      <c r="F63" s="34" t="s">
        <v>436</v>
      </c>
      <c r="G63">
        <v>7</v>
      </c>
      <c r="H63">
        <f t="shared" si="18"/>
        <v>2007</v>
      </c>
      <c r="K63" s="32">
        <v>3500</v>
      </c>
      <c r="L63" s="32"/>
      <c r="M63" s="32">
        <f t="shared" si="19"/>
        <v>3500</v>
      </c>
      <c r="N63" s="107">
        <f t="shared" si="0"/>
        <v>41.666666666666664</v>
      </c>
      <c r="O63" s="107">
        <f t="shared" si="1"/>
        <v>0</v>
      </c>
      <c r="P63" s="107">
        <f t="shared" si="2"/>
        <v>0</v>
      </c>
      <c r="Q63" s="107">
        <f t="shared" si="3"/>
        <v>0</v>
      </c>
      <c r="R63" s="105">
        <v>1</v>
      </c>
      <c r="S63" s="107">
        <f t="shared" si="4"/>
        <v>0</v>
      </c>
      <c r="T63" s="105"/>
      <c r="U63" s="107">
        <f t="shared" si="5"/>
        <v>3500</v>
      </c>
      <c r="V63" s="107">
        <f t="shared" si="6"/>
        <v>3500</v>
      </c>
      <c r="W63" s="105">
        <v>1</v>
      </c>
      <c r="X63" s="107">
        <f t="shared" si="7"/>
        <v>3500</v>
      </c>
      <c r="Y63" s="107">
        <f t="shared" si="8"/>
        <v>3500</v>
      </c>
      <c r="Z63" s="107">
        <f t="shared" si="9"/>
        <v>0</v>
      </c>
      <c r="AA63" s="107">
        <f t="shared" si="10"/>
        <v>2000.6666666666667</v>
      </c>
      <c r="AB63" s="107">
        <f t="shared" si="11"/>
        <v>2017.5</v>
      </c>
      <c r="AC63" s="107">
        <f t="shared" si="12"/>
        <v>2007.6666666666667</v>
      </c>
      <c r="AD63" s="108">
        <f t="shared" si="13"/>
        <v>2016.5</v>
      </c>
      <c r="AE63" s="108">
        <f t="shared" si="14"/>
        <v>-8.3333333333333329E-2</v>
      </c>
      <c r="AF63" s="108">
        <f t="shared" si="15"/>
        <v>2007.6666666666667</v>
      </c>
      <c r="AG63" s="108">
        <f t="shared" si="16"/>
        <v>2016.5</v>
      </c>
      <c r="AH63" s="108">
        <f t="shared" si="17"/>
        <v>-8.3333333333333329E-2</v>
      </c>
    </row>
    <row r="64" spans="1:34" x14ac:dyDescent="0.25">
      <c r="A64">
        <v>41</v>
      </c>
      <c r="B64" t="s">
        <v>478</v>
      </c>
      <c r="C64">
        <v>2000</v>
      </c>
      <c r="D64">
        <v>10</v>
      </c>
      <c r="E64" s="75"/>
      <c r="F64" s="34" t="s">
        <v>436</v>
      </c>
      <c r="G64">
        <v>7</v>
      </c>
      <c r="H64">
        <f t="shared" si="18"/>
        <v>2007</v>
      </c>
      <c r="K64" s="32">
        <v>2553</v>
      </c>
      <c r="L64" s="32"/>
      <c r="M64" s="32">
        <f t="shared" si="19"/>
        <v>2553</v>
      </c>
      <c r="N64" s="107">
        <f t="shared" si="0"/>
        <v>30.392857142857142</v>
      </c>
      <c r="O64" s="107">
        <f t="shared" si="1"/>
        <v>0</v>
      </c>
      <c r="P64" s="107">
        <f t="shared" si="2"/>
        <v>0</v>
      </c>
      <c r="Q64" s="107">
        <f t="shared" si="3"/>
        <v>0</v>
      </c>
      <c r="R64" s="105">
        <v>1</v>
      </c>
      <c r="S64" s="107">
        <f t="shared" si="4"/>
        <v>0</v>
      </c>
      <c r="T64" s="105"/>
      <c r="U64" s="107">
        <f t="shared" si="5"/>
        <v>2553</v>
      </c>
      <c r="V64" s="107">
        <f t="shared" si="6"/>
        <v>2553</v>
      </c>
      <c r="W64" s="105">
        <v>1</v>
      </c>
      <c r="X64" s="107">
        <f t="shared" si="7"/>
        <v>2553</v>
      </c>
      <c r="Y64" s="107">
        <f t="shared" si="8"/>
        <v>2553</v>
      </c>
      <c r="Z64" s="107">
        <f t="shared" si="9"/>
        <v>0</v>
      </c>
      <c r="AA64" s="107">
        <f t="shared" si="10"/>
        <v>2000.75</v>
      </c>
      <c r="AB64" s="107">
        <f t="shared" si="11"/>
        <v>2017.5</v>
      </c>
      <c r="AC64" s="107">
        <f t="shared" si="12"/>
        <v>2007.75</v>
      </c>
      <c r="AD64" s="108">
        <f t="shared" si="13"/>
        <v>2016.5</v>
      </c>
      <c r="AE64" s="108">
        <f t="shared" si="14"/>
        <v>-8.3333333333333329E-2</v>
      </c>
      <c r="AF64" s="108">
        <f t="shared" si="15"/>
        <v>2007.75</v>
      </c>
      <c r="AG64" s="108">
        <f t="shared" si="16"/>
        <v>2016.5</v>
      </c>
      <c r="AH64" s="108">
        <f t="shared" si="17"/>
        <v>-8.3333333333333329E-2</v>
      </c>
    </row>
    <row r="65" spans="1:34" x14ac:dyDescent="0.25">
      <c r="A65">
        <v>42</v>
      </c>
      <c r="B65" t="s">
        <v>479</v>
      </c>
      <c r="C65">
        <v>2000</v>
      </c>
      <c r="D65">
        <v>10</v>
      </c>
      <c r="E65" s="75"/>
      <c r="F65" s="34" t="s">
        <v>436</v>
      </c>
      <c r="G65">
        <v>7</v>
      </c>
      <c r="H65">
        <f t="shared" si="18"/>
        <v>2007</v>
      </c>
      <c r="K65" s="32">
        <v>6473</v>
      </c>
      <c r="L65" s="32"/>
      <c r="M65" s="32">
        <f t="shared" si="19"/>
        <v>6473</v>
      </c>
      <c r="N65" s="107">
        <f t="shared" si="0"/>
        <v>77.05952380952381</v>
      </c>
      <c r="O65" s="107">
        <f t="shared" si="1"/>
        <v>0</v>
      </c>
      <c r="P65" s="107">
        <f t="shared" si="2"/>
        <v>0</v>
      </c>
      <c r="Q65" s="107">
        <f t="shared" si="3"/>
        <v>0</v>
      </c>
      <c r="R65" s="105">
        <v>1</v>
      </c>
      <c r="S65" s="107">
        <f t="shared" si="4"/>
        <v>0</v>
      </c>
      <c r="T65" s="105"/>
      <c r="U65" s="107">
        <f t="shared" si="5"/>
        <v>6473</v>
      </c>
      <c r="V65" s="107">
        <f t="shared" si="6"/>
        <v>6473</v>
      </c>
      <c r="W65" s="105">
        <v>1</v>
      </c>
      <c r="X65" s="107">
        <f t="shared" si="7"/>
        <v>6473</v>
      </c>
      <c r="Y65" s="107">
        <f t="shared" si="8"/>
        <v>6473</v>
      </c>
      <c r="Z65" s="107">
        <f t="shared" si="9"/>
        <v>0</v>
      </c>
      <c r="AA65" s="107">
        <f t="shared" si="10"/>
        <v>2000.75</v>
      </c>
      <c r="AB65" s="107">
        <f t="shared" si="11"/>
        <v>2017.5</v>
      </c>
      <c r="AC65" s="107">
        <f t="shared" si="12"/>
        <v>2007.75</v>
      </c>
      <c r="AD65" s="108">
        <f t="shared" si="13"/>
        <v>2016.5</v>
      </c>
      <c r="AE65" s="108">
        <f t="shared" si="14"/>
        <v>-8.3333333333333329E-2</v>
      </c>
      <c r="AF65" s="108">
        <f t="shared" si="15"/>
        <v>2007.75</v>
      </c>
      <c r="AG65" s="108">
        <f t="shared" si="16"/>
        <v>2016.5</v>
      </c>
      <c r="AH65" s="108">
        <f t="shared" si="17"/>
        <v>-8.3333333333333329E-2</v>
      </c>
    </row>
    <row r="66" spans="1:34" x14ac:dyDescent="0.25">
      <c r="A66">
        <v>43</v>
      </c>
      <c r="B66" t="s">
        <v>480</v>
      </c>
      <c r="C66">
        <v>2000</v>
      </c>
      <c r="D66">
        <v>11</v>
      </c>
      <c r="E66" s="75"/>
      <c r="F66" s="34" t="s">
        <v>436</v>
      </c>
      <c r="G66">
        <v>10</v>
      </c>
      <c r="H66">
        <f t="shared" si="18"/>
        <v>2010</v>
      </c>
      <c r="K66" s="32">
        <v>115000</v>
      </c>
      <c r="L66" s="32"/>
      <c r="M66" s="32">
        <f t="shared" si="19"/>
        <v>115000</v>
      </c>
      <c r="N66" s="107">
        <f t="shared" si="0"/>
        <v>958.33333333333337</v>
      </c>
      <c r="O66" s="107">
        <f t="shared" si="1"/>
        <v>0</v>
      </c>
      <c r="P66" s="107">
        <f t="shared" si="2"/>
        <v>0</v>
      </c>
      <c r="Q66" s="107">
        <f t="shared" si="3"/>
        <v>0</v>
      </c>
      <c r="R66" s="105">
        <v>1</v>
      </c>
      <c r="S66" s="107">
        <f t="shared" si="4"/>
        <v>0</v>
      </c>
      <c r="T66" s="105"/>
      <c r="U66" s="107">
        <f t="shared" si="5"/>
        <v>115000</v>
      </c>
      <c r="V66" s="107">
        <f t="shared" si="6"/>
        <v>115000</v>
      </c>
      <c r="W66" s="105">
        <v>1</v>
      </c>
      <c r="X66" s="107">
        <f t="shared" si="7"/>
        <v>115000</v>
      </c>
      <c r="Y66" s="107">
        <f t="shared" si="8"/>
        <v>115000</v>
      </c>
      <c r="Z66" s="107">
        <f t="shared" si="9"/>
        <v>0</v>
      </c>
      <c r="AA66" s="107">
        <f t="shared" si="10"/>
        <v>2000.8333333333333</v>
      </c>
      <c r="AB66" s="107">
        <f t="shared" si="11"/>
        <v>2017.5</v>
      </c>
      <c r="AC66" s="107">
        <f t="shared" si="12"/>
        <v>2010.8333333333333</v>
      </c>
      <c r="AD66" s="108">
        <f t="shared" si="13"/>
        <v>2016.5</v>
      </c>
      <c r="AE66" s="108">
        <f t="shared" si="14"/>
        <v>-8.3333333333333329E-2</v>
      </c>
      <c r="AF66" s="108">
        <f t="shared" si="15"/>
        <v>2010.8333333333333</v>
      </c>
      <c r="AG66" s="108">
        <f t="shared" si="16"/>
        <v>2016.5</v>
      </c>
      <c r="AH66" s="108">
        <f t="shared" si="17"/>
        <v>-8.3333333333333329E-2</v>
      </c>
    </row>
    <row r="67" spans="1:34" x14ac:dyDescent="0.25">
      <c r="A67">
        <v>44</v>
      </c>
      <c r="B67" t="s">
        <v>481</v>
      </c>
      <c r="C67">
        <v>2001</v>
      </c>
      <c r="D67">
        <v>2</v>
      </c>
      <c r="E67" s="75"/>
      <c r="F67" s="34" t="s">
        <v>436</v>
      </c>
      <c r="G67">
        <v>10</v>
      </c>
      <c r="H67">
        <f t="shared" si="18"/>
        <v>2011</v>
      </c>
      <c r="K67" s="32">
        <v>11145</v>
      </c>
      <c r="L67" s="32"/>
      <c r="M67" s="32">
        <f t="shared" si="19"/>
        <v>11145</v>
      </c>
      <c r="N67" s="107">
        <f t="shared" si="0"/>
        <v>92.875</v>
      </c>
      <c r="O67" s="107">
        <f t="shared" si="1"/>
        <v>0</v>
      </c>
      <c r="P67" s="107">
        <f t="shared" si="2"/>
        <v>0</v>
      </c>
      <c r="Q67" s="107">
        <f t="shared" si="3"/>
        <v>0</v>
      </c>
      <c r="R67" s="105">
        <v>1</v>
      </c>
      <c r="S67" s="107">
        <f t="shared" si="4"/>
        <v>0</v>
      </c>
      <c r="T67" s="105"/>
      <c r="U67" s="107">
        <f t="shared" si="5"/>
        <v>11145</v>
      </c>
      <c r="V67" s="107">
        <f t="shared" si="6"/>
        <v>11145</v>
      </c>
      <c r="W67" s="105">
        <v>1</v>
      </c>
      <c r="X67" s="107">
        <f t="shared" si="7"/>
        <v>11145</v>
      </c>
      <c r="Y67" s="107">
        <f t="shared" si="8"/>
        <v>11145</v>
      </c>
      <c r="Z67" s="107">
        <f t="shared" si="9"/>
        <v>0</v>
      </c>
      <c r="AA67" s="107">
        <f t="shared" si="10"/>
        <v>2001.0833333333333</v>
      </c>
      <c r="AB67" s="107">
        <f t="shared" si="11"/>
        <v>2017.5</v>
      </c>
      <c r="AC67" s="107">
        <f t="shared" si="12"/>
        <v>2011.0833333333333</v>
      </c>
      <c r="AD67" s="108">
        <f t="shared" si="13"/>
        <v>2016.5</v>
      </c>
      <c r="AE67" s="108">
        <f t="shared" si="14"/>
        <v>-8.3333333333333329E-2</v>
      </c>
      <c r="AF67" s="108">
        <f t="shared" si="15"/>
        <v>2011.0833333333333</v>
      </c>
      <c r="AG67" s="108">
        <f t="shared" si="16"/>
        <v>2016.5</v>
      </c>
      <c r="AH67" s="108">
        <f t="shared" si="17"/>
        <v>-8.3333333333333329E-2</v>
      </c>
    </row>
    <row r="68" spans="1:34" x14ac:dyDescent="0.25">
      <c r="A68">
        <v>45</v>
      </c>
      <c r="B68" t="s">
        <v>482</v>
      </c>
      <c r="C68">
        <v>2001</v>
      </c>
      <c r="D68">
        <v>2</v>
      </c>
      <c r="E68" s="75"/>
      <c r="F68" s="34" t="s">
        <v>436</v>
      </c>
      <c r="G68">
        <v>10</v>
      </c>
      <c r="H68">
        <f t="shared" si="18"/>
        <v>2011</v>
      </c>
      <c r="K68" s="32">
        <v>3500</v>
      </c>
      <c r="L68" s="32"/>
      <c r="M68" s="32">
        <f t="shared" si="19"/>
        <v>3500</v>
      </c>
      <c r="N68" s="107">
        <f t="shared" si="0"/>
        <v>29.166666666666668</v>
      </c>
      <c r="O68" s="107">
        <f t="shared" si="1"/>
        <v>0</v>
      </c>
      <c r="P68" s="107">
        <f t="shared" si="2"/>
        <v>0</v>
      </c>
      <c r="Q68" s="107">
        <f t="shared" si="3"/>
        <v>0</v>
      </c>
      <c r="R68" s="105">
        <v>1</v>
      </c>
      <c r="S68" s="107">
        <f t="shared" si="4"/>
        <v>0</v>
      </c>
      <c r="T68" s="105"/>
      <c r="U68" s="107">
        <f t="shared" si="5"/>
        <v>3500</v>
      </c>
      <c r="V68" s="107">
        <f t="shared" si="6"/>
        <v>3500</v>
      </c>
      <c r="W68" s="105">
        <v>1</v>
      </c>
      <c r="X68" s="107">
        <f t="shared" si="7"/>
        <v>3500</v>
      </c>
      <c r="Y68" s="107">
        <f t="shared" si="8"/>
        <v>3500</v>
      </c>
      <c r="Z68" s="107">
        <f t="shared" si="9"/>
        <v>0</v>
      </c>
      <c r="AA68" s="107">
        <f t="shared" si="10"/>
        <v>2001.0833333333333</v>
      </c>
      <c r="AB68" s="107">
        <f t="shared" si="11"/>
        <v>2017.5</v>
      </c>
      <c r="AC68" s="107">
        <f t="shared" si="12"/>
        <v>2011.0833333333333</v>
      </c>
      <c r="AD68" s="108">
        <f t="shared" si="13"/>
        <v>2016.5</v>
      </c>
      <c r="AE68" s="108">
        <f t="shared" si="14"/>
        <v>-8.3333333333333329E-2</v>
      </c>
      <c r="AF68" s="108">
        <f t="shared" si="15"/>
        <v>2011.0833333333333</v>
      </c>
      <c r="AG68" s="108">
        <f t="shared" si="16"/>
        <v>2016.5</v>
      </c>
      <c r="AH68" s="108">
        <f t="shared" si="17"/>
        <v>-8.3333333333333329E-2</v>
      </c>
    </row>
    <row r="69" spans="1:34" x14ac:dyDescent="0.25">
      <c r="A69">
        <v>46</v>
      </c>
      <c r="B69" t="s">
        <v>483</v>
      </c>
      <c r="C69">
        <v>2001</v>
      </c>
      <c r="D69">
        <v>11</v>
      </c>
      <c r="E69" s="75"/>
      <c r="F69" s="34" t="s">
        <v>436</v>
      </c>
      <c r="G69">
        <v>10</v>
      </c>
      <c r="H69">
        <f t="shared" si="18"/>
        <v>2011</v>
      </c>
      <c r="K69" s="32">
        <v>3000</v>
      </c>
      <c r="L69" s="32"/>
      <c r="M69" s="32">
        <f t="shared" si="19"/>
        <v>3000</v>
      </c>
      <c r="N69" s="107">
        <f t="shared" si="0"/>
        <v>25</v>
      </c>
      <c r="O69" s="107">
        <f t="shared" si="1"/>
        <v>0</v>
      </c>
      <c r="P69" s="107">
        <f t="shared" si="2"/>
        <v>0</v>
      </c>
      <c r="Q69" s="107">
        <f t="shared" si="3"/>
        <v>0</v>
      </c>
      <c r="R69" s="105">
        <v>1</v>
      </c>
      <c r="S69" s="107">
        <f t="shared" si="4"/>
        <v>0</v>
      </c>
      <c r="T69" s="105"/>
      <c r="U69" s="107">
        <f t="shared" si="5"/>
        <v>3000</v>
      </c>
      <c r="V69" s="107">
        <f t="shared" si="6"/>
        <v>3000</v>
      </c>
      <c r="W69" s="105">
        <v>1</v>
      </c>
      <c r="X69" s="107">
        <f t="shared" si="7"/>
        <v>3000</v>
      </c>
      <c r="Y69" s="107">
        <f t="shared" si="8"/>
        <v>3000</v>
      </c>
      <c r="Z69" s="107">
        <f t="shared" si="9"/>
        <v>0</v>
      </c>
      <c r="AA69" s="107">
        <f t="shared" si="10"/>
        <v>2001.8333333333333</v>
      </c>
      <c r="AB69" s="107">
        <f t="shared" si="11"/>
        <v>2017.5</v>
      </c>
      <c r="AC69" s="107">
        <f t="shared" si="12"/>
        <v>2011.8333333333333</v>
      </c>
      <c r="AD69" s="108">
        <f t="shared" si="13"/>
        <v>2016.5</v>
      </c>
      <c r="AE69" s="108">
        <f t="shared" si="14"/>
        <v>-8.3333333333333329E-2</v>
      </c>
      <c r="AF69" s="108">
        <f t="shared" si="15"/>
        <v>2011.8333333333333</v>
      </c>
      <c r="AG69" s="108">
        <f t="shared" si="16"/>
        <v>2016.5</v>
      </c>
      <c r="AH69" s="108">
        <f t="shared" si="17"/>
        <v>-8.3333333333333329E-2</v>
      </c>
    </row>
    <row r="70" spans="1:34" x14ac:dyDescent="0.25">
      <c r="A70">
        <v>47</v>
      </c>
      <c r="B70" t="s">
        <v>484</v>
      </c>
      <c r="C70">
        <v>2001</v>
      </c>
      <c r="D70">
        <v>11</v>
      </c>
      <c r="E70" s="75"/>
      <c r="F70" s="34" t="s">
        <v>436</v>
      </c>
      <c r="G70">
        <v>10</v>
      </c>
      <c r="H70">
        <f t="shared" si="18"/>
        <v>2011</v>
      </c>
      <c r="K70" s="32">
        <v>1298</v>
      </c>
      <c r="L70" s="32"/>
      <c r="M70" s="32">
        <f t="shared" si="19"/>
        <v>1298</v>
      </c>
      <c r="N70" s="107">
        <f t="shared" si="0"/>
        <v>10.816666666666668</v>
      </c>
      <c r="O70" s="107">
        <f t="shared" si="1"/>
        <v>0</v>
      </c>
      <c r="P70" s="107">
        <f t="shared" si="2"/>
        <v>0</v>
      </c>
      <c r="Q70" s="107">
        <f t="shared" si="3"/>
        <v>0</v>
      </c>
      <c r="R70" s="105">
        <v>1</v>
      </c>
      <c r="S70" s="107">
        <f t="shared" si="4"/>
        <v>0</v>
      </c>
      <c r="T70" s="105"/>
      <c r="U70" s="107">
        <f t="shared" si="5"/>
        <v>1298</v>
      </c>
      <c r="V70" s="107">
        <f t="shared" si="6"/>
        <v>1298</v>
      </c>
      <c r="W70" s="105">
        <v>1</v>
      </c>
      <c r="X70" s="107">
        <f t="shared" si="7"/>
        <v>1298</v>
      </c>
      <c r="Y70" s="107">
        <f t="shared" si="8"/>
        <v>1298</v>
      </c>
      <c r="Z70" s="107">
        <f t="shared" si="9"/>
        <v>0</v>
      </c>
      <c r="AA70" s="107">
        <f t="shared" si="10"/>
        <v>2001.8333333333333</v>
      </c>
      <c r="AB70" s="107">
        <f t="shared" si="11"/>
        <v>2017.5</v>
      </c>
      <c r="AC70" s="107">
        <f t="shared" si="12"/>
        <v>2011.8333333333333</v>
      </c>
      <c r="AD70" s="108">
        <f t="shared" si="13"/>
        <v>2016.5</v>
      </c>
      <c r="AE70" s="108">
        <f t="shared" si="14"/>
        <v>-8.3333333333333329E-2</v>
      </c>
      <c r="AF70" s="108">
        <f t="shared" si="15"/>
        <v>2011.8333333333333</v>
      </c>
      <c r="AG70" s="108">
        <f t="shared" si="16"/>
        <v>2016.5</v>
      </c>
      <c r="AH70" s="108">
        <f t="shared" si="17"/>
        <v>-8.3333333333333329E-2</v>
      </c>
    </row>
    <row r="71" spans="1:34" x14ac:dyDescent="0.25">
      <c r="A71">
        <v>48</v>
      </c>
      <c r="B71" t="s">
        <v>485</v>
      </c>
      <c r="C71">
        <v>2002</v>
      </c>
      <c r="D71">
        <v>2</v>
      </c>
      <c r="E71" s="75"/>
      <c r="F71" s="34" t="s">
        <v>436</v>
      </c>
      <c r="G71">
        <v>5</v>
      </c>
      <c r="H71">
        <f t="shared" si="18"/>
        <v>2007</v>
      </c>
      <c r="K71" s="32">
        <v>1840</v>
      </c>
      <c r="L71" s="32"/>
      <c r="M71" s="32">
        <f t="shared" si="19"/>
        <v>1840</v>
      </c>
      <c r="N71" s="107">
        <f t="shared" si="0"/>
        <v>30.666666666666668</v>
      </c>
      <c r="O71" s="107">
        <f t="shared" si="1"/>
        <v>0</v>
      </c>
      <c r="P71" s="107">
        <f t="shared" si="2"/>
        <v>0</v>
      </c>
      <c r="Q71" s="107">
        <f t="shared" si="3"/>
        <v>0</v>
      </c>
      <c r="R71" s="105">
        <v>1</v>
      </c>
      <c r="S71" s="107">
        <f t="shared" si="4"/>
        <v>0</v>
      </c>
      <c r="T71" s="105"/>
      <c r="U71" s="107">
        <f t="shared" si="5"/>
        <v>1840</v>
      </c>
      <c r="V71" s="107">
        <f t="shared" si="6"/>
        <v>1840</v>
      </c>
      <c r="W71" s="105">
        <v>1</v>
      </c>
      <c r="X71" s="107">
        <f t="shared" si="7"/>
        <v>1840</v>
      </c>
      <c r="Y71" s="107">
        <f t="shared" si="8"/>
        <v>1840</v>
      </c>
      <c r="Z71" s="107">
        <f t="shared" si="9"/>
        <v>0</v>
      </c>
      <c r="AA71" s="107">
        <f t="shared" si="10"/>
        <v>2002.0833333333333</v>
      </c>
      <c r="AB71" s="107">
        <f t="shared" si="11"/>
        <v>2017.5</v>
      </c>
      <c r="AC71" s="107">
        <f t="shared" si="12"/>
        <v>2007.0833333333333</v>
      </c>
      <c r="AD71" s="108">
        <f t="shared" si="13"/>
        <v>2016.5</v>
      </c>
      <c r="AE71" s="108">
        <f t="shared" si="14"/>
        <v>-8.3333333333333329E-2</v>
      </c>
      <c r="AF71" s="108">
        <f t="shared" si="15"/>
        <v>2007.0833333333333</v>
      </c>
      <c r="AG71" s="108">
        <f t="shared" si="16"/>
        <v>2016.5</v>
      </c>
      <c r="AH71" s="108">
        <f t="shared" si="17"/>
        <v>-8.3333333333333329E-2</v>
      </c>
    </row>
    <row r="72" spans="1:34" x14ac:dyDescent="0.25">
      <c r="A72">
        <v>49</v>
      </c>
      <c r="B72" t="s">
        <v>486</v>
      </c>
      <c r="C72">
        <v>2002</v>
      </c>
      <c r="D72">
        <v>7</v>
      </c>
      <c r="E72" s="75"/>
      <c r="F72" s="34" t="s">
        <v>436</v>
      </c>
      <c r="G72">
        <v>5</v>
      </c>
      <c r="H72">
        <f t="shared" si="18"/>
        <v>2007</v>
      </c>
      <c r="K72" s="32">
        <v>2848</v>
      </c>
      <c r="L72" s="32"/>
      <c r="M72" s="32">
        <f t="shared" si="19"/>
        <v>2848</v>
      </c>
      <c r="N72" s="107">
        <f t="shared" si="0"/>
        <v>47.466666666666669</v>
      </c>
      <c r="O72" s="107">
        <f t="shared" si="1"/>
        <v>0</v>
      </c>
      <c r="P72" s="107">
        <f t="shared" si="2"/>
        <v>0</v>
      </c>
      <c r="Q72" s="107">
        <f t="shared" si="3"/>
        <v>0</v>
      </c>
      <c r="R72" s="105">
        <v>1</v>
      </c>
      <c r="S72" s="107">
        <f t="shared" si="4"/>
        <v>0</v>
      </c>
      <c r="T72" s="105"/>
      <c r="U72" s="107">
        <f t="shared" si="5"/>
        <v>2848</v>
      </c>
      <c r="V72" s="107">
        <f t="shared" si="6"/>
        <v>2848</v>
      </c>
      <c r="W72" s="105">
        <v>1</v>
      </c>
      <c r="X72" s="107">
        <f t="shared" si="7"/>
        <v>2848</v>
      </c>
      <c r="Y72" s="107">
        <f t="shared" si="8"/>
        <v>2848</v>
      </c>
      <c r="Z72" s="107">
        <f t="shared" si="9"/>
        <v>0</v>
      </c>
      <c r="AA72" s="107">
        <f t="shared" si="10"/>
        <v>2002.5</v>
      </c>
      <c r="AB72" s="107">
        <f t="shared" si="11"/>
        <v>2017.5</v>
      </c>
      <c r="AC72" s="107">
        <f t="shared" si="12"/>
        <v>2007.5</v>
      </c>
      <c r="AD72" s="108">
        <f t="shared" si="13"/>
        <v>2016.5</v>
      </c>
      <c r="AE72" s="108">
        <f t="shared" si="14"/>
        <v>-8.3333333333333329E-2</v>
      </c>
      <c r="AF72" s="108">
        <f t="shared" si="15"/>
        <v>2007.5</v>
      </c>
      <c r="AG72" s="108">
        <f t="shared" si="16"/>
        <v>2016.5</v>
      </c>
      <c r="AH72" s="108">
        <f t="shared" si="17"/>
        <v>-8.3333333333333329E-2</v>
      </c>
    </row>
    <row r="73" spans="1:34" x14ac:dyDescent="0.25">
      <c r="A73">
        <v>50</v>
      </c>
      <c r="B73" t="s">
        <v>487</v>
      </c>
      <c r="C73">
        <v>2002</v>
      </c>
      <c r="D73">
        <v>7</v>
      </c>
      <c r="E73" s="75"/>
      <c r="F73" s="34" t="s">
        <v>436</v>
      </c>
      <c r="G73">
        <v>5</v>
      </c>
      <c r="H73">
        <f t="shared" si="18"/>
        <v>2007</v>
      </c>
      <c r="K73" s="32">
        <v>1513</v>
      </c>
      <c r="L73" s="32"/>
      <c r="M73" s="32">
        <f t="shared" si="19"/>
        <v>1513</v>
      </c>
      <c r="N73" s="107">
        <f t="shared" si="0"/>
        <v>25.216666666666669</v>
      </c>
      <c r="O73" s="107">
        <f t="shared" si="1"/>
        <v>0</v>
      </c>
      <c r="P73" s="107">
        <f t="shared" si="2"/>
        <v>0</v>
      </c>
      <c r="Q73" s="107">
        <f t="shared" si="3"/>
        <v>0</v>
      </c>
      <c r="R73" s="105">
        <v>1</v>
      </c>
      <c r="S73" s="107">
        <f t="shared" si="4"/>
        <v>0</v>
      </c>
      <c r="T73" s="105"/>
      <c r="U73" s="107">
        <f t="shared" si="5"/>
        <v>1513</v>
      </c>
      <c r="V73" s="107">
        <f t="shared" si="6"/>
        <v>1513</v>
      </c>
      <c r="W73" s="105">
        <v>1</v>
      </c>
      <c r="X73" s="107">
        <f t="shared" si="7"/>
        <v>1513</v>
      </c>
      <c r="Y73" s="107">
        <f t="shared" si="8"/>
        <v>1513</v>
      </c>
      <c r="Z73" s="107">
        <f t="shared" si="9"/>
        <v>0</v>
      </c>
      <c r="AA73" s="107">
        <f t="shared" si="10"/>
        <v>2002.5</v>
      </c>
      <c r="AB73" s="107">
        <f t="shared" si="11"/>
        <v>2017.5</v>
      </c>
      <c r="AC73" s="107">
        <f t="shared" si="12"/>
        <v>2007.5</v>
      </c>
      <c r="AD73" s="108">
        <f t="shared" si="13"/>
        <v>2016.5</v>
      </c>
      <c r="AE73" s="108">
        <f t="shared" si="14"/>
        <v>-8.3333333333333329E-2</v>
      </c>
      <c r="AF73" s="108">
        <f t="shared" si="15"/>
        <v>2007.5</v>
      </c>
      <c r="AG73" s="108">
        <f t="shared" si="16"/>
        <v>2016.5</v>
      </c>
      <c r="AH73" s="108">
        <f t="shared" si="17"/>
        <v>-8.3333333333333329E-2</v>
      </c>
    </row>
    <row r="74" spans="1:34" x14ac:dyDescent="0.25">
      <c r="A74">
        <v>51</v>
      </c>
      <c r="B74" t="s">
        <v>488</v>
      </c>
      <c r="C74">
        <v>2002</v>
      </c>
      <c r="D74">
        <v>9</v>
      </c>
      <c r="E74" s="75"/>
      <c r="F74" s="34" t="s">
        <v>436</v>
      </c>
      <c r="G74">
        <v>5</v>
      </c>
      <c r="H74">
        <f t="shared" si="18"/>
        <v>2007</v>
      </c>
      <c r="K74" s="32">
        <v>13982</v>
      </c>
      <c r="L74" s="32"/>
      <c r="M74" s="32">
        <f t="shared" si="19"/>
        <v>13982</v>
      </c>
      <c r="N74" s="107">
        <f t="shared" si="0"/>
        <v>233.03333333333333</v>
      </c>
      <c r="O74" s="107">
        <f t="shared" si="1"/>
        <v>0</v>
      </c>
      <c r="P74" s="107">
        <f t="shared" si="2"/>
        <v>0</v>
      </c>
      <c r="Q74" s="107">
        <f t="shared" si="3"/>
        <v>0</v>
      </c>
      <c r="R74" s="105">
        <v>1</v>
      </c>
      <c r="S74" s="107">
        <f t="shared" si="4"/>
        <v>0</v>
      </c>
      <c r="T74" s="105"/>
      <c r="U74" s="107">
        <f t="shared" si="5"/>
        <v>13982</v>
      </c>
      <c r="V74" s="107">
        <f t="shared" si="6"/>
        <v>13982</v>
      </c>
      <c r="W74" s="105">
        <v>1</v>
      </c>
      <c r="X74" s="107">
        <f t="shared" si="7"/>
        <v>13982</v>
      </c>
      <c r="Y74" s="107">
        <f t="shared" si="8"/>
        <v>13982</v>
      </c>
      <c r="Z74" s="107">
        <f t="shared" si="9"/>
        <v>0</v>
      </c>
      <c r="AA74" s="107">
        <f t="shared" si="10"/>
        <v>2002.6666666666667</v>
      </c>
      <c r="AB74" s="107">
        <f t="shared" si="11"/>
        <v>2017.5</v>
      </c>
      <c r="AC74" s="107">
        <f t="shared" si="12"/>
        <v>2007.6666666666667</v>
      </c>
      <c r="AD74" s="108">
        <f t="shared" si="13"/>
        <v>2016.5</v>
      </c>
      <c r="AE74" s="108">
        <f t="shared" si="14"/>
        <v>-8.3333333333333329E-2</v>
      </c>
      <c r="AF74" s="108">
        <f t="shared" si="15"/>
        <v>2007.6666666666667</v>
      </c>
      <c r="AG74" s="108">
        <f t="shared" si="16"/>
        <v>2016.5</v>
      </c>
      <c r="AH74" s="108">
        <f t="shared" si="17"/>
        <v>-8.3333333333333329E-2</v>
      </c>
    </row>
    <row r="75" spans="1:34" x14ac:dyDescent="0.25">
      <c r="A75">
        <v>52</v>
      </c>
      <c r="B75" t="s">
        <v>489</v>
      </c>
      <c r="C75">
        <v>2003</v>
      </c>
      <c r="D75">
        <v>8</v>
      </c>
      <c r="E75" s="75"/>
      <c r="F75" s="34" t="s">
        <v>436</v>
      </c>
      <c r="G75">
        <v>10</v>
      </c>
      <c r="H75">
        <f t="shared" si="18"/>
        <v>2013</v>
      </c>
      <c r="K75" s="32">
        <v>21498</v>
      </c>
      <c r="L75" s="32"/>
      <c r="M75" s="32">
        <f t="shared" si="19"/>
        <v>21498</v>
      </c>
      <c r="N75" s="107">
        <f t="shared" si="0"/>
        <v>179.15</v>
      </c>
      <c r="O75" s="107">
        <f t="shared" si="1"/>
        <v>0</v>
      </c>
      <c r="P75" s="107">
        <f t="shared" si="2"/>
        <v>0</v>
      </c>
      <c r="Q75" s="107">
        <f t="shared" si="3"/>
        <v>0</v>
      </c>
      <c r="R75" s="105">
        <v>1</v>
      </c>
      <c r="S75" s="107">
        <f t="shared" si="4"/>
        <v>0</v>
      </c>
      <c r="T75" s="105"/>
      <c r="U75" s="107">
        <f t="shared" si="5"/>
        <v>21498</v>
      </c>
      <c r="V75" s="107">
        <f t="shared" si="6"/>
        <v>21498</v>
      </c>
      <c r="W75" s="105">
        <v>1</v>
      </c>
      <c r="X75" s="107">
        <f t="shared" si="7"/>
        <v>21498</v>
      </c>
      <c r="Y75" s="107">
        <f t="shared" si="8"/>
        <v>21498</v>
      </c>
      <c r="Z75" s="107">
        <f t="shared" si="9"/>
        <v>0</v>
      </c>
      <c r="AA75" s="107">
        <f t="shared" si="10"/>
        <v>2003.5833333333333</v>
      </c>
      <c r="AB75" s="107">
        <f t="shared" si="11"/>
        <v>2017.5</v>
      </c>
      <c r="AC75" s="107">
        <f t="shared" si="12"/>
        <v>2013.5833333333333</v>
      </c>
      <c r="AD75" s="108">
        <f t="shared" si="13"/>
        <v>2016.5</v>
      </c>
      <c r="AE75" s="108">
        <f t="shared" si="14"/>
        <v>-8.3333333333333329E-2</v>
      </c>
      <c r="AF75" s="108">
        <f t="shared" si="15"/>
        <v>2013.5833333333333</v>
      </c>
      <c r="AG75" s="108">
        <f t="shared" si="16"/>
        <v>2016.5</v>
      </c>
      <c r="AH75" s="108">
        <f t="shared" si="17"/>
        <v>-8.3333333333333329E-2</v>
      </c>
    </row>
    <row r="76" spans="1:34" x14ac:dyDescent="0.25">
      <c r="A76">
        <v>53</v>
      </c>
      <c r="B76" t="s">
        <v>460</v>
      </c>
      <c r="C76">
        <v>1996</v>
      </c>
      <c r="D76">
        <v>11</v>
      </c>
      <c r="E76" s="75"/>
      <c r="F76" s="34" t="s">
        <v>436</v>
      </c>
      <c r="G76">
        <v>10</v>
      </c>
      <c r="H76">
        <f t="shared" si="18"/>
        <v>2006</v>
      </c>
      <c r="K76" s="32">
        <v>7851</v>
      </c>
      <c r="L76" s="32"/>
      <c r="M76" s="32">
        <f t="shared" si="19"/>
        <v>7851</v>
      </c>
      <c r="N76" s="107">
        <f t="shared" si="0"/>
        <v>65.424999999999997</v>
      </c>
      <c r="O76" s="107">
        <f t="shared" si="1"/>
        <v>0</v>
      </c>
      <c r="P76" s="107">
        <f t="shared" si="2"/>
        <v>0</v>
      </c>
      <c r="Q76" s="107">
        <f t="shared" si="3"/>
        <v>0</v>
      </c>
      <c r="R76" s="105">
        <v>1</v>
      </c>
      <c r="S76" s="107">
        <f t="shared" si="4"/>
        <v>0</v>
      </c>
      <c r="T76" s="105"/>
      <c r="U76" s="107">
        <f t="shared" si="5"/>
        <v>7851</v>
      </c>
      <c r="V76" s="107">
        <f t="shared" si="6"/>
        <v>7851</v>
      </c>
      <c r="W76" s="105">
        <v>1</v>
      </c>
      <c r="X76" s="107">
        <f t="shared" si="7"/>
        <v>7851</v>
      </c>
      <c r="Y76" s="107">
        <f t="shared" si="8"/>
        <v>7851</v>
      </c>
      <c r="Z76" s="107">
        <f t="shared" si="9"/>
        <v>0</v>
      </c>
      <c r="AA76" s="107">
        <f t="shared" si="10"/>
        <v>1996.8333333333333</v>
      </c>
      <c r="AB76" s="107">
        <f t="shared" si="11"/>
        <v>2017.5</v>
      </c>
      <c r="AC76" s="107">
        <f t="shared" si="12"/>
        <v>2006.8333333333333</v>
      </c>
      <c r="AD76" s="108">
        <f t="shared" si="13"/>
        <v>2016.5</v>
      </c>
      <c r="AE76" s="108">
        <f t="shared" si="14"/>
        <v>-8.3333333333333329E-2</v>
      </c>
      <c r="AF76" s="108">
        <f t="shared" si="15"/>
        <v>2006.8333333333333</v>
      </c>
      <c r="AG76" s="108">
        <f t="shared" si="16"/>
        <v>2016.5</v>
      </c>
      <c r="AH76" s="108">
        <f t="shared" si="17"/>
        <v>-8.3333333333333329E-2</v>
      </c>
    </row>
    <row r="77" spans="1:34" x14ac:dyDescent="0.25">
      <c r="A77">
        <v>54</v>
      </c>
      <c r="B77" t="s">
        <v>462</v>
      </c>
      <c r="C77">
        <v>1996</v>
      </c>
      <c r="D77">
        <v>11</v>
      </c>
      <c r="E77" s="75"/>
      <c r="F77" s="34" t="s">
        <v>436</v>
      </c>
      <c r="G77">
        <v>10</v>
      </c>
      <c r="H77">
        <f t="shared" si="18"/>
        <v>2006</v>
      </c>
      <c r="K77" s="32">
        <v>5140</v>
      </c>
      <c r="L77" s="32"/>
      <c r="M77" s="32">
        <f t="shared" si="19"/>
        <v>5140</v>
      </c>
      <c r="N77" s="107">
        <f t="shared" si="0"/>
        <v>42.833333333333336</v>
      </c>
      <c r="O77" s="107">
        <f t="shared" si="1"/>
        <v>0</v>
      </c>
      <c r="P77" s="107">
        <f t="shared" si="2"/>
        <v>0</v>
      </c>
      <c r="Q77" s="107">
        <f t="shared" si="3"/>
        <v>0</v>
      </c>
      <c r="R77" s="105">
        <v>1</v>
      </c>
      <c r="S77" s="107">
        <f t="shared" si="4"/>
        <v>0</v>
      </c>
      <c r="T77" s="105"/>
      <c r="U77" s="107">
        <f t="shared" si="5"/>
        <v>5140</v>
      </c>
      <c r="V77" s="107">
        <f t="shared" si="6"/>
        <v>5140</v>
      </c>
      <c r="W77" s="105">
        <v>1</v>
      </c>
      <c r="X77" s="107">
        <f t="shared" si="7"/>
        <v>5140</v>
      </c>
      <c r="Y77" s="107">
        <f t="shared" si="8"/>
        <v>5140</v>
      </c>
      <c r="Z77" s="107">
        <f t="shared" si="9"/>
        <v>0</v>
      </c>
      <c r="AA77" s="107">
        <f t="shared" si="10"/>
        <v>1996.8333333333333</v>
      </c>
      <c r="AB77" s="107">
        <f t="shared" si="11"/>
        <v>2017.5</v>
      </c>
      <c r="AC77" s="107">
        <f t="shared" si="12"/>
        <v>2006.8333333333333</v>
      </c>
      <c r="AD77" s="108">
        <f t="shared" si="13"/>
        <v>2016.5</v>
      </c>
      <c r="AE77" s="108">
        <f t="shared" si="14"/>
        <v>-8.3333333333333329E-2</v>
      </c>
      <c r="AF77" s="108">
        <f t="shared" si="15"/>
        <v>2006.8333333333333</v>
      </c>
      <c r="AG77" s="108">
        <f t="shared" si="16"/>
        <v>2016.5</v>
      </c>
      <c r="AH77" s="108">
        <f t="shared" si="17"/>
        <v>-8.3333333333333329E-2</v>
      </c>
    </row>
    <row r="78" spans="1:34" x14ac:dyDescent="0.25">
      <c r="A78">
        <v>55</v>
      </c>
      <c r="B78" t="s">
        <v>490</v>
      </c>
      <c r="C78">
        <v>2004</v>
      </c>
      <c r="D78">
        <v>6</v>
      </c>
      <c r="E78" s="75"/>
      <c r="F78" s="34" t="s">
        <v>436</v>
      </c>
      <c r="G78">
        <v>5</v>
      </c>
      <c r="H78">
        <f t="shared" si="18"/>
        <v>2009</v>
      </c>
      <c r="K78" s="32">
        <v>1720</v>
      </c>
      <c r="L78" s="32"/>
      <c r="M78" s="32">
        <f t="shared" si="19"/>
        <v>1720</v>
      </c>
      <c r="N78" s="107">
        <f t="shared" si="0"/>
        <v>28.666666666666668</v>
      </c>
      <c r="O78" s="107">
        <f t="shared" si="1"/>
        <v>0</v>
      </c>
      <c r="P78" s="107">
        <f t="shared" si="2"/>
        <v>0</v>
      </c>
      <c r="Q78" s="107">
        <f t="shared" si="3"/>
        <v>0</v>
      </c>
      <c r="R78" s="105">
        <v>1</v>
      </c>
      <c r="S78" s="107">
        <f t="shared" si="4"/>
        <v>0</v>
      </c>
      <c r="T78" s="105"/>
      <c r="U78" s="107">
        <f t="shared" si="5"/>
        <v>1720</v>
      </c>
      <c r="V78" s="107">
        <f t="shared" si="6"/>
        <v>1720</v>
      </c>
      <c r="W78" s="105">
        <v>1</v>
      </c>
      <c r="X78" s="107">
        <f t="shared" si="7"/>
        <v>1720</v>
      </c>
      <c r="Y78" s="107">
        <f t="shared" si="8"/>
        <v>1720</v>
      </c>
      <c r="Z78" s="107">
        <f t="shared" si="9"/>
        <v>0</v>
      </c>
      <c r="AA78" s="107">
        <f t="shared" si="10"/>
        <v>2004.4166666666667</v>
      </c>
      <c r="AB78" s="107">
        <f t="shared" si="11"/>
        <v>2017.5</v>
      </c>
      <c r="AC78" s="107">
        <f t="shared" si="12"/>
        <v>2009.4166666666667</v>
      </c>
      <c r="AD78" s="108">
        <f t="shared" si="13"/>
        <v>2016.5</v>
      </c>
      <c r="AE78" s="108">
        <f t="shared" si="14"/>
        <v>-8.3333333333333329E-2</v>
      </c>
      <c r="AF78" s="108">
        <f t="shared" si="15"/>
        <v>2009.4166666666667</v>
      </c>
      <c r="AG78" s="108">
        <f t="shared" si="16"/>
        <v>2016.5</v>
      </c>
      <c r="AH78" s="108">
        <f t="shared" si="17"/>
        <v>-8.3333333333333329E-2</v>
      </c>
    </row>
    <row r="79" spans="1:34" x14ac:dyDescent="0.25">
      <c r="A79">
        <v>56</v>
      </c>
      <c r="B79" t="s">
        <v>491</v>
      </c>
      <c r="C79">
        <v>2005</v>
      </c>
      <c r="D79">
        <v>11</v>
      </c>
      <c r="E79" s="75"/>
      <c r="F79" s="34" t="s">
        <v>436</v>
      </c>
      <c r="G79">
        <v>7</v>
      </c>
      <c r="H79">
        <f t="shared" si="18"/>
        <v>2012</v>
      </c>
      <c r="K79" s="32">
        <v>56109</v>
      </c>
      <c r="L79" s="32"/>
      <c r="M79" s="32">
        <f t="shared" si="19"/>
        <v>56109</v>
      </c>
      <c r="N79" s="107">
        <f t="shared" si="0"/>
        <v>667.96428571428567</v>
      </c>
      <c r="O79" s="107">
        <f t="shared" si="1"/>
        <v>0</v>
      </c>
      <c r="P79" s="107">
        <f t="shared" si="2"/>
        <v>0</v>
      </c>
      <c r="Q79" s="107">
        <f t="shared" si="3"/>
        <v>0</v>
      </c>
      <c r="R79" s="105">
        <v>1</v>
      </c>
      <c r="S79" s="107">
        <f t="shared" si="4"/>
        <v>0</v>
      </c>
      <c r="T79" s="105"/>
      <c r="U79" s="107">
        <f t="shared" si="5"/>
        <v>56109</v>
      </c>
      <c r="V79" s="107">
        <f t="shared" si="6"/>
        <v>56109</v>
      </c>
      <c r="W79" s="105">
        <v>1</v>
      </c>
      <c r="X79" s="107">
        <f t="shared" si="7"/>
        <v>56109</v>
      </c>
      <c r="Y79" s="107">
        <f t="shared" si="8"/>
        <v>56109</v>
      </c>
      <c r="Z79" s="107">
        <f t="shared" si="9"/>
        <v>0</v>
      </c>
      <c r="AA79" s="107">
        <f t="shared" si="10"/>
        <v>2005.8333333333333</v>
      </c>
      <c r="AB79" s="107">
        <f t="shared" si="11"/>
        <v>2017.5</v>
      </c>
      <c r="AC79" s="107">
        <f t="shared" si="12"/>
        <v>2012.8333333333333</v>
      </c>
      <c r="AD79" s="108">
        <f t="shared" si="13"/>
        <v>2016.5</v>
      </c>
      <c r="AE79" s="108">
        <f t="shared" si="14"/>
        <v>-8.3333333333333329E-2</v>
      </c>
      <c r="AF79" s="108">
        <f t="shared" si="15"/>
        <v>2012.8333333333333</v>
      </c>
      <c r="AG79" s="108">
        <f t="shared" si="16"/>
        <v>2016.5</v>
      </c>
      <c r="AH79" s="108">
        <f t="shared" si="17"/>
        <v>-8.3333333333333329E-2</v>
      </c>
    </row>
    <row r="80" spans="1:34" x14ac:dyDescent="0.25">
      <c r="A80">
        <v>57</v>
      </c>
      <c r="B80" t="s">
        <v>492</v>
      </c>
      <c r="C80">
        <v>2008</v>
      </c>
      <c r="D80">
        <v>6</v>
      </c>
      <c r="E80" s="75"/>
      <c r="F80" s="34" t="s">
        <v>436</v>
      </c>
      <c r="G80">
        <v>7</v>
      </c>
      <c r="H80">
        <f t="shared" si="18"/>
        <v>2015</v>
      </c>
      <c r="K80" s="32">
        <v>10000</v>
      </c>
      <c r="L80" s="32"/>
      <c r="M80" s="32">
        <f t="shared" si="19"/>
        <v>10000</v>
      </c>
      <c r="N80" s="107">
        <f t="shared" si="0"/>
        <v>119.04761904761905</v>
      </c>
      <c r="O80" s="107">
        <f t="shared" si="1"/>
        <v>0</v>
      </c>
      <c r="P80" s="107">
        <f t="shared" si="2"/>
        <v>0</v>
      </c>
      <c r="Q80" s="107">
        <f t="shared" si="3"/>
        <v>0</v>
      </c>
      <c r="R80" s="105">
        <v>1</v>
      </c>
      <c r="S80" s="107">
        <f t="shared" si="4"/>
        <v>0</v>
      </c>
      <c r="T80" s="105"/>
      <c r="U80" s="107">
        <f t="shared" si="5"/>
        <v>10000</v>
      </c>
      <c r="V80" s="107">
        <f t="shared" si="6"/>
        <v>10000</v>
      </c>
      <c r="W80" s="105">
        <v>1</v>
      </c>
      <c r="X80" s="107">
        <f t="shared" si="7"/>
        <v>10000</v>
      </c>
      <c r="Y80" s="107">
        <f t="shared" si="8"/>
        <v>10000</v>
      </c>
      <c r="Z80" s="107">
        <f t="shared" si="9"/>
        <v>0</v>
      </c>
      <c r="AA80" s="107">
        <f t="shared" si="10"/>
        <v>2008.4166666666667</v>
      </c>
      <c r="AB80" s="107">
        <f t="shared" si="11"/>
        <v>2017.5</v>
      </c>
      <c r="AC80" s="107">
        <f t="shared" si="12"/>
        <v>2015.4166666666667</v>
      </c>
      <c r="AD80" s="108">
        <f t="shared" si="13"/>
        <v>2016.5</v>
      </c>
      <c r="AE80" s="108">
        <f t="shared" si="14"/>
        <v>-8.3333333333333329E-2</v>
      </c>
      <c r="AF80" s="108">
        <f t="shared" si="15"/>
        <v>2015.4166666666667</v>
      </c>
      <c r="AG80" s="108">
        <f t="shared" si="16"/>
        <v>2016.5</v>
      </c>
      <c r="AH80" s="108">
        <f t="shared" si="17"/>
        <v>-8.3333333333333329E-2</v>
      </c>
    </row>
    <row r="81" spans="1:34" x14ac:dyDescent="0.25">
      <c r="A81">
        <v>58</v>
      </c>
      <c r="B81" t="s">
        <v>493</v>
      </c>
      <c r="C81">
        <v>2008</v>
      </c>
      <c r="D81">
        <v>12</v>
      </c>
      <c r="E81" s="75"/>
      <c r="F81" s="34" t="s">
        <v>436</v>
      </c>
      <c r="G81">
        <v>7</v>
      </c>
      <c r="H81">
        <f t="shared" si="18"/>
        <v>2015</v>
      </c>
      <c r="K81" s="32">
        <v>10000</v>
      </c>
      <c r="L81" s="32"/>
      <c r="M81" s="32">
        <f t="shared" si="19"/>
        <v>10000</v>
      </c>
      <c r="N81" s="107">
        <f t="shared" si="0"/>
        <v>119.04761904761905</v>
      </c>
      <c r="O81" s="107">
        <f t="shared" si="1"/>
        <v>0</v>
      </c>
      <c r="P81" s="107">
        <f t="shared" si="2"/>
        <v>0</v>
      </c>
      <c r="Q81" s="107">
        <f t="shared" si="3"/>
        <v>0</v>
      </c>
      <c r="R81" s="105">
        <v>1</v>
      </c>
      <c r="S81" s="107">
        <f t="shared" si="4"/>
        <v>0</v>
      </c>
      <c r="T81" s="105"/>
      <c r="U81" s="107">
        <f t="shared" si="5"/>
        <v>10000</v>
      </c>
      <c r="V81" s="107">
        <f t="shared" si="6"/>
        <v>10000</v>
      </c>
      <c r="W81" s="105">
        <v>1</v>
      </c>
      <c r="X81" s="107">
        <f t="shared" si="7"/>
        <v>10000</v>
      </c>
      <c r="Y81" s="107">
        <f t="shared" si="8"/>
        <v>10000</v>
      </c>
      <c r="Z81" s="107">
        <f t="shared" si="9"/>
        <v>0</v>
      </c>
      <c r="AA81" s="107">
        <f t="shared" si="10"/>
        <v>2008.9166666666667</v>
      </c>
      <c r="AB81" s="107">
        <f t="shared" si="11"/>
        <v>2017.5</v>
      </c>
      <c r="AC81" s="107">
        <f t="shared" si="12"/>
        <v>2015.9166666666667</v>
      </c>
      <c r="AD81" s="108">
        <f t="shared" si="13"/>
        <v>2016.5</v>
      </c>
      <c r="AE81" s="108">
        <f t="shared" si="14"/>
        <v>-8.3333333333333329E-2</v>
      </c>
      <c r="AF81" s="108">
        <f t="shared" si="15"/>
        <v>2015.9166666666667</v>
      </c>
      <c r="AG81" s="108">
        <f t="shared" si="16"/>
        <v>2016.5</v>
      </c>
      <c r="AH81" s="108">
        <f t="shared" si="17"/>
        <v>-8.3333333333333329E-2</v>
      </c>
    </row>
    <row r="82" spans="1:34" x14ac:dyDescent="0.25">
      <c r="A82">
        <v>59</v>
      </c>
      <c r="B82" t="s">
        <v>494</v>
      </c>
      <c r="C82">
        <v>2008</v>
      </c>
      <c r="D82">
        <v>12</v>
      </c>
      <c r="E82" s="75"/>
      <c r="F82" s="34" t="s">
        <v>436</v>
      </c>
      <c r="G82">
        <v>7</v>
      </c>
      <c r="H82">
        <f t="shared" si="18"/>
        <v>2015</v>
      </c>
      <c r="K82" s="32">
        <v>27193</v>
      </c>
      <c r="L82" s="32"/>
      <c r="M82" s="32">
        <f t="shared" si="19"/>
        <v>27193</v>
      </c>
      <c r="N82" s="107">
        <f t="shared" si="0"/>
        <v>323.72619047619048</v>
      </c>
      <c r="O82" s="107">
        <f t="shared" si="1"/>
        <v>0</v>
      </c>
      <c r="P82" s="107">
        <f t="shared" si="2"/>
        <v>0</v>
      </c>
      <c r="Q82" s="107">
        <f t="shared" si="3"/>
        <v>0</v>
      </c>
      <c r="R82" s="105">
        <v>1</v>
      </c>
      <c r="S82" s="107">
        <f t="shared" si="4"/>
        <v>0</v>
      </c>
      <c r="T82" s="105"/>
      <c r="U82" s="107">
        <f t="shared" si="5"/>
        <v>27193</v>
      </c>
      <c r="V82" s="107">
        <f t="shared" si="6"/>
        <v>27193</v>
      </c>
      <c r="W82" s="105">
        <v>1</v>
      </c>
      <c r="X82" s="107">
        <f t="shared" si="7"/>
        <v>27193</v>
      </c>
      <c r="Y82" s="107">
        <f t="shared" si="8"/>
        <v>27193</v>
      </c>
      <c r="Z82" s="107">
        <f t="shared" si="9"/>
        <v>0</v>
      </c>
      <c r="AA82" s="107">
        <f t="shared" si="10"/>
        <v>2008.9166666666667</v>
      </c>
      <c r="AB82" s="107">
        <f t="shared" si="11"/>
        <v>2017.5</v>
      </c>
      <c r="AC82" s="107">
        <f t="shared" si="12"/>
        <v>2015.9166666666667</v>
      </c>
      <c r="AD82" s="108">
        <f t="shared" si="13"/>
        <v>2016.5</v>
      </c>
      <c r="AE82" s="108">
        <f t="shared" si="14"/>
        <v>-8.3333333333333329E-2</v>
      </c>
      <c r="AF82" s="108">
        <f t="shared" si="15"/>
        <v>2015.9166666666667</v>
      </c>
      <c r="AG82" s="108">
        <f t="shared" si="16"/>
        <v>2016.5</v>
      </c>
      <c r="AH82" s="108">
        <f t="shared" si="17"/>
        <v>-8.3333333333333329E-2</v>
      </c>
    </row>
    <row r="83" spans="1:34" x14ac:dyDescent="0.25">
      <c r="A83">
        <v>60</v>
      </c>
      <c r="B83" t="s">
        <v>495</v>
      </c>
      <c r="C83">
        <v>2008</v>
      </c>
      <c r="D83">
        <v>7</v>
      </c>
      <c r="E83" s="75"/>
      <c r="F83" s="34" t="s">
        <v>436</v>
      </c>
      <c r="G83">
        <v>7</v>
      </c>
      <c r="H83">
        <f t="shared" si="18"/>
        <v>2015</v>
      </c>
      <c r="K83" s="32">
        <v>31325</v>
      </c>
      <c r="L83" s="32"/>
      <c r="M83" s="32">
        <f t="shared" si="19"/>
        <v>31325</v>
      </c>
      <c r="N83" s="107">
        <f t="shared" si="0"/>
        <v>372.91666666666669</v>
      </c>
      <c r="O83" s="107">
        <f t="shared" si="1"/>
        <v>0</v>
      </c>
      <c r="P83" s="107">
        <f t="shared" si="2"/>
        <v>0</v>
      </c>
      <c r="Q83" s="107">
        <f t="shared" si="3"/>
        <v>0</v>
      </c>
      <c r="R83" s="105">
        <v>1</v>
      </c>
      <c r="S83" s="107">
        <f t="shared" si="4"/>
        <v>0</v>
      </c>
      <c r="T83" s="105"/>
      <c r="U83" s="107">
        <f t="shared" si="5"/>
        <v>31325</v>
      </c>
      <c r="V83" s="107">
        <f t="shared" si="6"/>
        <v>31325</v>
      </c>
      <c r="W83" s="105">
        <v>1</v>
      </c>
      <c r="X83" s="107">
        <f t="shared" si="7"/>
        <v>31325</v>
      </c>
      <c r="Y83" s="107">
        <f t="shared" si="8"/>
        <v>31325</v>
      </c>
      <c r="Z83" s="107">
        <f t="shared" si="9"/>
        <v>0</v>
      </c>
      <c r="AA83" s="107">
        <f t="shared" si="10"/>
        <v>2008.5</v>
      </c>
      <c r="AB83" s="107">
        <f t="shared" si="11"/>
        <v>2017.5</v>
      </c>
      <c r="AC83" s="107">
        <f t="shared" si="12"/>
        <v>2015.5</v>
      </c>
      <c r="AD83" s="108">
        <f t="shared" si="13"/>
        <v>2016.5</v>
      </c>
      <c r="AE83" s="108">
        <f t="shared" si="14"/>
        <v>-8.3333333333333329E-2</v>
      </c>
      <c r="AF83" s="108">
        <f t="shared" si="15"/>
        <v>2015.5</v>
      </c>
      <c r="AG83" s="108">
        <f t="shared" si="16"/>
        <v>2016.5</v>
      </c>
      <c r="AH83" s="108">
        <f t="shared" si="17"/>
        <v>-8.3333333333333329E-2</v>
      </c>
    </row>
    <row r="84" spans="1:34" x14ac:dyDescent="0.25">
      <c r="A84">
        <v>61</v>
      </c>
      <c r="B84" t="s">
        <v>496</v>
      </c>
      <c r="C84">
        <v>2008</v>
      </c>
      <c r="D84">
        <v>10</v>
      </c>
      <c r="E84" s="75"/>
      <c r="F84" s="34" t="s">
        <v>436</v>
      </c>
      <c r="G84">
        <v>7</v>
      </c>
      <c r="H84">
        <f t="shared" si="18"/>
        <v>2015</v>
      </c>
      <c r="K84" s="32">
        <v>4290</v>
      </c>
      <c r="L84" s="32"/>
      <c r="M84" s="32">
        <f t="shared" si="19"/>
        <v>4290</v>
      </c>
      <c r="N84" s="107">
        <f t="shared" si="0"/>
        <v>51.071428571428577</v>
      </c>
      <c r="O84" s="107">
        <f t="shared" si="1"/>
        <v>0</v>
      </c>
      <c r="P84" s="107">
        <f t="shared" si="2"/>
        <v>0</v>
      </c>
      <c r="Q84" s="107">
        <f t="shared" si="3"/>
        <v>0</v>
      </c>
      <c r="R84" s="105">
        <v>1</v>
      </c>
      <c r="S84" s="107">
        <f t="shared" si="4"/>
        <v>0</v>
      </c>
      <c r="T84" s="105"/>
      <c r="U84" s="107">
        <f t="shared" si="5"/>
        <v>4290</v>
      </c>
      <c r="V84" s="107">
        <f t="shared" si="6"/>
        <v>4290</v>
      </c>
      <c r="W84" s="105">
        <v>1</v>
      </c>
      <c r="X84" s="107">
        <f t="shared" si="7"/>
        <v>4290</v>
      </c>
      <c r="Y84" s="107">
        <f t="shared" si="8"/>
        <v>4290</v>
      </c>
      <c r="Z84" s="107">
        <f t="shared" si="9"/>
        <v>0</v>
      </c>
      <c r="AA84" s="107">
        <f t="shared" si="10"/>
        <v>2008.75</v>
      </c>
      <c r="AB84" s="107">
        <f t="shared" si="11"/>
        <v>2017.5</v>
      </c>
      <c r="AC84" s="107">
        <f t="shared" si="12"/>
        <v>2015.75</v>
      </c>
      <c r="AD84" s="108">
        <f t="shared" si="13"/>
        <v>2016.5</v>
      </c>
      <c r="AE84" s="108">
        <f t="shared" si="14"/>
        <v>-8.3333333333333329E-2</v>
      </c>
      <c r="AF84" s="108">
        <f t="shared" si="15"/>
        <v>2015.75</v>
      </c>
      <c r="AG84" s="108">
        <f t="shared" si="16"/>
        <v>2016.5</v>
      </c>
      <c r="AH84" s="108">
        <f t="shared" si="17"/>
        <v>-8.3333333333333329E-2</v>
      </c>
    </row>
    <row r="85" spans="1:34" x14ac:dyDescent="0.25">
      <c r="A85">
        <v>62</v>
      </c>
      <c r="B85" t="s">
        <v>497</v>
      </c>
      <c r="C85">
        <v>2008</v>
      </c>
      <c r="D85">
        <v>5</v>
      </c>
      <c r="E85" s="75"/>
      <c r="F85" s="34" t="s">
        <v>436</v>
      </c>
      <c r="G85">
        <v>7</v>
      </c>
      <c r="H85">
        <f t="shared" si="18"/>
        <v>2015</v>
      </c>
      <c r="K85" s="32">
        <v>6492</v>
      </c>
      <c r="L85" s="32"/>
      <c r="M85" s="32">
        <f t="shared" si="19"/>
        <v>6492</v>
      </c>
      <c r="N85" s="107">
        <f t="shared" si="0"/>
        <v>77.285714285714292</v>
      </c>
      <c r="O85" s="107">
        <f t="shared" si="1"/>
        <v>0</v>
      </c>
      <c r="P85" s="107">
        <f t="shared" si="2"/>
        <v>0</v>
      </c>
      <c r="Q85" s="107">
        <f t="shared" si="3"/>
        <v>0</v>
      </c>
      <c r="R85" s="105">
        <v>1</v>
      </c>
      <c r="S85" s="107">
        <f t="shared" si="4"/>
        <v>0</v>
      </c>
      <c r="T85" s="105"/>
      <c r="U85" s="107">
        <f t="shared" si="5"/>
        <v>6492</v>
      </c>
      <c r="V85" s="107">
        <f t="shared" si="6"/>
        <v>6492</v>
      </c>
      <c r="W85" s="105">
        <v>1</v>
      </c>
      <c r="X85" s="107">
        <f t="shared" si="7"/>
        <v>6492</v>
      </c>
      <c r="Y85" s="107">
        <f t="shared" si="8"/>
        <v>6492</v>
      </c>
      <c r="Z85" s="107">
        <f t="shared" si="9"/>
        <v>0</v>
      </c>
      <c r="AA85" s="107">
        <f t="shared" si="10"/>
        <v>2008.3333333333333</v>
      </c>
      <c r="AB85" s="107">
        <f t="shared" si="11"/>
        <v>2017.5</v>
      </c>
      <c r="AC85" s="107">
        <f t="shared" si="12"/>
        <v>2015.3333333333333</v>
      </c>
      <c r="AD85" s="108">
        <f t="shared" si="13"/>
        <v>2016.5</v>
      </c>
      <c r="AE85" s="108">
        <f t="shared" si="14"/>
        <v>-8.3333333333333329E-2</v>
      </c>
      <c r="AF85" s="108">
        <f t="shared" si="15"/>
        <v>2015.3333333333333</v>
      </c>
      <c r="AG85" s="108">
        <f t="shared" si="16"/>
        <v>2016.5</v>
      </c>
      <c r="AH85" s="108">
        <f t="shared" si="17"/>
        <v>-8.3333333333333329E-2</v>
      </c>
    </row>
    <row r="86" spans="1:34" x14ac:dyDescent="0.25">
      <c r="A86">
        <v>63</v>
      </c>
      <c r="B86" t="s">
        <v>498</v>
      </c>
      <c r="C86">
        <v>2008</v>
      </c>
      <c r="D86">
        <v>7</v>
      </c>
      <c r="E86" s="75"/>
      <c r="F86" s="34" t="s">
        <v>436</v>
      </c>
      <c r="G86">
        <v>7</v>
      </c>
      <c r="H86">
        <f t="shared" si="18"/>
        <v>2015</v>
      </c>
      <c r="K86" s="32">
        <v>16622</v>
      </c>
      <c r="L86" s="32"/>
      <c r="M86" s="32">
        <f t="shared" si="19"/>
        <v>16622</v>
      </c>
      <c r="N86" s="107">
        <f t="shared" si="0"/>
        <v>197.88095238095238</v>
      </c>
      <c r="O86" s="107">
        <f t="shared" si="1"/>
        <v>0</v>
      </c>
      <c r="P86" s="107">
        <f t="shared" si="2"/>
        <v>0</v>
      </c>
      <c r="Q86" s="107">
        <f t="shared" si="3"/>
        <v>0</v>
      </c>
      <c r="R86" s="105">
        <v>1</v>
      </c>
      <c r="S86" s="107">
        <f t="shared" si="4"/>
        <v>0</v>
      </c>
      <c r="T86" s="105"/>
      <c r="U86" s="107">
        <f t="shared" si="5"/>
        <v>16622</v>
      </c>
      <c r="V86" s="107">
        <f t="shared" si="6"/>
        <v>16622</v>
      </c>
      <c r="W86" s="105">
        <v>1</v>
      </c>
      <c r="X86" s="107">
        <f t="shared" si="7"/>
        <v>16622</v>
      </c>
      <c r="Y86" s="107">
        <f t="shared" si="8"/>
        <v>16622</v>
      </c>
      <c r="Z86" s="107">
        <f t="shared" si="9"/>
        <v>0</v>
      </c>
      <c r="AA86" s="107">
        <f t="shared" si="10"/>
        <v>2008.5</v>
      </c>
      <c r="AB86" s="107">
        <f t="shared" si="11"/>
        <v>2017.5</v>
      </c>
      <c r="AC86" s="107">
        <f t="shared" si="12"/>
        <v>2015.5</v>
      </c>
      <c r="AD86" s="108">
        <f t="shared" si="13"/>
        <v>2016.5</v>
      </c>
      <c r="AE86" s="108">
        <f t="shared" si="14"/>
        <v>-8.3333333333333329E-2</v>
      </c>
      <c r="AF86" s="108">
        <f t="shared" si="15"/>
        <v>2015.5</v>
      </c>
      <c r="AG86" s="108">
        <f t="shared" si="16"/>
        <v>2016.5</v>
      </c>
      <c r="AH86" s="108">
        <f t="shared" si="17"/>
        <v>-8.3333333333333329E-2</v>
      </c>
    </row>
    <row r="87" spans="1:34" x14ac:dyDescent="0.25">
      <c r="A87">
        <v>74</v>
      </c>
      <c r="B87" t="s">
        <v>499</v>
      </c>
      <c r="C87">
        <v>2009</v>
      </c>
      <c r="D87">
        <v>6</v>
      </c>
      <c r="E87" s="75"/>
      <c r="F87" s="34" t="s">
        <v>436</v>
      </c>
      <c r="G87">
        <v>7</v>
      </c>
      <c r="H87">
        <f t="shared" ref="H87:H150" si="41">+C87+G87</f>
        <v>2016</v>
      </c>
      <c r="K87" s="32">
        <v>1079</v>
      </c>
      <c r="L87" s="32"/>
      <c r="M87" s="32">
        <f t="shared" ref="M87:M150" si="42">+K87-K87*E87</f>
        <v>1079</v>
      </c>
      <c r="N87" s="107">
        <f t="shared" ref="N87:N150" si="43">M87/G87/12</f>
        <v>12.845238095238095</v>
      </c>
      <c r="O87" s="107">
        <f t="shared" ref="O87:O150" si="44">IF(L87&gt;0,0,IF((OR((AA87&gt;AB87),(AC87&lt;AD87))),0,IF((AND((AC87&gt;=AD87),(AC87&lt;=AB87))),N87*((AC87-AD87)*12),IF((AND((AD87&lt;=AA87),(AB87&gt;=AA87))),((AB87-AA87)*12)*N87,IF(AC87&gt;AB87,12*N87,0)))))</f>
        <v>0</v>
      </c>
      <c r="P87" s="107">
        <f t="shared" ref="P87:P150" si="45">IF(L87=0,0,IF((AND((AE87&gt;=AD87),(AE87&lt;=AC87))),((AE87-AD87)*12)*N87,0))</f>
        <v>0</v>
      </c>
      <c r="Q87" s="107">
        <f t="shared" ref="Q87:Q150" si="46">IF(P87&gt;0,P87,O87)</f>
        <v>0</v>
      </c>
      <c r="R87" s="105">
        <v>1</v>
      </c>
      <c r="S87" s="107">
        <f t="shared" ref="S87:S150" si="47">R87*SUM(O87:P87)</f>
        <v>0</v>
      </c>
      <c r="T87" s="105"/>
      <c r="U87" s="107">
        <f t="shared" ref="U87:U150" si="48">IF(AA87&gt;AB87,0,IF(AC87&lt;AD87,M87,IF((AND((AC87&gt;=AD87),(AC87&lt;=AB87))),(M87-Q87),IF((AND((AD87&lt;=AA87),(AB87&gt;=AA87))),0,IF(AC87&gt;AB87,((AD87-AA87)*12)*N87,0)))))</f>
        <v>1079</v>
      </c>
      <c r="V87" s="107">
        <f t="shared" ref="V87:V150" si="49">U87*R87</f>
        <v>1079</v>
      </c>
      <c r="W87" s="105">
        <v>1</v>
      </c>
      <c r="X87" s="107">
        <f t="shared" ref="X87:X150" si="50">V87*W87</f>
        <v>1079</v>
      </c>
      <c r="Y87" s="107">
        <f t="shared" ref="Y87:Y150" si="51">IF(L87&gt;0,0,X87+S87*W87)*W87</f>
        <v>1079</v>
      </c>
      <c r="Z87" s="107">
        <f t="shared" ref="Z87:Z150" si="52">IF(L87&gt;0,(K87-X87)/2,IF(AA87&gt;=AD87,(((K87*R87)*W87)-Y87)/2,((((K87*R87)*W87)-X87)+(((K87*R87)*W87)-Y87))/2))</f>
        <v>0</v>
      </c>
      <c r="AA87" s="107">
        <f t="shared" ref="AA87:AA150" si="53">$C87+(($D87-1)/12)</f>
        <v>2009.4166666666667</v>
      </c>
      <c r="AB87" s="107">
        <f t="shared" ref="AB87:AB150" si="54">($M$5+1)-($M$2/12)</f>
        <v>2017.5</v>
      </c>
      <c r="AC87" s="107">
        <f t="shared" ref="AC87:AC150" si="55">$H87+(($D87-1)/12)</f>
        <v>2016.4166666666667</v>
      </c>
      <c r="AD87" s="108">
        <f t="shared" ref="AD87:AD150" si="56">$M$4+($M$3/12)</f>
        <v>2016.5</v>
      </c>
      <c r="AE87" s="108">
        <f t="shared" ref="AE87:AE150" si="57">$I87+(($J87-1)/12)</f>
        <v>-8.3333333333333329E-2</v>
      </c>
      <c r="AF87" s="108">
        <f t="shared" ref="AF87:AF150" si="58">$H87+(($D87-1)/12)</f>
        <v>2016.4166666666667</v>
      </c>
      <c r="AG87" s="108">
        <f t="shared" ref="AG87:AG150" si="59">$M$4+($M$3/12)</f>
        <v>2016.5</v>
      </c>
      <c r="AH87" s="108">
        <f t="shared" ref="AH87:AH150" si="60">$I87+(($J87-1)/12)</f>
        <v>-8.3333333333333329E-2</v>
      </c>
    </row>
    <row r="88" spans="1:34" x14ac:dyDescent="0.25">
      <c r="A88">
        <v>75</v>
      </c>
      <c r="B88" t="s">
        <v>500</v>
      </c>
      <c r="C88">
        <v>2009</v>
      </c>
      <c r="D88">
        <v>8</v>
      </c>
      <c r="E88" s="75"/>
      <c r="F88" s="34" t="s">
        <v>436</v>
      </c>
      <c r="G88">
        <v>7</v>
      </c>
      <c r="H88">
        <f t="shared" si="41"/>
        <v>2016</v>
      </c>
      <c r="K88" s="32">
        <v>7419</v>
      </c>
      <c r="L88" s="32"/>
      <c r="M88" s="32">
        <f t="shared" si="42"/>
        <v>7419</v>
      </c>
      <c r="N88" s="107">
        <f t="shared" si="43"/>
        <v>88.321428571428569</v>
      </c>
      <c r="O88" s="107">
        <f t="shared" si="44"/>
        <v>88.321428571348235</v>
      </c>
      <c r="P88" s="107">
        <f t="shared" si="45"/>
        <v>0</v>
      </c>
      <c r="Q88" s="107">
        <f t="shared" si="46"/>
        <v>88.321428571348235</v>
      </c>
      <c r="R88" s="105">
        <v>1</v>
      </c>
      <c r="S88" s="107">
        <f t="shared" si="47"/>
        <v>88.321428571348235</v>
      </c>
      <c r="T88" s="105"/>
      <c r="U88" s="107">
        <f t="shared" si="48"/>
        <v>7330.6785714286516</v>
      </c>
      <c r="V88" s="107">
        <f t="shared" si="49"/>
        <v>7330.6785714286516</v>
      </c>
      <c r="W88" s="105">
        <v>1</v>
      </c>
      <c r="X88" s="107">
        <f t="shared" si="50"/>
        <v>7330.6785714286516</v>
      </c>
      <c r="Y88" s="107">
        <f t="shared" si="51"/>
        <v>7419</v>
      </c>
      <c r="Z88" s="107">
        <f t="shared" si="52"/>
        <v>44.160714285674203</v>
      </c>
      <c r="AA88" s="107">
        <f t="shared" si="53"/>
        <v>2009.5833333333333</v>
      </c>
      <c r="AB88" s="107">
        <f t="shared" si="54"/>
        <v>2017.5</v>
      </c>
      <c r="AC88" s="107">
        <f t="shared" si="55"/>
        <v>2016.5833333333333</v>
      </c>
      <c r="AD88" s="108">
        <f t="shared" si="56"/>
        <v>2016.5</v>
      </c>
      <c r="AE88" s="108">
        <f t="shared" si="57"/>
        <v>-8.3333333333333329E-2</v>
      </c>
      <c r="AF88" s="108">
        <f t="shared" si="58"/>
        <v>2016.5833333333333</v>
      </c>
      <c r="AG88" s="108">
        <f t="shared" si="59"/>
        <v>2016.5</v>
      </c>
      <c r="AH88" s="108">
        <f t="shared" si="60"/>
        <v>-8.3333333333333329E-2</v>
      </c>
    </row>
    <row r="89" spans="1:34" x14ac:dyDescent="0.25">
      <c r="A89">
        <v>76</v>
      </c>
      <c r="B89" t="s">
        <v>501</v>
      </c>
      <c r="C89">
        <v>2009</v>
      </c>
      <c r="D89">
        <v>9</v>
      </c>
      <c r="E89" s="75"/>
      <c r="F89" s="34" t="s">
        <v>436</v>
      </c>
      <c r="G89">
        <v>7</v>
      </c>
      <c r="H89">
        <f t="shared" si="41"/>
        <v>2016</v>
      </c>
      <c r="K89" s="32">
        <v>1419</v>
      </c>
      <c r="L89" s="32"/>
      <c r="M89" s="32">
        <f t="shared" si="42"/>
        <v>1419</v>
      </c>
      <c r="N89" s="107">
        <f t="shared" si="43"/>
        <v>16.892857142857142</v>
      </c>
      <c r="O89" s="107">
        <f t="shared" si="44"/>
        <v>33.785714285729647</v>
      </c>
      <c r="P89" s="107">
        <f t="shared" si="45"/>
        <v>0</v>
      </c>
      <c r="Q89" s="107">
        <f t="shared" si="46"/>
        <v>33.785714285729647</v>
      </c>
      <c r="R89" s="105">
        <v>1</v>
      </c>
      <c r="S89" s="107">
        <f t="shared" si="47"/>
        <v>33.785714285729647</v>
      </c>
      <c r="T89" s="105"/>
      <c r="U89" s="107">
        <f t="shared" si="48"/>
        <v>1385.2142857142703</v>
      </c>
      <c r="V89" s="107">
        <f t="shared" si="49"/>
        <v>1385.2142857142703</v>
      </c>
      <c r="W89" s="105">
        <v>1</v>
      </c>
      <c r="X89" s="107">
        <f t="shared" si="50"/>
        <v>1385.2142857142703</v>
      </c>
      <c r="Y89" s="107">
        <f t="shared" si="51"/>
        <v>1419</v>
      </c>
      <c r="Z89" s="107">
        <f t="shared" si="52"/>
        <v>16.892857142864841</v>
      </c>
      <c r="AA89" s="107">
        <f t="shared" si="53"/>
        <v>2009.6666666666667</v>
      </c>
      <c r="AB89" s="107">
        <f t="shared" si="54"/>
        <v>2017.5</v>
      </c>
      <c r="AC89" s="107">
        <f t="shared" si="55"/>
        <v>2016.6666666666667</v>
      </c>
      <c r="AD89" s="108">
        <f t="shared" si="56"/>
        <v>2016.5</v>
      </c>
      <c r="AE89" s="108">
        <f t="shared" si="57"/>
        <v>-8.3333333333333329E-2</v>
      </c>
      <c r="AF89" s="108">
        <f t="shared" si="58"/>
        <v>2016.6666666666667</v>
      </c>
      <c r="AG89" s="108">
        <f t="shared" si="59"/>
        <v>2016.5</v>
      </c>
      <c r="AH89" s="108">
        <f t="shared" si="60"/>
        <v>-8.3333333333333329E-2</v>
      </c>
    </row>
    <row r="90" spans="1:34" x14ac:dyDescent="0.25">
      <c r="A90">
        <v>77</v>
      </c>
      <c r="B90" t="s">
        <v>502</v>
      </c>
      <c r="C90">
        <v>2009</v>
      </c>
      <c r="D90">
        <v>8</v>
      </c>
      <c r="E90" s="75"/>
      <c r="F90" s="34" t="s">
        <v>436</v>
      </c>
      <c r="G90">
        <v>7</v>
      </c>
      <c r="H90">
        <f t="shared" si="41"/>
        <v>2016</v>
      </c>
      <c r="K90" s="32">
        <v>2040</v>
      </c>
      <c r="L90" s="32"/>
      <c r="M90" s="32">
        <f t="shared" si="42"/>
        <v>2040</v>
      </c>
      <c r="N90" s="107">
        <f t="shared" si="43"/>
        <v>24.285714285714288</v>
      </c>
      <c r="O90" s="107">
        <f t="shared" si="44"/>
        <v>24.285714285692201</v>
      </c>
      <c r="P90" s="107">
        <f t="shared" si="45"/>
        <v>0</v>
      </c>
      <c r="Q90" s="107">
        <f t="shared" si="46"/>
        <v>24.285714285692201</v>
      </c>
      <c r="R90" s="105">
        <v>1</v>
      </c>
      <c r="S90" s="107">
        <f t="shared" si="47"/>
        <v>24.285714285692201</v>
      </c>
      <c r="T90" s="105"/>
      <c r="U90" s="107">
        <f t="shared" si="48"/>
        <v>2015.7142857143078</v>
      </c>
      <c r="V90" s="107">
        <f t="shared" si="49"/>
        <v>2015.7142857143078</v>
      </c>
      <c r="W90" s="105">
        <v>1</v>
      </c>
      <c r="X90" s="107">
        <f t="shared" si="50"/>
        <v>2015.7142857143078</v>
      </c>
      <c r="Y90" s="107">
        <f t="shared" si="51"/>
        <v>2040</v>
      </c>
      <c r="Z90" s="107">
        <f t="shared" si="52"/>
        <v>12.142857142846083</v>
      </c>
      <c r="AA90" s="107">
        <f t="shared" si="53"/>
        <v>2009.5833333333333</v>
      </c>
      <c r="AB90" s="107">
        <f t="shared" si="54"/>
        <v>2017.5</v>
      </c>
      <c r="AC90" s="107">
        <f t="shared" si="55"/>
        <v>2016.5833333333333</v>
      </c>
      <c r="AD90" s="108">
        <f t="shared" si="56"/>
        <v>2016.5</v>
      </c>
      <c r="AE90" s="108">
        <f t="shared" si="57"/>
        <v>-8.3333333333333329E-2</v>
      </c>
      <c r="AF90" s="108">
        <f t="shared" si="58"/>
        <v>2016.5833333333333</v>
      </c>
      <c r="AG90" s="108">
        <f t="shared" si="59"/>
        <v>2016.5</v>
      </c>
      <c r="AH90" s="108">
        <f t="shared" si="60"/>
        <v>-8.3333333333333329E-2</v>
      </c>
    </row>
    <row r="91" spans="1:34" x14ac:dyDescent="0.25">
      <c r="A91">
        <v>78</v>
      </c>
      <c r="B91" t="s">
        <v>503</v>
      </c>
      <c r="C91">
        <v>2009</v>
      </c>
      <c r="D91">
        <v>9</v>
      </c>
      <c r="E91" s="75"/>
      <c r="F91" s="34" t="s">
        <v>436</v>
      </c>
      <c r="G91">
        <v>7</v>
      </c>
      <c r="H91">
        <f t="shared" si="41"/>
        <v>2016</v>
      </c>
      <c r="K91" s="32">
        <v>4664</v>
      </c>
      <c r="L91" s="32"/>
      <c r="M91" s="32">
        <f t="shared" si="42"/>
        <v>4664</v>
      </c>
      <c r="N91" s="107">
        <f t="shared" si="43"/>
        <v>55.523809523809526</v>
      </c>
      <c r="O91" s="107">
        <f t="shared" si="44"/>
        <v>111.04761904766956</v>
      </c>
      <c r="P91" s="107">
        <f t="shared" si="45"/>
        <v>0</v>
      </c>
      <c r="Q91" s="107">
        <f t="shared" si="46"/>
        <v>111.04761904766956</v>
      </c>
      <c r="R91" s="105">
        <v>1</v>
      </c>
      <c r="S91" s="107">
        <f t="shared" si="47"/>
        <v>111.04761904766956</v>
      </c>
      <c r="T91" s="105"/>
      <c r="U91" s="107">
        <f t="shared" si="48"/>
        <v>4552.9523809523307</v>
      </c>
      <c r="V91" s="107">
        <f t="shared" si="49"/>
        <v>4552.9523809523307</v>
      </c>
      <c r="W91" s="105">
        <v>1</v>
      </c>
      <c r="X91" s="107">
        <f t="shared" si="50"/>
        <v>4552.9523809523307</v>
      </c>
      <c r="Y91" s="107">
        <f t="shared" si="51"/>
        <v>4664</v>
      </c>
      <c r="Z91" s="107">
        <f t="shared" si="52"/>
        <v>55.523809523834643</v>
      </c>
      <c r="AA91" s="107">
        <f t="shared" si="53"/>
        <v>2009.6666666666667</v>
      </c>
      <c r="AB91" s="107">
        <f t="shared" si="54"/>
        <v>2017.5</v>
      </c>
      <c r="AC91" s="107">
        <f t="shared" si="55"/>
        <v>2016.6666666666667</v>
      </c>
      <c r="AD91" s="108">
        <f t="shared" si="56"/>
        <v>2016.5</v>
      </c>
      <c r="AE91" s="108">
        <f t="shared" si="57"/>
        <v>-8.3333333333333329E-2</v>
      </c>
      <c r="AF91" s="108">
        <f t="shared" si="58"/>
        <v>2016.6666666666667</v>
      </c>
      <c r="AG91" s="108">
        <f t="shared" si="59"/>
        <v>2016.5</v>
      </c>
      <c r="AH91" s="108">
        <f t="shared" si="60"/>
        <v>-8.3333333333333329E-2</v>
      </c>
    </row>
    <row r="92" spans="1:34" x14ac:dyDescent="0.25">
      <c r="A92">
        <v>79</v>
      </c>
      <c r="B92" t="s">
        <v>504</v>
      </c>
      <c r="C92">
        <v>2009</v>
      </c>
      <c r="D92">
        <v>10</v>
      </c>
      <c r="E92" s="75"/>
      <c r="F92" s="34" t="s">
        <v>436</v>
      </c>
      <c r="G92">
        <v>7</v>
      </c>
      <c r="H92">
        <f t="shared" si="41"/>
        <v>2016</v>
      </c>
      <c r="K92" s="32">
        <v>3172</v>
      </c>
      <c r="L92" s="32"/>
      <c r="M92" s="32">
        <f t="shared" si="42"/>
        <v>3172</v>
      </c>
      <c r="N92" s="107">
        <f t="shared" si="43"/>
        <v>37.761904761904766</v>
      </c>
      <c r="O92" s="107">
        <f t="shared" si="44"/>
        <v>113.28571428571431</v>
      </c>
      <c r="P92" s="107">
        <f t="shared" si="45"/>
        <v>0</v>
      </c>
      <c r="Q92" s="107">
        <f t="shared" si="46"/>
        <v>113.28571428571431</v>
      </c>
      <c r="R92" s="105">
        <v>1</v>
      </c>
      <c r="S92" s="107">
        <f t="shared" si="47"/>
        <v>113.28571428571431</v>
      </c>
      <c r="T92" s="105"/>
      <c r="U92" s="107">
        <f t="shared" si="48"/>
        <v>3058.7142857142858</v>
      </c>
      <c r="V92" s="107">
        <f t="shared" si="49"/>
        <v>3058.7142857142858</v>
      </c>
      <c r="W92" s="105">
        <v>1</v>
      </c>
      <c r="X92" s="107">
        <f t="shared" si="50"/>
        <v>3058.7142857142858</v>
      </c>
      <c r="Y92" s="107">
        <f t="shared" si="51"/>
        <v>3172</v>
      </c>
      <c r="Z92" s="107">
        <f t="shared" si="52"/>
        <v>56.64285714285711</v>
      </c>
      <c r="AA92" s="107">
        <f t="shared" si="53"/>
        <v>2009.75</v>
      </c>
      <c r="AB92" s="107">
        <f t="shared" si="54"/>
        <v>2017.5</v>
      </c>
      <c r="AC92" s="107">
        <f t="shared" si="55"/>
        <v>2016.75</v>
      </c>
      <c r="AD92" s="108">
        <f t="shared" si="56"/>
        <v>2016.5</v>
      </c>
      <c r="AE92" s="108">
        <f t="shared" si="57"/>
        <v>-8.3333333333333329E-2</v>
      </c>
      <c r="AF92" s="108">
        <f t="shared" si="58"/>
        <v>2016.75</v>
      </c>
      <c r="AG92" s="108">
        <f t="shared" si="59"/>
        <v>2016.5</v>
      </c>
      <c r="AH92" s="108">
        <f t="shared" si="60"/>
        <v>-8.3333333333333329E-2</v>
      </c>
    </row>
    <row r="93" spans="1:34" x14ac:dyDescent="0.25">
      <c r="A93">
        <v>80</v>
      </c>
      <c r="B93" t="s">
        <v>505</v>
      </c>
      <c r="C93">
        <v>2009</v>
      </c>
      <c r="D93">
        <v>11</v>
      </c>
      <c r="E93" s="75"/>
      <c r="F93" s="34" t="s">
        <v>436</v>
      </c>
      <c r="G93">
        <v>7</v>
      </c>
      <c r="H93">
        <f t="shared" si="41"/>
        <v>2016</v>
      </c>
      <c r="K93" s="32">
        <v>4758</v>
      </c>
      <c r="L93" s="32"/>
      <c r="M93" s="32">
        <f t="shared" si="42"/>
        <v>4758</v>
      </c>
      <c r="N93" s="107">
        <f t="shared" si="43"/>
        <v>56.642857142857139</v>
      </c>
      <c r="O93" s="107">
        <f t="shared" si="44"/>
        <v>226.57142857137703</v>
      </c>
      <c r="P93" s="107">
        <f t="shared" si="45"/>
        <v>0</v>
      </c>
      <c r="Q93" s="107">
        <f t="shared" si="46"/>
        <v>226.57142857137703</v>
      </c>
      <c r="R93" s="105">
        <v>1</v>
      </c>
      <c r="S93" s="107">
        <f t="shared" si="47"/>
        <v>226.57142857137703</v>
      </c>
      <c r="T93" s="105"/>
      <c r="U93" s="107">
        <f t="shared" si="48"/>
        <v>4531.4285714286234</v>
      </c>
      <c r="V93" s="107">
        <f t="shared" si="49"/>
        <v>4531.4285714286234</v>
      </c>
      <c r="W93" s="105">
        <v>1</v>
      </c>
      <c r="X93" s="107">
        <f t="shared" si="50"/>
        <v>4531.4285714286234</v>
      </c>
      <c r="Y93" s="107">
        <f t="shared" si="51"/>
        <v>4758</v>
      </c>
      <c r="Z93" s="107">
        <f t="shared" si="52"/>
        <v>113.2857142856883</v>
      </c>
      <c r="AA93" s="107">
        <f t="shared" si="53"/>
        <v>2009.8333333333333</v>
      </c>
      <c r="AB93" s="107">
        <f t="shared" si="54"/>
        <v>2017.5</v>
      </c>
      <c r="AC93" s="107">
        <f t="shared" si="55"/>
        <v>2016.8333333333333</v>
      </c>
      <c r="AD93" s="108">
        <f t="shared" si="56"/>
        <v>2016.5</v>
      </c>
      <c r="AE93" s="108">
        <f t="shared" si="57"/>
        <v>-8.3333333333333329E-2</v>
      </c>
      <c r="AF93" s="108">
        <f t="shared" si="58"/>
        <v>2016.8333333333333</v>
      </c>
      <c r="AG93" s="108">
        <f t="shared" si="59"/>
        <v>2016.5</v>
      </c>
      <c r="AH93" s="108">
        <f t="shared" si="60"/>
        <v>-8.3333333333333329E-2</v>
      </c>
    </row>
    <row r="94" spans="1:34" x14ac:dyDescent="0.25">
      <c r="A94">
        <v>81</v>
      </c>
      <c r="B94" t="s">
        <v>506</v>
      </c>
      <c r="C94">
        <v>2009</v>
      </c>
      <c r="D94">
        <v>11</v>
      </c>
      <c r="E94" s="75"/>
      <c r="F94" s="34" t="s">
        <v>436</v>
      </c>
      <c r="G94">
        <v>7</v>
      </c>
      <c r="H94">
        <f t="shared" si="41"/>
        <v>2016</v>
      </c>
      <c r="K94" s="32">
        <v>343</v>
      </c>
      <c r="L94" s="32"/>
      <c r="M94" s="32">
        <f t="shared" si="42"/>
        <v>343</v>
      </c>
      <c r="N94" s="107">
        <f t="shared" si="43"/>
        <v>4.083333333333333</v>
      </c>
      <c r="O94" s="107">
        <f t="shared" si="44"/>
        <v>16.33333333332962</v>
      </c>
      <c r="P94" s="107">
        <f t="shared" si="45"/>
        <v>0</v>
      </c>
      <c r="Q94" s="107">
        <f t="shared" si="46"/>
        <v>16.33333333332962</v>
      </c>
      <c r="R94" s="105">
        <v>1</v>
      </c>
      <c r="S94" s="107">
        <f t="shared" si="47"/>
        <v>16.33333333332962</v>
      </c>
      <c r="T94" s="105"/>
      <c r="U94" s="107">
        <f t="shared" si="48"/>
        <v>326.66666666667038</v>
      </c>
      <c r="V94" s="107">
        <f t="shared" si="49"/>
        <v>326.66666666667038</v>
      </c>
      <c r="W94" s="105">
        <v>1</v>
      </c>
      <c r="X94" s="107">
        <f t="shared" si="50"/>
        <v>326.66666666667038</v>
      </c>
      <c r="Y94" s="107">
        <f t="shared" si="51"/>
        <v>343</v>
      </c>
      <c r="Z94" s="107">
        <f t="shared" si="52"/>
        <v>8.1666666666648098</v>
      </c>
      <c r="AA94" s="107">
        <f t="shared" si="53"/>
        <v>2009.8333333333333</v>
      </c>
      <c r="AB94" s="107">
        <f t="shared" si="54"/>
        <v>2017.5</v>
      </c>
      <c r="AC94" s="107">
        <f t="shared" si="55"/>
        <v>2016.8333333333333</v>
      </c>
      <c r="AD94" s="108">
        <f t="shared" si="56"/>
        <v>2016.5</v>
      </c>
      <c r="AE94" s="108">
        <f t="shared" si="57"/>
        <v>-8.3333333333333329E-2</v>
      </c>
      <c r="AF94" s="108">
        <f t="shared" si="58"/>
        <v>2016.8333333333333</v>
      </c>
      <c r="AG94" s="108">
        <f t="shared" si="59"/>
        <v>2016.5</v>
      </c>
      <c r="AH94" s="108">
        <f t="shared" si="60"/>
        <v>-8.3333333333333329E-2</v>
      </c>
    </row>
    <row r="95" spans="1:34" x14ac:dyDescent="0.25">
      <c r="A95">
        <v>82</v>
      </c>
      <c r="B95" t="s">
        <v>507</v>
      </c>
      <c r="C95">
        <v>2009</v>
      </c>
      <c r="D95">
        <v>11</v>
      </c>
      <c r="E95" s="75"/>
      <c r="F95" s="34" t="s">
        <v>436</v>
      </c>
      <c r="G95">
        <v>5</v>
      </c>
      <c r="H95">
        <f t="shared" si="41"/>
        <v>2014</v>
      </c>
      <c r="K95" s="32">
        <v>410</v>
      </c>
      <c r="L95" s="32"/>
      <c r="M95" s="32">
        <f t="shared" si="42"/>
        <v>410</v>
      </c>
      <c r="N95" s="107">
        <f t="shared" si="43"/>
        <v>6.833333333333333</v>
      </c>
      <c r="O95" s="107">
        <f t="shared" si="44"/>
        <v>0</v>
      </c>
      <c r="P95" s="107">
        <f t="shared" si="45"/>
        <v>0</v>
      </c>
      <c r="Q95" s="107">
        <f t="shared" si="46"/>
        <v>0</v>
      </c>
      <c r="R95" s="105">
        <v>1</v>
      </c>
      <c r="S95" s="107">
        <f t="shared" si="47"/>
        <v>0</v>
      </c>
      <c r="T95" s="105"/>
      <c r="U95" s="107">
        <f t="shared" si="48"/>
        <v>410</v>
      </c>
      <c r="V95" s="107">
        <f t="shared" si="49"/>
        <v>410</v>
      </c>
      <c r="W95" s="105">
        <v>1</v>
      </c>
      <c r="X95" s="107">
        <f t="shared" si="50"/>
        <v>410</v>
      </c>
      <c r="Y95" s="107">
        <f t="shared" si="51"/>
        <v>410</v>
      </c>
      <c r="Z95" s="107">
        <f t="shared" si="52"/>
        <v>0</v>
      </c>
      <c r="AA95" s="107">
        <f t="shared" si="53"/>
        <v>2009.8333333333333</v>
      </c>
      <c r="AB95" s="107">
        <f t="shared" si="54"/>
        <v>2017.5</v>
      </c>
      <c r="AC95" s="107">
        <f t="shared" si="55"/>
        <v>2014.8333333333333</v>
      </c>
      <c r="AD95" s="108">
        <f t="shared" si="56"/>
        <v>2016.5</v>
      </c>
      <c r="AE95" s="108">
        <f t="shared" si="57"/>
        <v>-8.3333333333333329E-2</v>
      </c>
      <c r="AF95" s="108">
        <f t="shared" si="58"/>
        <v>2014.8333333333333</v>
      </c>
      <c r="AG95" s="108">
        <f t="shared" si="59"/>
        <v>2016.5</v>
      </c>
      <c r="AH95" s="108">
        <f t="shared" si="60"/>
        <v>-8.3333333333333329E-2</v>
      </c>
    </row>
    <row r="96" spans="1:34" x14ac:dyDescent="0.25">
      <c r="A96">
        <v>83</v>
      </c>
      <c r="B96" t="s">
        <v>508</v>
      </c>
      <c r="C96">
        <v>2009</v>
      </c>
      <c r="D96">
        <v>11</v>
      </c>
      <c r="E96" s="75"/>
      <c r="F96" s="34" t="s">
        <v>436</v>
      </c>
      <c r="G96">
        <v>5</v>
      </c>
      <c r="H96">
        <f t="shared" si="41"/>
        <v>2014</v>
      </c>
      <c r="K96" s="32">
        <v>1153</v>
      </c>
      <c r="L96" s="32"/>
      <c r="M96" s="32">
        <f t="shared" si="42"/>
        <v>1153</v>
      </c>
      <c r="N96" s="107">
        <f t="shared" si="43"/>
        <v>19.216666666666665</v>
      </c>
      <c r="O96" s="107">
        <f t="shared" si="44"/>
        <v>0</v>
      </c>
      <c r="P96" s="107">
        <f t="shared" si="45"/>
        <v>0</v>
      </c>
      <c r="Q96" s="107">
        <f t="shared" si="46"/>
        <v>0</v>
      </c>
      <c r="R96" s="105">
        <v>1</v>
      </c>
      <c r="S96" s="107">
        <f t="shared" si="47"/>
        <v>0</v>
      </c>
      <c r="T96" s="105"/>
      <c r="U96" s="107">
        <f t="shared" si="48"/>
        <v>1153</v>
      </c>
      <c r="V96" s="107">
        <f t="shared" si="49"/>
        <v>1153</v>
      </c>
      <c r="W96" s="105">
        <v>1</v>
      </c>
      <c r="X96" s="107">
        <f t="shared" si="50"/>
        <v>1153</v>
      </c>
      <c r="Y96" s="107">
        <f t="shared" si="51"/>
        <v>1153</v>
      </c>
      <c r="Z96" s="107">
        <f t="shared" si="52"/>
        <v>0</v>
      </c>
      <c r="AA96" s="107">
        <f t="shared" si="53"/>
        <v>2009.8333333333333</v>
      </c>
      <c r="AB96" s="107">
        <f t="shared" si="54"/>
        <v>2017.5</v>
      </c>
      <c r="AC96" s="107">
        <f t="shared" si="55"/>
        <v>2014.8333333333333</v>
      </c>
      <c r="AD96" s="108">
        <f t="shared" si="56"/>
        <v>2016.5</v>
      </c>
      <c r="AE96" s="108">
        <f t="shared" si="57"/>
        <v>-8.3333333333333329E-2</v>
      </c>
      <c r="AF96" s="108">
        <f t="shared" si="58"/>
        <v>2014.8333333333333</v>
      </c>
      <c r="AG96" s="108">
        <f t="shared" si="59"/>
        <v>2016.5</v>
      </c>
      <c r="AH96" s="108">
        <f t="shared" si="60"/>
        <v>-8.3333333333333329E-2</v>
      </c>
    </row>
    <row r="97" spans="1:34" x14ac:dyDescent="0.25">
      <c r="A97">
        <v>84</v>
      </c>
      <c r="B97" t="s">
        <v>509</v>
      </c>
      <c r="C97">
        <v>2009</v>
      </c>
      <c r="D97">
        <v>11</v>
      </c>
      <c r="E97" s="75"/>
      <c r="F97" s="34" t="s">
        <v>436</v>
      </c>
      <c r="G97">
        <v>7</v>
      </c>
      <c r="H97">
        <f t="shared" si="41"/>
        <v>2016</v>
      </c>
      <c r="K97" s="32">
        <v>702</v>
      </c>
      <c r="L97" s="32"/>
      <c r="M97" s="32">
        <f t="shared" si="42"/>
        <v>702</v>
      </c>
      <c r="N97" s="107">
        <f t="shared" si="43"/>
        <v>8.3571428571428577</v>
      </c>
      <c r="O97" s="107">
        <f t="shared" si="44"/>
        <v>33.428571428563828</v>
      </c>
      <c r="P97" s="107">
        <f t="shared" si="45"/>
        <v>0</v>
      </c>
      <c r="Q97" s="107">
        <f t="shared" si="46"/>
        <v>33.428571428563828</v>
      </c>
      <c r="R97" s="105">
        <v>1</v>
      </c>
      <c r="S97" s="107">
        <f t="shared" si="47"/>
        <v>33.428571428563828</v>
      </c>
      <c r="T97" s="105"/>
      <c r="U97" s="107">
        <f t="shared" si="48"/>
        <v>668.57142857143617</v>
      </c>
      <c r="V97" s="107">
        <f t="shared" si="49"/>
        <v>668.57142857143617</v>
      </c>
      <c r="W97" s="105">
        <v>1</v>
      </c>
      <c r="X97" s="107">
        <f t="shared" si="50"/>
        <v>668.57142857143617</v>
      </c>
      <c r="Y97" s="107">
        <f t="shared" si="51"/>
        <v>702</v>
      </c>
      <c r="Z97" s="107">
        <f t="shared" si="52"/>
        <v>16.714285714281914</v>
      </c>
      <c r="AA97" s="107">
        <f t="shared" si="53"/>
        <v>2009.8333333333333</v>
      </c>
      <c r="AB97" s="107">
        <f t="shared" si="54"/>
        <v>2017.5</v>
      </c>
      <c r="AC97" s="107">
        <f t="shared" si="55"/>
        <v>2016.8333333333333</v>
      </c>
      <c r="AD97" s="108">
        <f t="shared" si="56"/>
        <v>2016.5</v>
      </c>
      <c r="AE97" s="108">
        <f t="shared" si="57"/>
        <v>-8.3333333333333329E-2</v>
      </c>
      <c r="AF97" s="108">
        <f t="shared" si="58"/>
        <v>2016.8333333333333</v>
      </c>
      <c r="AG97" s="108">
        <f t="shared" si="59"/>
        <v>2016.5</v>
      </c>
      <c r="AH97" s="108">
        <f t="shared" si="60"/>
        <v>-8.3333333333333329E-2</v>
      </c>
    </row>
    <row r="98" spans="1:34" x14ac:dyDescent="0.25">
      <c r="A98">
        <v>85</v>
      </c>
      <c r="B98" t="s">
        <v>510</v>
      </c>
      <c r="C98">
        <v>2009</v>
      </c>
      <c r="D98">
        <v>12</v>
      </c>
      <c r="E98" s="75"/>
      <c r="F98" s="34" t="s">
        <v>436</v>
      </c>
      <c r="G98">
        <v>10</v>
      </c>
      <c r="H98">
        <f t="shared" si="41"/>
        <v>2019</v>
      </c>
      <c r="K98" s="32">
        <v>11111</v>
      </c>
      <c r="L98" s="32"/>
      <c r="M98" s="32">
        <f t="shared" si="42"/>
        <v>11111</v>
      </c>
      <c r="N98" s="107">
        <f t="shared" si="43"/>
        <v>92.591666666666654</v>
      </c>
      <c r="O98" s="107">
        <f t="shared" si="44"/>
        <v>1111.0999999999999</v>
      </c>
      <c r="P98" s="107">
        <f t="shared" si="45"/>
        <v>0</v>
      </c>
      <c r="Q98" s="107">
        <f t="shared" si="46"/>
        <v>1111.0999999999999</v>
      </c>
      <c r="R98" s="105">
        <v>1</v>
      </c>
      <c r="S98" s="107">
        <f t="shared" si="47"/>
        <v>1111.0999999999999</v>
      </c>
      <c r="T98" s="105"/>
      <c r="U98" s="107">
        <f t="shared" si="48"/>
        <v>7314.7416666665813</v>
      </c>
      <c r="V98" s="107">
        <f t="shared" si="49"/>
        <v>7314.7416666665813</v>
      </c>
      <c r="W98" s="105">
        <v>1</v>
      </c>
      <c r="X98" s="107">
        <f t="shared" si="50"/>
        <v>7314.7416666665813</v>
      </c>
      <c r="Y98" s="107">
        <f t="shared" si="51"/>
        <v>8425.8416666665817</v>
      </c>
      <c r="Z98" s="107">
        <f t="shared" si="52"/>
        <v>3240.7083333334185</v>
      </c>
      <c r="AA98" s="107">
        <f t="shared" si="53"/>
        <v>2009.9166666666667</v>
      </c>
      <c r="AB98" s="107">
        <f t="shared" si="54"/>
        <v>2017.5</v>
      </c>
      <c r="AC98" s="107">
        <f t="shared" si="55"/>
        <v>2019.9166666666667</v>
      </c>
      <c r="AD98" s="108">
        <f t="shared" si="56"/>
        <v>2016.5</v>
      </c>
      <c r="AE98" s="108">
        <f t="shared" si="57"/>
        <v>-8.3333333333333329E-2</v>
      </c>
      <c r="AF98" s="108">
        <f t="shared" si="58"/>
        <v>2019.9166666666667</v>
      </c>
      <c r="AG98" s="108">
        <f t="shared" si="59"/>
        <v>2016.5</v>
      </c>
      <c r="AH98" s="108">
        <f t="shared" si="60"/>
        <v>-8.3333333333333329E-2</v>
      </c>
    </row>
    <row r="99" spans="1:34" x14ac:dyDescent="0.25">
      <c r="A99">
        <v>86</v>
      </c>
      <c r="B99" t="s">
        <v>506</v>
      </c>
      <c r="C99">
        <v>2009</v>
      </c>
      <c r="D99">
        <v>12</v>
      </c>
      <c r="E99" s="75"/>
      <c r="F99" s="34" t="s">
        <v>436</v>
      </c>
      <c r="G99">
        <v>7</v>
      </c>
      <c r="H99">
        <f t="shared" si="41"/>
        <v>2016</v>
      </c>
      <c r="K99" s="32">
        <v>332</v>
      </c>
      <c r="L99" s="32"/>
      <c r="M99" s="32">
        <f t="shared" si="42"/>
        <v>332</v>
      </c>
      <c r="N99" s="107">
        <f t="shared" si="43"/>
        <v>3.9523809523809526</v>
      </c>
      <c r="O99" s="107">
        <f t="shared" si="44"/>
        <v>19.761904761908358</v>
      </c>
      <c r="P99" s="107">
        <f t="shared" si="45"/>
        <v>0</v>
      </c>
      <c r="Q99" s="107">
        <f t="shared" si="46"/>
        <v>19.761904761908358</v>
      </c>
      <c r="R99" s="105">
        <v>1</v>
      </c>
      <c r="S99" s="107">
        <f t="shared" si="47"/>
        <v>19.761904761908358</v>
      </c>
      <c r="T99" s="105"/>
      <c r="U99" s="107">
        <f t="shared" si="48"/>
        <v>312.23809523809166</v>
      </c>
      <c r="V99" s="107">
        <f t="shared" si="49"/>
        <v>312.23809523809166</v>
      </c>
      <c r="W99" s="105">
        <v>1</v>
      </c>
      <c r="X99" s="107">
        <f t="shared" si="50"/>
        <v>312.23809523809166</v>
      </c>
      <c r="Y99" s="107">
        <f t="shared" si="51"/>
        <v>332</v>
      </c>
      <c r="Z99" s="107">
        <f t="shared" si="52"/>
        <v>9.8809523809541702</v>
      </c>
      <c r="AA99" s="107">
        <f t="shared" si="53"/>
        <v>2009.9166666666667</v>
      </c>
      <c r="AB99" s="107">
        <f t="shared" si="54"/>
        <v>2017.5</v>
      </c>
      <c r="AC99" s="107">
        <f t="shared" si="55"/>
        <v>2016.9166666666667</v>
      </c>
      <c r="AD99" s="108">
        <f t="shared" si="56"/>
        <v>2016.5</v>
      </c>
      <c r="AE99" s="108">
        <f t="shared" si="57"/>
        <v>-8.3333333333333329E-2</v>
      </c>
      <c r="AF99" s="108">
        <f t="shared" si="58"/>
        <v>2016.9166666666667</v>
      </c>
      <c r="AG99" s="108">
        <f t="shared" si="59"/>
        <v>2016.5</v>
      </c>
      <c r="AH99" s="108">
        <f t="shared" si="60"/>
        <v>-8.3333333333333329E-2</v>
      </c>
    </row>
    <row r="100" spans="1:34" x14ac:dyDescent="0.25">
      <c r="A100">
        <v>87</v>
      </c>
      <c r="B100" t="s">
        <v>511</v>
      </c>
      <c r="C100">
        <v>2009</v>
      </c>
      <c r="D100">
        <v>12</v>
      </c>
      <c r="E100" s="75"/>
      <c r="F100" s="34" t="s">
        <v>436</v>
      </c>
      <c r="G100">
        <v>7</v>
      </c>
      <c r="H100">
        <f t="shared" si="41"/>
        <v>2016</v>
      </c>
      <c r="K100" s="32">
        <v>996</v>
      </c>
      <c r="L100" s="32"/>
      <c r="M100" s="32">
        <f t="shared" si="42"/>
        <v>996</v>
      </c>
      <c r="N100" s="107">
        <f t="shared" si="43"/>
        <v>11.857142857142856</v>
      </c>
      <c r="O100" s="107">
        <f t="shared" si="44"/>
        <v>59.285714285725064</v>
      </c>
      <c r="P100" s="107">
        <f t="shared" si="45"/>
        <v>0</v>
      </c>
      <c r="Q100" s="107">
        <f t="shared" si="46"/>
        <v>59.285714285725064</v>
      </c>
      <c r="R100" s="105">
        <v>1</v>
      </c>
      <c r="S100" s="107">
        <f t="shared" si="47"/>
        <v>59.285714285725064</v>
      </c>
      <c r="T100" s="105"/>
      <c r="U100" s="107">
        <f t="shared" si="48"/>
        <v>936.71428571427498</v>
      </c>
      <c r="V100" s="107">
        <f t="shared" si="49"/>
        <v>936.71428571427498</v>
      </c>
      <c r="W100" s="105">
        <v>1</v>
      </c>
      <c r="X100" s="107">
        <f t="shared" si="50"/>
        <v>936.71428571427498</v>
      </c>
      <c r="Y100" s="107">
        <f t="shared" si="51"/>
        <v>996</v>
      </c>
      <c r="Z100" s="107">
        <f t="shared" si="52"/>
        <v>29.64285714286251</v>
      </c>
      <c r="AA100" s="107">
        <f t="shared" si="53"/>
        <v>2009.9166666666667</v>
      </c>
      <c r="AB100" s="107">
        <f t="shared" si="54"/>
        <v>2017.5</v>
      </c>
      <c r="AC100" s="107">
        <f t="shared" si="55"/>
        <v>2016.9166666666667</v>
      </c>
      <c r="AD100" s="108">
        <f t="shared" si="56"/>
        <v>2016.5</v>
      </c>
      <c r="AE100" s="108">
        <f t="shared" si="57"/>
        <v>-8.3333333333333329E-2</v>
      </c>
      <c r="AF100" s="108">
        <f t="shared" si="58"/>
        <v>2016.9166666666667</v>
      </c>
      <c r="AG100" s="108">
        <f t="shared" si="59"/>
        <v>2016.5</v>
      </c>
      <c r="AH100" s="108">
        <f t="shared" si="60"/>
        <v>-8.3333333333333329E-2</v>
      </c>
    </row>
    <row r="101" spans="1:34" x14ac:dyDescent="0.25">
      <c r="A101">
        <v>88</v>
      </c>
      <c r="B101" t="s">
        <v>512</v>
      </c>
      <c r="C101">
        <v>2009</v>
      </c>
      <c r="D101">
        <v>12</v>
      </c>
      <c r="E101" s="75"/>
      <c r="F101" s="34" t="s">
        <v>436</v>
      </c>
      <c r="G101">
        <v>7</v>
      </c>
      <c r="H101">
        <f t="shared" si="41"/>
        <v>2016</v>
      </c>
      <c r="K101" s="32">
        <v>2930</v>
      </c>
      <c r="L101" s="32"/>
      <c r="M101" s="32">
        <f t="shared" si="42"/>
        <v>2930</v>
      </c>
      <c r="N101" s="107">
        <f t="shared" si="43"/>
        <v>34.88095238095238</v>
      </c>
      <c r="O101" s="107">
        <f t="shared" si="44"/>
        <v>174.40476190479362</v>
      </c>
      <c r="P101" s="107">
        <f t="shared" si="45"/>
        <v>0</v>
      </c>
      <c r="Q101" s="107">
        <f t="shared" si="46"/>
        <v>174.40476190479362</v>
      </c>
      <c r="R101" s="105">
        <v>1</v>
      </c>
      <c r="S101" s="107">
        <f t="shared" si="47"/>
        <v>174.40476190479362</v>
      </c>
      <c r="T101" s="105"/>
      <c r="U101" s="107">
        <f t="shared" si="48"/>
        <v>2755.5952380952062</v>
      </c>
      <c r="V101" s="107">
        <f t="shared" si="49"/>
        <v>2755.5952380952062</v>
      </c>
      <c r="W101" s="105">
        <v>1</v>
      </c>
      <c r="X101" s="107">
        <f t="shared" si="50"/>
        <v>2755.5952380952062</v>
      </c>
      <c r="Y101" s="107">
        <f t="shared" si="51"/>
        <v>2930</v>
      </c>
      <c r="Z101" s="107">
        <f t="shared" si="52"/>
        <v>87.202380952396879</v>
      </c>
      <c r="AA101" s="107">
        <f t="shared" si="53"/>
        <v>2009.9166666666667</v>
      </c>
      <c r="AB101" s="107">
        <f t="shared" si="54"/>
        <v>2017.5</v>
      </c>
      <c r="AC101" s="107">
        <f t="shared" si="55"/>
        <v>2016.9166666666667</v>
      </c>
      <c r="AD101" s="108">
        <f t="shared" si="56"/>
        <v>2016.5</v>
      </c>
      <c r="AE101" s="108">
        <f t="shared" si="57"/>
        <v>-8.3333333333333329E-2</v>
      </c>
      <c r="AF101" s="108">
        <f t="shared" si="58"/>
        <v>2016.9166666666667</v>
      </c>
      <c r="AG101" s="108">
        <f t="shared" si="59"/>
        <v>2016.5</v>
      </c>
      <c r="AH101" s="108">
        <f t="shared" si="60"/>
        <v>-8.3333333333333329E-2</v>
      </c>
    </row>
    <row r="102" spans="1:34" x14ac:dyDescent="0.25">
      <c r="A102">
        <v>89</v>
      </c>
      <c r="B102" t="s">
        <v>513</v>
      </c>
      <c r="C102">
        <v>2009</v>
      </c>
      <c r="D102">
        <v>12</v>
      </c>
      <c r="E102" s="75"/>
      <c r="F102" s="34" t="s">
        <v>436</v>
      </c>
      <c r="G102">
        <v>5</v>
      </c>
      <c r="H102">
        <f t="shared" si="41"/>
        <v>2014</v>
      </c>
      <c r="K102" s="32">
        <v>2140</v>
      </c>
      <c r="L102" s="32"/>
      <c r="M102" s="32">
        <f t="shared" si="42"/>
        <v>2140</v>
      </c>
      <c r="N102" s="107">
        <f t="shared" si="43"/>
        <v>35.666666666666664</v>
      </c>
      <c r="O102" s="107">
        <f t="shared" si="44"/>
        <v>0</v>
      </c>
      <c r="P102" s="107">
        <f t="shared" si="45"/>
        <v>0</v>
      </c>
      <c r="Q102" s="107">
        <f t="shared" si="46"/>
        <v>0</v>
      </c>
      <c r="R102" s="105">
        <v>1</v>
      </c>
      <c r="S102" s="107">
        <f t="shared" si="47"/>
        <v>0</v>
      </c>
      <c r="T102" s="105"/>
      <c r="U102" s="107">
        <f t="shared" si="48"/>
        <v>2140</v>
      </c>
      <c r="V102" s="107">
        <f t="shared" si="49"/>
        <v>2140</v>
      </c>
      <c r="W102" s="105">
        <v>1</v>
      </c>
      <c r="X102" s="107">
        <f t="shared" si="50"/>
        <v>2140</v>
      </c>
      <c r="Y102" s="107">
        <f t="shared" si="51"/>
        <v>2140</v>
      </c>
      <c r="Z102" s="107">
        <f t="shared" si="52"/>
        <v>0</v>
      </c>
      <c r="AA102" s="107">
        <f t="shared" si="53"/>
        <v>2009.9166666666667</v>
      </c>
      <c r="AB102" s="107">
        <f t="shared" si="54"/>
        <v>2017.5</v>
      </c>
      <c r="AC102" s="107">
        <f t="shared" si="55"/>
        <v>2014.9166666666667</v>
      </c>
      <c r="AD102" s="108">
        <f t="shared" si="56"/>
        <v>2016.5</v>
      </c>
      <c r="AE102" s="108">
        <f t="shared" si="57"/>
        <v>-8.3333333333333329E-2</v>
      </c>
      <c r="AF102" s="108">
        <f t="shared" si="58"/>
        <v>2014.9166666666667</v>
      </c>
      <c r="AG102" s="108">
        <f t="shared" si="59"/>
        <v>2016.5</v>
      </c>
      <c r="AH102" s="108">
        <f t="shared" si="60"/>
        <v>-8.3333333333333329E-2</v>
      </c>
    </row>
    <row r="103" spans="1:34" x14ac:dyDescent="0.25">
      <c r="A103">
        <v>90</v>
      </c>
      <c r="B103" t="s">
        <v>514</v>
      </c>
      <c r="C103">
        <v>2009</v>
      </c>
      <c r="D103">
        <v>12</v>
      </c>
      <c r="E103" s="75"/>
      <c r="F103" s="34" t="s">
        <v>436</v>
      </c>
      <c r="G103">
        <v>5</v>
      </c>
      <c r="H103">
        <f t="shared" si="41"/>
        <v>2014</v>
      </c>
      <c r="K103" s="32">
        <v>359</v>
      </c>
      <c r="L103" s="32"/>
      <c r="M103" s="32">
        <f t="shared" si="42"/>
        <v>359</v>
      </c>
      <c r="N103" s="107">
        <f t="shared" si="43"/>
        <v>5.9833333333333334</v>
      </c>
      <c r="O103" s="107">
        <f t="shared" si="44"/>
        <v>0</v>
      </c>
      <c r="P103" s="107">
        <f t="shared" si="45"/>
        <v>0</v>
      </c>
      <c r="Q103" s="107">
        <f t="shared" si="46"/>
        <v>0</v>
      </c>
      <c r="R103" s="105">
        <v>1</v>
      </c>
      <c r="S103" s="107">
        <f t="shared" si="47"/>
        <v>0</v>
      </c>
      <c r="T103" s="105"/>
      <c r="U103" s="107">
        <f t="shared" si="48"/>
        <v>359</v>
      </c>
      <c r="V103" s="107">
        <f t="shared" si="49"/>
        <v>359</v>
      </c>
      <c r="W103" s="105">
        <v>1</v>
      </c>
      <c r="X103" s="107">
        <f t="shared" si="50"/>
        <v>359</v>
      </c>
      <c r="Y103" s="107">
        <f t="shared" si="51"/>
        <v>359</v>
      </c>
      <c r="Z103" s="107">
        <f t="shared" si="52"/>
        <v>0</v>
      </c>
      <c r="AA103" s="107">
        <f t="shared" si="53"/>
        <v>2009.9166666666667</v>
      </c>
      <c r="AB103" s="107">
        <f t="shared" si="54"/>
        <v>2017.5</v>
      </c>
      <c r="AC103" s="107">
        <f t="shared" si="55"/>
        <v>2014.9166666666667</v>
      </c>
      <c r="AD103" s="108">
        <f t="shared" si="56"/>
        <v>2016.5</v>
      </c>
      <c r="AE103" s="108">
        <f t="shared" si="57"/>
        <v>-8.3333333333333329E-2</v>
      </c>
      <c r="AF103" s="108">
        <f t="shared" si="58"/>
        <v>2014.9166666666667</v>
      </c>
      <c r="AG103" s="108">
        <f t="shared" si="59"/>
        <v>2016.5</v>
      </c>
      <c r="AH103" s="108">
        <f t="shared" si="60"/>
        <v>-8.3333333333333329E-2</v>
      </c>
    </row>
    <row r="104" spans="1:34" x14ac:dyDescent="0.25">
      <c r="A104">
        <v>92</v>
      </c>
      <c r="B104" t="s">
        <v>493</v>
      </c>
      <c r="C104">
        <v>2009</v>
      </c>
      <c r="D104">
        <v>3</v>
      </c>
      <c r="E104" s="75"/>
      <c r="F104" s="34" t="s">
        <v>436</v>
      </c>
      <c r="G104">
        <v>7</v>
      </c>
      <c r="H104">
        <f t="shared" si="41"/>
        <v>2016</v>
      </c>
      <c r="K104" s="32">
        <v>42672</v>
      </c>
      <c r="L104" s="32"/>
      <c r="M104" s="32">
        <f t="shared" si="42"/>
        <v>42672</v>
      </c>
      <c r="N104" s="107">
        <f t="shared" si="43"/>
        <v>508</v>
      </c>
      <c r="O104" s="107">
        <f t="shared" si="44"/>
        <v>0</v>
      </c>
      <c r="P104" s="107">
        <f t="shared" si="45"/>
        <v>0</v>
      </c>
      <c r="Q104" s="107">
        <f t="shared" si="46"/>
        <v>0</v>
      </c>
      <c r="R104" s="105">
        <v>1</v>
      </c>
      <c r="S104" s="107">
        <f t="shared" si="47"/>
        <v>0</v>
      </c>
      <c r="T104" s="105"/>
      <c r="U104" s="107">
        <f t="shared" si="48"/>
        <v>42672</v>
      </c>
      <c r="V104" s="107">
        <f t="shared" si="49"/>
        <v>42672</v>
      </c>
      <c r="W104" s="105">
        <v>1</v>
      </c>
      <c r="X104" s="107">
        <f t="shared" si="50"/>
        <v>42672</v>
      </c>
      <c r="Y104" s="107">
        <f t="shared" si="51"/>
        <v>42672</v>
      </c>
      <c r="Z104" s="107">
        <f t="shared" si="52"/>
        <v>0</v>
      </c>
      <c r="AA104" s="107">
        <f t="shared" si="53"/>
        <v>2009.1666666666667</v>
      </c>
      <c r="AB104" s="107">
        <f t="shared" si="54"/>
        <v>2017.5</v>
      </c>
      <c r="AC104" s="107">
        <f t="shared" si="55"/>
        <v>2016.1666666666667</v>
      </c>
      <c r="AD104" s="108">
        <f t="shared" si="56"/>
        <v>2016.5</v>
      </c>
      <c r="AE104" s="108">
        <f t="shared" si="57"/>
        <v>-8.3333333333333329E-2</v>
      </c>
      <c r="AF104" s="108">
        <f t="shared" si="58"/>
        <v>2016.1666666666667</v>
      </c>
      <c r="AG104" s="108">
        <f t="shared" si="59"/>
        <v>2016.5</v>
      </c>
      <c r="AH104" s="108">
        <f t="shared" si="60"/>
        <v>-8.3333333333333329E-2</v>
      </c>
    </row>
    <row r="105" spans="1:34" x14ac:dyDescent="0.25">
      <c r="A105">
        <v>93</v>
      </c>
      <c r="B105" t="s">
        <v>498</v>
      </c>
      <c r="C105">
        <v>2009</v>
      </c>
      <c r="D105">
        <v>3</v>
      </c>
      <c r="E105" s="75"/>
      <c r="F105" s="34" t="s">
        <v>436</v>
      </c>
      <c r="G105">
        <v>7</v>
      </c>
      <c r="H105">
        <f t="shared" si="41"/>
        <v>2016</v>
      </c>
      <c r="K105" s="32">
        <v>5956</v>
      </c>
      <c r="L105" s="32"/>
      <c r="M105" s="32">
        <f t="shared" si="42"/>
        <v>5956</v>
      </c>
      <c r="N105" s="107">
        <f t="shared" si="43"/>
        <v>70.904761904761912</v>
      </c>
      <c r="O105" s="107">
        <f t="shared" si="44"/>
        <v>0</v>
      </c>
      <c r="P105" s="107">
        <f t="shared" si="45"/>
        <v>0</v>
      </c>
      <c r="Q105" s="107">
        <f t="shared" si="46"/>
        <v>0</v>
      </c>
      <c r="R105" s="105">
        <v>1</v>
      </c>
      <c r="S105" s="107">
        <f t="shared" si="47"/>
        <v>0</v>
      </c>
      <c r="T105" s="105"/>
      <c r="U105" s="107">
        <f t="shared" si="48"/>
        <v>5956</v>
      </c>
      <c r="V105" s="107">
        <f t="shared" si="49"/>
        <v>5956</v>
      </c>
      <c r="W105" s="105">
        <v>1</v>
      </c>
      <c r="X105" s="107">
        <f t="shared" si="50"/>
        <v>5956</v>
      </c>
      <c r="Y105" s="107">
        <f t="shared" si="51"/>
        <v>5956</v>
      </c>
      <c r="Z105" s="107">
        <f t="shared" si="52"/>
        <v>0</v>
      </c>
      <c r="AA105" s="107">
        <f t="shared" si="53"/>
        <v>2009.1666666666667</v>
      </c>
      <c r="AB105" s="107">
        <f t="shared" si="54"/>
        <v>2017.5</v>
      </c>
      <c r="AC105" s="107">
        <f t="shared" si="55"/>
        <v>2016.1666666666667</v>
      </c>
      <c r="AD105" s="108">
        <f t="shared" si="56"/>
        <v>2016.5</v>
      </c>
      <c r="AE105" s="108">
        <f t="shared" si="57"/>
        <v>-8.3333333333333329E-2</v>
      </c>
      <c r="AF105" s="108">
        <f t="shared" si="58"/>
        <v>2016.1666666666667</v>
      </c>
      <c r="AG105" s="108">
        <f t="shared" si="59"/>
        <v>2016.5</v>
      </c>
      <c r="AH105" s="108">
        <f t="shared" si="60"/>
        <v>-8.3333333333333329E-2</v>
      </c>
    </row>
    <row r="106" spans="1:34" x14ac:dyDescent="0.25">
      <c r="A106">
        <v>94</v>
      </c>
      <c r="B106" t="s">
        <v>515</v>
      </c>
      <c r="C106">
        <v>2009</v>
      </c>
      <c r="D106">
        <v>3</v>
      </c>
      <c r="E106" s="75"/>
      <c r="F106" s="34" t="s">
        <v>436</v>
      </c>
      <c r="G106">
        <v>7</v>
      </c>
      <c r="H106">
        <f t="shared" si="41"/>
        <v>2016</v>
      </c>
      <c r="K106" s="32">
        <v>2867</v>
      </c>
      <c r="L106" s="32"/>
      <c r="M106" s="32">
        <f t="shared" si="42"/>
        <v>2867</v>
      </c>
      <c r="N106" s="107">
        <f t="shared" si="43"/>
        <v>34.13095238095238</v>
      </c>
      <c r="O106" s="107">
        <f t="shared" si="44"/>
        <v>0</v>
      </c>
      <c r="P106" s="107">
        <f t="shared" si="45"/>
        <v>0</v>
      </c>
      <c r="Q106" s="107">
        <f t="shared" si="46"/>
        <v>0</v>
      </c>
      <c r="R106" s="105">
        <v>1</v>
      </c>
      <c r="S106" s="107">
        <f t="shared" si="47"/>
        <v>0</v>
      </c>
      <c r="T106" s="105"/>
      <c r="U106" s="107">
        <f t="shared" si="48"/>
        <v>2867</v>
      </c>
      <c r="V106" s="107">
        <f t="shared" si="49"/>
        <v>2867</v>
      </c>
      <c r="W106" s="105">
        <v>1</v>
      </c>
      <c r="X106" s="107">
        <f t="shared" si="50"/>
        <v>2867</v>
      </c>
      <c r="Y106" s="107">
        <f t="shared" si="51"/>
        <v>2867</v>
      </c>
      <c r="Z106" s="107">
        <f t="shared" si="52"/>
        <v>0</v>
      </c>
      <c r="AA106" s="107">
        <f t="shared" si="53"/>
        <v>2009.1666666666667</v>
      </c>
      <c r="AB106" s="107">
        <f t="shared" si="54"/>
        <v>2017.5</v>
      </c>
      <c r="AC106" s="107">
        <f t="shared" si="55"/>
        <v>2016.1666666666667</v>
      </c>
      <c r="AD106" s="108">
        <f t="shared" si="56"/>
        <v>2016.5</v>
      </c>
      <c r="AE106" s="108">
        <f t="shared" si="57"/>
        <v>-8.3333333333333329E-2</v>
      </c>
      <c r="AF106" s="108">
        <f t="shared" si="58"/>
        <v>2016.1666666666667</v>
      </c>
      <c r="AG106" s="108">
        <f t="shared" si="59"/>
        <v>2016.5</v>
      </c>
      <c r="AH106" s="108">
        <f t="shared" si="60"/>
        <v>-8.3333333333333329E-2</v>
      </c>
    </row>
    <row r="107" spans="1:34" x14ac:dyDescent="0.25">
      <c r="A107">
        <v>95</v>
      </c>
      <c r="B107" t="s">
        <v>516</v>
      </c>
      <c r="C107">
        <v>2009</v>
      </c>
      <c r="D107">
        <v>5</v>
      </c>
      <c r="E107" s="75"/>
      <c r="F107" s="34" t="s">
        <v>436</v>
      </c>
      <c r="G107">
        <v>7</v>
      </c>
      <c r="H107">
        <f t="shared" si="41"/>
        <v>2016</v>
      </c>
      <c r="K107" s="32">
        <v>3900</v>
      </c>
      <c r="L107" s="32"/>
      <c r="M107" s="32">
        <f t="shared" si="42"/>
        <v>3900</v>
      </c>
      <c r="N107" s="107">
        <f t="shared" si="43"/>
        <v>46.428571428571423</v>
      </c>
      <c r="O107" s="107">
        <f t="shared" si="44"/>
        <v>0</v>
      </c>
      <c r="P107" s="107">
        <f t="shared" si="45"/>
        <v>0</v>
      </c>
      <c r="Q107" s="107">
        <f t="shared" si="46"/>
        <v>0</v>
      </c>
      <c r="R107" s="105">
        <v>1</v>
      </c>
      <c r="S107" s="107">
        <f t="shared" si="47"/>
        <v>0</v>
      </c>
      <c r="T107" s="105"/>
      <c r="U107" s="107">
        <f t="shared" si="48"/>
        <v>3900</v>
      </c>
      <c r="V107" s="107">
        <f t="shared" si="49"/>
        <v>3900</v>
      </c>
      <c r="W107" s="105">
        <v>1</v>
      </c>
      <c r="X107" s="107">
        <f t="shared" si="50"/>
        <v>3900</v>
      </c>
      <c r="Y107" s="107">
        <f t="shared" si="51"/>
        <v>3900</v>
      </c>
      <c r="Z107" s="107">
        <f t="shared" si="52"/>
        <v>0</v>
      </c>
      <c r="AA107" s="107">
        <f t="shared" si="53"/>
        <v>2009.3333333333333</v>
      </c>
      <c r="AB107" s="107">
        <f t="shared" si="54"/>
        <v>2017.5</v>
      </c>
      <c r="AC107" s="107">
        <f t="shared" si="55"/>
        <v>2016.3333333333333</v>
      </c>
      <c r="AD107" s="108">
        <f t="shared" si="56"/>
        <v>2016.5</v>
      </c>
      <c r="AE107" s="108">
        <f t="shared" si="57"/>
        <v>-8.3333333333333329E-2</v>
      </c>
      <c r="AF107" s="108">
        <f t="shared" si="58"/>
        <v>2016.3333333333333</v>
      </c>
      <c r="AG107" s="108">
        <f t="shared" si="59"/>
        <v>2016.5</v>
      </c>
      <c r="AH107" s="108">
        <f t="shared" si="60"/>
        <v>-8.3333333333333329E-2</v>
      </c>
    </row>
    <row r="108" spans="1:34" x14ac:dyDescent="0.25">
      <c r="A108">
        <v>96</v>
      </c>
      <c r="B108" t="s">
        <v>517</v>
      </c>
      <c r="C108">
        <v>2009</v>
      </c>
      <c r="D108">
        <v>5</v>
      </c>
      <c r="E108" s="75"/>
      <c r="F108" s="34" t="s">
        <v>436</v>
      </c>
      <c r="G108">
        <v>7</v>
      </c>
      <c r="H108">
        <f t="shared" si="41"/>
        <v>2016</v>
      </c>
      <c r="K108" s="32">
        <v>1110</v>
      </c>
      <c r="L108" s="32"/>
      <c r="M108" s="32">
        <f t="shared" si="42"/>
        <v>1110</v>
      </c>
      <c r="N108" s="107">
        <f t="shared" si="43"/>
        <v>13.214285714285715</v>
      </c>
      <c r="O108" s="107">
        <f t="shared" si="44"/>
        <v>0</v>
      </c>
      <c r="P108" s="107">
        <f t="shared" si="45"/>
        <v>0</v>
      </c>
      <c r="Q108" s="107">
        <f t="shared" si="46"/>
        <v>0</v>
      </c>
      <c r="R108" s="105">
        <v>1</v>
      </c>
      <c r="S108" s="107">
        <f t="shared" si="47"/>
        <v>0</v>
      </c>
      <c r="T108" s="105"/>
      <c r="U108" s="107">
        <f t="shared" si="48"/>
        <v>1110</v>
      </c>
      <c r="V108" s="107">
        <f t="shared" si="49"/>
        <v>1110</v>
      </c>
      <c r="W108" s="105">
        <v>1</v>
      </c>
      <c r="X108" s="107">
        <f t="shared" si="50"/>
        <v>1110</v>
      </c>
      <c r="Y108" s="107">
        <f t="shared" si="51"/>
        <v>1110</v>
      </c>
      <c r="Z108" s="107">
        <f t="shared" si="52"/>
        <v>0</v>
      </c>
      <c r="AA108" s="107">
        <f t="shared" si="53"/>
        <v>2009.3333333333333</v>
      </c>
      <c r="AB108" s="107">
        <f t="shared" si="54"/>
        <v>2017.5</v>
      </c>
      <c r="AC108" s="107">
        <f t="shared" si="55"/>
        <v>2016.3333333333333</v>
      </c>
      <c r="AD108" s="108">
        <f t="shared" si="56"/>
        <v>2016.5</v>
      </c>
      <c r="AE108" s="108">
        <f t="shared" si="57"/>
        <v>-8.3333333333333329E-2</v>
      </c>
      <c r="AF108" s="108">
        <f t="shared" si="58"/>
        <v>2016.3333333333333</v>
      </c>
      <c r="AG108" s="108">
        <f t="shared" si="59"/>
        <v>2016.5</v>
      </c>
      <c r="AH108" s="108">
        <f t="shared" si="60"/>
        <v>-8.3333333333333329E-2</v>
      </c>
    </row>
    <row r="109" spans="1:34" x14ac:dyDescent="0.25">
      <c r="A109">
        <v>97</v>
      </c>
      <c r="B109" t="s">
        <v>518</v>
      </c>
      <c r="C109">
        <v>2009</v>
      </c>
      <c r="D109">
        <v>5</v>
      </c>
      <c r="E109" s="75"/>
      <c r="F109" s="34" t="s">
        <v>436</v>
      </c>
      <c r="G109">
        <v>7</v>
      </c>
      <c r="H109">
        <f t="shared" si="41"/>
        <v>2016</v>
      </c>
      <c r="K109" s="32">
        <v>2473</v>
      </c>
      <c r="L109" s="32"/>
      <c r="M109" s="32">
        <f t="shared" si="42"/>
        <v>2473</v>
      </c>
      <c r="N109" s="107">
        <f t="shared" si="43"/>
        <v>29.44047619047619</v>
      </c>
      <c r="O109" s="107">
        <f t="shared" si="44"/>
        <v>0</v>
      </c>
      <c r="P109" s="107">
        <f t="shared" si="45"/>
        <v>0</v>
      </c>
      <c r="Q109" s="107">
        <f t="shared" si="46"/>
        <v>0</v>
      </c>
      <c r="R109" s="105">
        <v>1</v>
      </c>
      <c r="S109" s="107">
        <f t="shared" si="47"/>
        <v>0</v>
      </c>
      <c r="T109" s="105"/>
      <c r="U109" s="107">
        <f t="shared" si="48"/>
        <v>2473</v>
      </c>
      <c r="V109" s="107">
        <f t="shared" si="49"/>
        <v>2473</v>
      </c>
      <c r="W109" s="105">
        <v>1</v>
      </c>
      <c r="X109" s="107">
        <f t="shared" si="50"/>
        <v>2473</v>
      </c>
      <c r="Y109" s="107">
        <f t="shared" si="51"/>
        <v>2473</v>
      </c>
      <c r="Z109" s="107">
        <f t="shared" si="52"/>
        <v>0</v>
      </c>
      <c r="AA109" s="107">
        <f t="shared" si="53"/>
        <v>2009.3333333333333</v>
      </c>
      <c r="AB109" s="107">
        <f t="shared" si="54"/>
        <v>2017.5</v>
      </c>
      <c r="AC109" s="107">
        <f t="shared" si="55"/>
        <v>2016.3333333333333</v>
      </c>
      <c r="AD109" s="108">
        <f t="shared" si="56"/>
        <v>2016.5</v>
      </c>
      <c r="AE109" s="108">
        <f t="shared" si="57"/>
        <v>-8.3333333333333329E-2</v>
      </c>
      <c r="AF109" s="108">
        <f t="shared" si="58"/>
        <v>2016.3333333333333</v>
      </c>
      <c r="AG109" s="108">
        <f t="shared" si="59"/>
        <v>2016.5</v>
      </c>
      <c r="AH109" s="108">
        <f t="shared" si="60"/>
        <v>-8.3333333333333329E-2</v>
      </c>
    </row>
    <row r="110" spans="1:34" x14ac:dyDescent="0.25">
      <c r="A110">
        <v>98</v>
      </c>
      <c r="B110" t="s">
        <v>519</v>
      </c>
      <c r="C110">
        <v>2009</v>
      </c>
      <c r="D110">
        <v>7</v>
      </c>
      <c r="E110" s="75"/>
      <c r="F110" s="34" t="s">
        <v>436</v>
      </c>
      <c r="G110">
        <v>7</v>
      </c>
      <c r="H110">
        <f t="shared" si="41"/>
        <v>2016</v>
      </c>
      <c r="K110" s="32">
        <v>6023</v>
      </c>
      <c r="L110" s="32"/>
      <c r="M110" s="32">
        <f t="shared" si="42"/>
        <v>6023</v>
      </c>
      <c r="N110" s="107">
        <f t="shared" si="43"/>
        <v>71.702380952380949</v>
      </c>
      <c r="O110" s="107">
        <f t="shared" si="44"/>
        <v>0</v>
      </c>
      <c r="P110" s="107">
        <f t="shared" si="45"/>
        <v>0</v>
      </c>
      <c r="Q110" s="107">
        <f t="shared" si="46"/>
        <v>0</v>
      </c>
      <c r="R110" s="105">
        <v>1</v>
      </c>
      <c r="S110" s="107">
        <f t="shared" si="47"/>
        <v>0</v>
      </c>
      <c r="T110" s="105"/>
      <c r="U110" s="107">
        <f t="shared" si="48"/>
        <v>6023</v>
      </c>
      <c r="V110" s="107">
        <f t="shared" si="49"/>
        <v>6023</v>
      </c>
      <c r="W110" s="105">
        <v>1</v>
      </c>
      <c r="X110" s="107">
        <f t="shared" si="50"/>
        <v>6023</v>
      </c>
      <c r="Y110" s="107">
        <f t="shared" si="51"/>
        <v>6023</v>
      </c>
      <c r="Z110" s="107">
        <f t="shared" si="52"/>
        <v>0</v>
      </c>
      <c r="AA110" s="107">
        <f t="shared" si="53"/>
        <v>2009.5</v>
      </c>
      <c r="AB110" s="107">
        <f t="shared" si="54"/>
        <v>2017.5</v>
      </c>
      <c r="AC110" s="107">
        <f t="shared" si="55"/>
        <v>2016.5</v>
      </c>
      <c r="AD110" s="108">
        <f t="shared" si="56"/>
        <v>2016.5</v>
      </c>
      <c r="AE110" s="108">
        <f t="shared" si="57"/>
        <v>-8.3333333333333329E-2</v>
      </c>
      <c r="AF110" s="108">
        <f t="shared" si="58"/>
        <v>2016.5</v>
      </c>
      <c r="AG110" s="108">
        <f t="shared" si="59"/>
        <v>2016.5</v>
      </c>
      <c r="AH110" s="108">
        <f t="shared" si="60"/>
        <v>-8.3333333333333329E-2</v>
      </c>
    </row>
    <row r="111" spans="1:34" x14ac:dyDescent="0.25">
      <c r="A111">
        <v>99</v>
      </c>
      <c r="B111" t="s">
        <v>502</v>
      </c>
      <c r="C111">
        <v>2009</v>
      </c>
      <c r="D111">
        <v>7</v>
      </c>
      <c r="E111" s="75"/>
      <c r="F111" s="34" t="s">
        <v>436</v>
      </c>
      <c r="G111">
        <v>7</v>
      </c>
      <c r="H111">
        <f t="shared" si="41"/>
        <v>2016</v>
      </c>
      <c r="K111" s="32">
        <v>2834</v>
      </c>
      <c r="L111" s="32"/>
      <c r="M111" s="32">
        <f t="shared" si="42"/>
        <v>2834</v>
      </c>
      <c r="N111" s="107">
        <f t="shared" si="43"/>
        <v>33.738095238095234</v>
      </c>
      <c r="O111" s="107">
        <f t="shared" si="44"/>
        <v>0</v>
      </c>
      <c r="P111" s="107">
        <f t="shared" si="45"/>
        <v>0</v>
      </c>
      <c r="Q111" s="107">
        <f t="shared" si="46"/>
        <v>0</v>
      </c>
      <c r="R111" s="105">
        <v>1</v>
      </c>
      <c r="S111" s="107">
        <f t="shared" si="47"/>
        <v>0</v>
      </c>
      <c r="T111" s="105"/>
      <c r="U111" s="107">
        <f t="shared" si="48"/>
        <v>2834</v>
      </c>
      <c r="V111" s="107">
        <f t="shared" si="49"/>
        <v>2834</v>
      </c>
      <c r="W111" s="105">
        <v>1</v>
      </c>
      <c r="X111" s="107">
        <f t="shared" si="50"/>
        <v>2834</v>
      </c>
      <c r="Y111" s="107">
        <f t="shared" si="51"/>
        <v>2834</v>
      </c>
      <c r="Z111" s="107">
        <f t="shared" si="52"/>
        <v>0</v>
      </c>
      <c r="AA111" s="107">
        <f t="shared" si="53"/>
        <v>2009.5</v>
      </c>
      <c r="AB111" s="107">
        <f t="shared" si="54"/>
        <v>2017.5</v>
      </c>
      <c r="AC111" s="107">
        <f t="shared" si="55"/>
        <v>2016.5</v>
      </c>
      <c r="AD111" s="108">
        <f t="shared" si="56"/>
        <v>2016.5</v>
      </c>
      <c r="AE111" s="108">
        <f t="shared" si="57"/>
        <v>-8.3333333333333329E-2</v>
      </c>
      <c r="AF111" s="108">
        <f t="shared" si="58"/>
        <v>2016.5</v>
      </c>
      <c r="AG111" s="108">
        <f t="shared" si="59"/>
        <v>2016.5</v>
      </c>
      <c r="AH111" s="108">
        <f t="shared" si="60"/>
        <v>-8.3333333333333329E-2</v>
      </c>
    </row>
    <row r="112" spans="1:34" x14ac:dyDescent="0.25">
      <c r="A112">
        <v>104</v>
      </c>
      <c r="B112" t="s">
        <v>520</v>
      </c>
      <c r="C112">
        <v>2010</v>
      </c>
      <c r="D112">
        <v>1</v>
      </c>
      <c r="E112" s="75"/>
      <c r="F112" s="34" t="s">
        <v>436</v>
      </c>
      <c r="G112">
        <v>7</v>
      </c>
      <c r="H112">
        <f t="shared" si="41"/>
        <v>2017</v>
      </c>
      <c r="K112" s="32">
        <v>3172</v>
      </c>
      <c r="L112" s="32"/>
      <c r="M112" s="32">
        <f t="shared" si="42"/>
        <v>3172</v>
      </c>
      <c r="N112" s="107">
        <f t="shared" si="43"/>
        <v>37.761904761904766</v>
      </c>
      <c r="O112" s="107">
        <f t="shared" si="44"/>
        <v>226.57142857142861</v>
      </c>
      <c r="P112" s="107">
        <f t="shared" si="45"/>
        <v>0</v>
      </c>
      <c r="Q112" s="107">
        <f t="shared" si="46"/>
        <v>226.57142857142861</v>
      </c>
      <c r="R112" s="105">
        <v>1</v>
      </c>
      <c r="S112" s="107">
        <f t="shared" si="47"/>
        <v>226.57142857142861</v>
      </c>
      <c r="T112" s="105"/>
      <c r="U112" s="107">
        <f t="shared" si="48"/>
        <v>2945.4285714285716</v>
      </c>
      <c r="V112" s="107">
        <f t="shared" si="49"/>
        <v>2945.4285714285716</v>
      </c>
      <c r="W112" s="105">
        <v>1</v>
      </c>
      <c r="X112" s="107">
        <f t="shared" si="50"/>
        <v>2945.4285714285716</v>
      </c>
      <c r="Y112" s="107">
        <f t="shared" si="51"/>
        <v>3172</v>
      </c>
      <c r="Z112" s="107">
        <f t="shared" si="52"/>
        <v>113.28571428571422</v>
      </c>
      <c r="AA112" s="107">
        <f t="shared" si="53"/>
        <v>2010</v>
      </c>
      <c r="AB112" s="107">
        <f t="shared" si="54"/>
        <v>2017.5</v>
      </c>
      <c r="AC112" s="107">
        <f t="shared" si="55"/>
        <v>2017</v>
      </c>
      <c r="AD112" s="108">
        <f t="shared" si="56"/>
        <v>2016.5</v>
      </c>
      <c r="AE112" s="108">
        <f t="shared" si="57"/>
        <v>-8.3333333333333329E-2</v>
      </c>
      <c r="AF112" s="108">
        <f t="shared" si="58"/>
        <v>2017</v>
      </c>
      <c r="AG112" s="108">
        <f t="shared" si="59"/>
        <v>2016.5</v>
      </c>
      <c r="AH112" s="108">
        <f t="shared" si="60"/>
        <v>-8.3333333333333329E-2</v>
      </c>
    </row>
    <row r="113" spans="1:34" x14ac:dyDescent="0.25">
      <c r="A113">
        <v>105</v>
      </c>
      <c r="B113" t="s">
        <v>521</v>
      </c>
      <c r="C113">
        <v>2010</v>
      </c>
      <c r="D113">
        <v>1</v>
      </c>
      <c r="E113" s="75"/>
      <c r="F113" s="34" t="s">
        <v>436</v>
      </c>
      <c r="G113">
        <v>7</v>
      </c>
      <c r="H113">
        <f t="shared" si="41"/>
        <v>2017</v>
      </c>
      <c r="K113" s="32">
        <v>4758</v>
      </c>
      <c r="L113" s="32"/>
      <c r="M113" s="32">
        <f t="shared" si="42"/>
        <v>4758</v>
      </c>
      <c r="N113" s="107">
        <f t="shared" si="43"/>
        <v>56.642857142857139</v>
      </c>
      <c r="O113" s="107">
        <f t="shared" si="44"/>
        <v>339.85714285714283</v>
      </c>
      <c r="P113" s="107">
        <f t="shared" si="45"/>
        <v>0</v>
      </c>
      <c r="Q113" s="107">
        <f t="shared" si="46"/>
        <v>339.85714285714283</v>
      </c>
      <c r="R113" s="105">
        <v>1</v>
      </c>
      <c r="S113" s="107">
        <f t="shared" si="47"/>
        <v>339.85714285714283</v>
      </c>
      <c r="T113" s="105"/>
      <c r="U113" s="107">
        <f t="shared" si="48"/>
        <v>4418.1428571428569</v>
      </c>
      <c r="V113" s="107">
        <f t="shared" si="49"/>
        <v>4418.1428571428569</v>
      </c>
      <c r="W113" s="105">
        <v>1</v>
      </c>
      <c r="X113" s="107">
        <f t="shared" si="50"/>
        <v>4418.1428571428569</v>
      </c>
      <c r="Y113" s="107">
        <f t="shared" si="51"/>
        <v>4758</v>
      </c>
      <c r="Z113" s="107">
        <f t="shared" si="52"/>
        <v>169.92857142857156</v>
      </c>
      <c r="AA113" s="107">
        <f t="shared" si="53"/>
        <v>2010</v>
      </c>
      <c r="AB113" s="107">
        <f t="shared" si="54"/>
        <v>2017.5</v>
      </c>
      <c r="AC113" s="107">
        <f t="shared" si="55"/>
        <v>2017</v>
      </c>
      <c r="AD113" s="108">
        <f t="shared" si="56"/>
        <v>2016.5</v>
      </c>
      <c r="AE113" s="108">
        <f t="shared" si="57"/>
        <v>-8.3333333333333329E-2</v>
      </c>
      <c r="AF113" s="108">
        <f t="shared" si="58"/>
        <v>2017</v>
      </c>
      <c r="AG113" s="108">
        <f t="shared" si="59"/>
        <v>2016.5</v>
      </c>
      <c r="AH113" s="108">
        <f t="shared" si="60"/>
        <v>-8.3333333333333329E-2</v>
      </c>
    </row>
    <row r="114" spans="1:34" x14ac:dyDescent="0.25">
      <c r="A114">
        <v>106</v>
      </c>
      <c r="B114" t="s">
        <v>522</v>
      </c>
      <c r="C114">
        <v>2010</v>
      </c>
      <c r="D114">
        <v>1</v>
      </c>
      <c r="E114" s="75"/>
      <c r="F114" s="34" t="s">
        <v>436</v>
      </c>
      <c r="G114">
        <v>7</v>
      </c>
      <c r="H114">
        <f t="shared" si="41"/>
        <v>2017</v>
      </c>
      <c r="K114" s="32">
        <v>3192</v>
      </c>
      <c r="L114" s="32"/>
      <c r="M114" s="32">
        <f t="shared" si="42"/>
        <v>3192</v>
      </c>
      <c r="N114" s="107">
        <f t="shared" si="43"/>
        <v>38</v>
      </c>
      <c r="O114" s="107">
        <f t="shared" si="44"/>
        <v>228</v>
      </c>
      <c r="P114" s="107">
        <f t="shared" si="45"/>
        <v>0</v>
      </c>
      <c r="Q114" s="107">
        <f t="shared" si="46"/>
        <v>228</v>
      </c>
      <c r="R114" s="105">
        <v>1</v>
      </c>
      <c r="S114" s="107">
        <f t="shared" si="47"/>
        <v>228</v>
      </c>
      <c r="T114" s="105"/>
      <c r="U114" s="107">
        <f t="shared" si="48"/>
        <v>2964</v>
      </c>
      <c r="V114" s="107">
        <f t="shared" si="49"/>
        <v>2964</v>
      </c>
      <c r="W114" s="105">
        <v>1</v>
      </c>
      <c r="X114" s="107">
        <f t="shared" si="50"/>
        <v>2964</v>
      </c>
      <c r="Y114" s="107">
        <f t="shared" si="51"/>
        <v>3192</v>
      </c>
      <c r="Z114" s="107">
        <f t="shared" si="52"/>
        <v>114</v>
      </c>
      <c r="AA114" s="107">
        <f t="shared" si="53"/>
        <v>2010</v>
      </c>
      <c r="AB114" s="107">
        <f t="shared" si="54"/>
        <v>2017.5</v>
      </c>
      <c r="AC114" s="107">
        <f t="shared" si="55"/>
        <v>2017</v>
      </c>
      <c r="AD114" s="108">
        <f t="shared" si="56"/>
        <v>2016.5</v>
      </c>
      <c r="AE114" s="108">
        <f t="shared" si="57"/>
        <v>-8.3333333333333329E-2</v>
      </c>
      <c r="AF114" s="108">
        <f t="shared" si="58"/>
        <v>2017</v>
      </c>
      <c r="AG114" s="108">
        <f t="shared" si="59"/>
        <v>2016.5</v>
      </c>
      <c r="AH114" s="108">
        <f t="shared" si="60"/>
        <v>-8.3333333333333329E-2</v>
      </c>
    </row>
    <row r="115" spans="1:34" x14ac:dyDescent="0.25">
      <c r="A115">
        <v>107</v>
      </c>
      <c r="B115" t="s">
        <v>523</v>
      </c>
      <c r="C115">
        <v>2010</v>
      </c>
      <c r="D115">
        <v>3</v>
      </c>
      <c r="E115" s="75"/>
      <c r="F115" s="34" t="s">
        <v>436</v>
      </c>
      <c r="G115">
        <v>7</v>
      </c>
      <c r="H115">
        <f t="shared" si="41"/>
        <v>2017</v>
      </c>
      <c r="K115" s="32">
        <v>7716</v>
      </c>
      <c r="L115" s="32"/>
      <c r="M115" s="32">
        <f t="shared" si="42"/>
        <v>7716</v>
      </c>
      <c r="N115" s="107">
        <f t="shared" si="43"/>
        <v>91.857142857142847</v>
      </c>
      <c r="O115" s="107">
        <f t="shared" si="44"/>
        <v>734.85714285722634</v>
      </c>
      <c r="P115" s="107">
        <f t="shared" si="45"/>
        <v>0</v>
      </c>
      <c r="Q115" s="107">
        <f t="shared" si="46"/>
        <v>734.85714285722634</v>
      </c>
      <c r="R115" s="105">
        <v>1</v>
      </c>
      <c r="S115" s="107">
        <f t="shared" si="47"/>
        <v>734.85714285722634</v>
      </c>
      <c r="T115" s="105"/>
      <c r="U115" s="107">
        <f t="shared" si="48"/>
        <v>6981.1428571427732</v>
      </c>
      <c r="V115" s="107">
        <f t="shared" si="49"/>
        <v>6981.1428571427732</v>
      </c>
      <c r="W115" s="105">
        <v>1</v>
      </c>
      <c r="X115" s="107">
        <f t="shared" si="50"/>
        <v>6981.1428571427732</v>
      </c>
      <c r="Y115" s="107">
        <f t="shared" si="51"/>
        <v>7716</v>
      </c>
      <c r="Z115" s="107">
        <f t="shared" si="52"/>
        <v>367.4285714286134</v>
      </c>
      <c r="AA115" s="107">
        <f t="shared" si="53"/>
        <v>2010.1666666666667</v>
      </c>
      <c r="AB115" s="107">
        <f t="shared" si="54"/>
        <v>2017.5</v>
      </c>
      <c r="AC115" s="107">
        <f t="shared" si="55"/>
        <v>2017.1666666666667</v>
      </c>
      <c r="AD115" s="108">
        <f t="shared" si="56"/>
        <v>2016.5</v>
      </c>
      <c r="AE115" s="108">
        <f t="shared" si="57"/>
        <v>-8.3333333333333329E-2</v>
      </c>
      <c r="AF115" s="108">
        <f t="shared" si="58"/>
        <v>2017.1666666666667</v>
      </c>
      <c r="AG115" s="108">
        <f t="shared" si="59"/>
        <v>2016.5</v>
      </c>
      <c r="AH115" s="108">
        <f t="shared" si="60"/>
        <v>-8.3333333333333329E-2</v>
      </c>
    </row>
    <row r="116" spans="1:34" x14ac:dyDescent="0.25">
      <c r="A116">
        <v>108</v>
      </c>
      <c r="B116" t="s">
        <v>524</v>
      </c>
      <c r="C116">
        <v>2010</v>
      </c>
      <c r="D116">
        <v>3</v>
      </c>
      <c r="E116" s="75"/>
      <c r="F116" s="34" t="s">
        <v>436</v>
      </c>
      <c r="G116">
        <v>7</v>
      </c>
      <c r="H116">
        <f t="shared" si="41"/>
        <v>2017</v>
      </c>
      <c r="K116" s="32">
        <v>932</v>
      </c>
      <c r="L116" s="32"/>
      <c r="M116" s="32">
        <f t="shared" si="42"/>
        <v>932</v>
      </c>
      <c r="N116" s="107">
        <f t="shared" si="43"/>
        <v>11.095238095238095</v>
      </c>
      <c r="O116" s="107">
        <f t="shared" si="44"/>
        <v>88.761904761914849</v>
      </c>
      <c r="P116" s="107">
        <f t="shared" si="45"/>
        <v>0</v>
      </c>
      <c r="Q116" s="107">
        <f t="shared" si="46"/>
        <v>88.761904761914849</v>
      </c>
      <c r="R116" s="105">
        <v>1</v>
      </c>
      <c r="S116" s="107">
        <f t="shared" si="47"/>
        <v>88.761904761914849</v>
      </c>
      <c r="T116" s="105"/>
      <c r="U116" s="107">
        <f t="shared" si="48"/>
        <v>843.23809523808518</v>
      </c>
      <c r="V116" s="107">
        <f t="shared" si="49"/>
        <v>843.23809523808518</v>
      </c>
      <c r="W116" s="105">
        <v>1</v>
      </c>
      <c r="X116" s="107">
        <f t="shared" si="50"/>
        <v>843.23809523808518</v>
      </c>
      <c r="Y116" s="107">
        <f t="shared" si="51"/>
        <v>932</v>
      </c>
      <c r="Z116" s="107">
        <f t="shared" si="52"/>
        <v>44.38095238095741</v>
      </c>
      <c r="AA116" s="107">
        <f t="shared" si="53"/>
        <v>2010.1666666666667</v>
      </c>
      <c r="AB116" s="107">
        <f t="shared" si="54"/>
        <v>2017.5</v>
      </c>
      <c r="AC116" s="107">
        <f t="shared" si="55"/>
        <v>2017.1666666666667</v>
      </c>
      <c r="AD116" s="108">
        <f t="shared" si="56"/>
        <v>2016.5</v>
      </c>
      <c r="AE116" s="108">
        <f t="shared" si="57"/>
        <v>-8.3333333333333329E-2</v>
      </c>
      <c r="AF116" s="108">
        <f t="shared" si="58"/>
        <v>2017.1666666666667</v>
      </c>
      <c r="AG116" s="108">
        <f t="shared" si="59"/>
        <v>2016.5</v>
      </c>
      <c r="AH116" s="108">
        <f t="shared" si="60"/>
        <v>-8.3333333333333329E-2</v>
      </c>
    </row>
    <row r="117" spans="1:34" x14ac:dyDescent="0.25">
      <c r="A117">
        <v>109</v>
      </c>
      <c r="B117" t="s">
        <v>525</v>
      </c>
      <c r="C117">
        <v>2010</v>
      </c>
      <c r="D117">
        <v>5</v>
      </c>
      <c r="E117" s="75"/>
      <c r="F117" s="34" t="s">
        <v>436</v>
      </c>
      <c r="G117">
        <v>7</v>
      </c>
      <c r="H117">
        <f t="shared" si="41"/>
        <v>2017</v>
      </c>
      <c r="K117" s="32">
        <v>5530</v>
      </c>
      <c r="L117" s="32"/>
      <c r="M117" s="32">
        <f t="shared" si="42"/>
        <v>5530</v>
      </c>
      <c r="N117" s="107">
        <f t="shared" si="43"/>
        <v>65.833333333333329</v>
      </c>
      <c r="O117" s="107">
        <f t="shared" si="44"/>
        <v>658.33333333327346</v>
      </c>
      <c r="P117" s="107">
        <f t="shared" si="45"/>
        <v>0</v>
      </c>
      <c r="Q117" s="107">
        <f t="shared" si="46"/>
        <v>658.33333333327346</v>
      </c>
      <c r="R117" s="105">
        <v>1</v>
      </c>
      <c r="S117" s="107">
        <f t="shared" si="47"/>
        <v>658.33333333327346</v>
      </c>
      <c r="T117" s="105"/>
      <c r="U117" s="107">
        <f t="shared" si="48"/>
        <v>4871.6666666667261</v>
      </c>
      <c r="V117" s="107">
        <f t="shared" si="49"/>
        <v>4871.6666666667261</v>
      </c>
      <c r="W117" s="105">
        <v>1</v>
      </c>
      <c r="X117" s="107">
        <f t="shared" si="50"/>
        <v>4871.6666666667261</v>
      </c>
      <c r="Y117" s="107">
        <f t="shared" si="51"/>
        <v>5530</v>
      </c>
      <c r="Z117" s="107">
        <f t="shared" si="52"/>
        <v>329.16666666663696</v>
      </c>
      <c r="AA117" s="107">
        <f t="shared" si="53"/>
        <v>2010.3333333333333</v>
      </c>
      <c r="AB117" s="107">
        <f t="shared" si="54"/>
        <v>2017.5</v>
      </c>
      <c r="AC117" s="107">
        <f t="shared" si="55"/>
        <v>2017.3333333333333</v>
      </c>
      <c r="AD117" s="108">
        <f t="shared" si="56"/>
        <v>2016.5</v>
      </c>
      <c r="AE117" s="108">
        <f t="shared" si="57"/>
        <v>-8.3333333333333329E-2</v>
      </c>
      <c r="AF117" s="108">
        <f t="shared" si="58"/>
        <v>2017.3333333333333</v>
      </c>
      <c r="AG117" s="108">
        <f t="shared" si="59"/>
        <v>2016.5</v>
      </c>
      <c r="AH117" s="108">
        <f t="shared" si="60"/>
        <v>-8.3333333333333329E-2</v>
      </c>
    </row>
    <row r="118" spans="1:34" x14ac:dyDescent="0.25">
      <c r="A118">
        <v>110</v>
      </c>
      <c r="B118" t="s">
        <v>526</v>
      </c>
      <c r="C118">
        <v>2010</v>
      </c>
      <c r="D118">
        <v>6</v>
      </c>
      <c r="E118" s="75"/>
      <c r="F118" s="34" t="s">
        <v>436</v>
      </c>
      <c r="G118">
        <v>7</v>
      </c>
      <c r="H118">
        <f t="shared" si="41"/>
        <v>2017</v>
      </c>
      <c r="K118" s="32">
        <v>864</v>
      </c>
      <c r="L118" s="32"/>
      <c r="M118" s="32">
        <f t="shared" si="42"/>
        <v>864</v>
      </c>
      <c r="N118" s="107">
        <f t="shared" si="43"/>
        <v>10.285714285714286</v>
      </c>
      <c r="O118" s="107">
        <f t="shared" si="44"/>
        <v>113.1428571428665</v>
      </c>
      <c r="P118" s="107">
        <f t="shared" si="45"/>
        <v>0</v>
      </c>
      <c r="Q118" s="107">
        <f t="shared" si="46"/>
        <v>113.1428571428665</v>
      </c>
      <c r="R118" s="105">
        <v>1</v>
      </c>
      <c r="S118" s="107">
        <f t="shared" si="47"/>
        <v>113.1428571428665</v>
      </c>
      <c r="T118" s="105"/>
      <c r="U118" s="107">
        <f t="shared" si="48"/>
        <v>750.85714285713345</v>
      </c>
      <c r="V118" s="107">
        <f t="shared" si="49"/>
        <v>750.85714285713345</v>
      </c>
      <c r="W118" s="105">
        <v>1</v>
      </c>
      <c r="X118" s="107">
        <f t="shared" si="50"/>
        <v>750.85714285713345</v>
      </c>
      <c r="Y118" s="107">
        <f t="shared" si="51"/>
        <v>864</v>
      </c>
      <c r="Z118" s="107">
        <f t="shared" si="52"/>
        <v>56.571428571433273</v>
      </c>
      <c r="AA118" s="107">
        <f t="shared" si="53"/>
        <v>2010.4166666666667</v>
      </c>
      <c r="AB118" s="107">
        <f t="shared" si="54"/>
        <v>2017.5</v>
      </c>
      <c r="AC118" s="107">
        <f t="shared" si="55"/>
        <v>2017.4166666666667</v>
      </c>
      <c r="AD118" s="108">
        <f t="shared" si="56"/>
        <v>2016.5</v>
      </c>
      <c r="AE118" s="108">
        <f t="shared" si="57"/>
        <v>-8.3333333333333329E-2</v>
      </c>
      <c r="AF118" s="108">
        <f t="shared" si="58"/>
        <v>2017.4166666666667</v>
      </c>
      <c r="AG118" s="108">
        <f t="shared" si="59"/>
        <v>2016.5</v>
      </c>
      <c r="AH118" s="108">
        <f t="shared" si="60"/>
        <v>-8.3333333333333329E-2</v>
      </c>
    </row>
    <row r="119" spans="1:34" x14ac:dyDescent="0.25">
      <c r="A119">
        <v>111</v>
      </c>
      <c r="B119" t="s">
        <v>527</v>
      </c>
      <c r="C119">
        <v>2010</v>
      </c>
      <c r="D119">
        <v>6</v>
      </c>
      <c r="E119" s="75"/>
      <c r="F119" s="34" t="s">
        <v>436</v>
      </c>
      <c r="G119">
        <v>7</v>
      </c>
      <c r="H119">
        <f t="shared" si="41"/>
        <v>2017</v>
      </c>
      <c r="K119" s="32">
        <v>3455</v>
      </c>
      <c r="L119" s="32"/>
      <c r="M119" s="32">
        <f t="shared" si="42"/>
        <v>3455</v>
      </c>
      <c r="N119" s="107">
        <f t="shared" si="43"/>
        <v>41.13095238095238</v>
      </c>
      <c r="O119" s="107">
        <f t="shared" si="44"/>
        <v>452.44047619051361</v>
      </c>
      <c r="P119" s="107">
        <f t="shared" si="45"/>
        <v>0</v>
      </c>
      <c r="Q119" s="107">
        <f t="shared" si="46"/>
        <v>452.44047619051361</v>
      </c>
      <c r="R119" s="105">
        <v>1</v>
      </c>
      <c r="S119" s="107">
        <f t="shared" si="47"/>
        <v>452.44047619051361</v>
      </c>
      <c r="T119" s="105"/>
      <c r="U119" s="107">
        <f t="shared" si="48"/>
        <v>3002.5595238094866</v>
      </c>
      <c r="V119" s="107">
        <f t="shared" si="49"/>
        <v>3002.5595238094866</v>
      </c>
      <c r="W119" s="105">
        <v>1</v>
      </c>
      <c r="X119" s="107">
        <f t="shared" si="50"/>
        <v>3002.5595238094866</v>
      </c>
      <c r="Y119" s="107">
        <f t="shared" si="51"/>
        <v>3455</v>
      </c>
      <c r="Z119" s="107">
        <f t="shared" si="52"/>
        <v>226.22023809525672</v>
      </c>
      <c r="AA119" s="107">
        <f t="shared" si="53"/>
        <v>2010.4166666666667</v>
      </c>
      <c r="AB119" s="107">
        <f t="shared" si="54"/>
        <v>2017.5</v>
      </c>
      <c r="AC119" s="107">
        <f t="shared" si="55"/>
        <v>2017.4166666666667</v>
      </c>
      <c r="AD119" s="108">
        <f t="shared" si="56"/>
        <v>2016.5</v>
      </c>
      <c r="AE119" s="108">
        <f t="shared" si="57"/>
        <v>-8.3333333333333329E-2</v>
      </c>
      <c r="AF119" s="108">
        <f t="shared" si="58"/>
        <v>2017.4166666666667</v>
      </c>
      <c r="AG119" s="108">
        <f t="shared" si="59"/>
        <v>2016.5</v>
      </c>
      <c r="AH119" s="108">
        <f t="shared" si="60"/>
        <v>-8.3333333333333329E-2</v>
      </c>
    </row>
    <row r="120" spans="1:34" x14ac:dyDescent="0.25">
      <c r="A120">
        <v>112</v>
      </c>
      <c r="B120" t="s">
        <v>528</v>
      </c>
      <c r="C120">
        <v>2010</v>
      </c>
      <c r="D120">
        <v>10</v>
      </c>
      <c r="E120" s="75"/>
      <c r="F120" s="34" t="s">
        <v>436</v>
      </c>
      <c r="G120">
        <v>7</v>
      </c>
      <c r="H120">
        <f t="shared" si="41"/>
        <v>2017</v>
      </c>
      <c r="K120" s="32">
        <v>4686</v>
      </c>
      <c r="L120" s="32"/>
      <c r="M120" s="32">
        <f t="shared" si="42"/>
        <v>4686</v>
      </c>
      <c r="N120" s="107">
        <f t="shared" si="43"/>
        <v>55.785714285714285</v>
      </c>
      <c r="O120" s="107">
        <f t="shared" si="44"/>
        <v>669.42857142857144</v>
      </c>
      <c r="P120" s="107">
        <f t="shared" si="45"/>
        <v>0</v>
      </c>
      <c r="Q120" s="107">
        <f t="shared" si="46"/>
        <v>669.42857142857144</v>
      </c>
      <c r="R120" s="105">
        <v>1</v>
      </c>
      <c r="S120" s="107">
        <f t="shared" si="47"/>
        <v>669.42857142857144</v>
      </c>
      <c r="T120" s="105"/>
      <c r="U120" s="107">
        <f t="shared" si="48"/>
        <v>3849.2142857142858</v>
      </c>
      <c r="V120" s="107">
        <f t="shared" si="49"/>
        <v>3849.2142857142858</v>
      </c>
      <c r="W120" s="105">
        <v>1</v>
      </c>
      <c r="X120" s="107">
        <f t="shared" si="50"/>
        <v>3849.2142857142858</v>
      </c>
      <c r="Y120" s="107">
        <f t="shared" si="51"/>
        <v>4518.6428571428569</v>
      </c>
      <c r="Z120" s="107">
        <f t="shared" si="52"/>
        <v>502.07142857142867</v>
      </c>
      <c r="AA120" s="107">
        <f t="shared" si="53"/>
        <v>2010.75</v>
      </c>
      <c r="AB120" s="107">
        <f t="shared" si="54"/>
        <v>2017.5</v>
      </c>
      <c r="AC120" s="107">
        <f t="shared" si="55"/>
        <v>2017.75</v>
      </c>
      <c r="AD120" s="108">
        <f t="shared" si="56"/>
        <v>2016.5</v>
      </c>
      <c r="AE120" s="108">
        <f t="shared" si="57"/>
        <v>-8.3333333333333329E-2</v>
      </c>
      <c r="AF120" s="108">
        <f t="shared" si="58"/>
        <v>2017.75</v>
      </c>
      <c r="AG120" s="108">
        <f t="shared" si="59"/>
        <v>2016.5</v>
      </c>
      <c r="AH120" s="108">
        <f t="shared" si="60"/>
        <v>-8.3333333333333329E-2</v>
      </c>
    </row>
    <row r="121" spans="1:34" x14ac:dyDescent="0.25">
      <c r="A121">
        <v>114</v>
      </c>
      <c r="B121" t="s">
        <v>529</v>
      </c>
      <c r="C121">
        <v>2010</v>
      </c>
      <c r="D121">
        <v>12</v>
      </c>
      <c r="E121" s="75"/>
      <c r="F121" s="34" t="s">
        <v>436</v>
      </c>
      <c r="G121">
        <v>7</v>
      </c>
      <c r="H121">
        <f t="shared" si="41"/>
        <v>2017</v>
      </c>
      <c r="K121" s="32">
        <v>60946</v>
      </c>
      <c r="L121" s="32"/>
      <c r="M121" s="32">
        <f t="shared" si="42"/>
        <v>60946</v>
      </c>
      <c r="N121" s="107">
        <f t="shared" si="43"/>
        <v>725.54761904761915</v>
      </c>
      <c r="O121" s="107">
        <f t="shared" si="44"/>
        <v>8706.5714285714294</v>
      </c>
      <c r="P121" s="107">
        <f t="shared" si="45"/>
        <v>0</v>
      </c>
      <c r="Q121" s="107">
        <f t="shared" si="46"/>
        <v>8706.5714285714294</v>
      </c>
      <c r="R121" s="105">
        <v>1</v>
      </c>
      <c r="S121" s="107">
        <f t="shared" si="47"/>
        <v>8706.5714285714294</v>
      </c>
      <c r="T121" s="105"/>
      <c r="U121" s="107">
        <f t="shared" si="48"/>
        <v>48611.690476189826</v>
      </c>
      <c r="V121" s="107">
        <f t="shared" si="49"/>
        <v>48611.690476189826</v>
      </c>
      <c r="W121" s="105">
        <v>1</v>
      </c>
      <c r="X121" s="107">
        <f t="shared" si="50"/>
        <v>48611.690476189826</v>
      </c>
      <c r="Y121" s="107">
        <f t="shared" si="51"/>
        <v>57318.261904761253</v>
      </c>
      <c r="Z121" s="107">
        <f t="shared" si="52"/>
        <v>7981.0238095244604</v>
      </c>
      <c r="AA121" s="107">
        <f t="shared" si="53"/>
        <v>2010.9166666666667</v>
      </c>
      <c r="AB121" s="107">
        <f t="shared" si="54"/>
        <v>2017.5</v>
      </c>
      <c r="AC121" s="107">
        <f t="shared" si="55"/>
        <v>2017.9166666666667</v>
      </c>
      <c r="AD121" s="108">
        <f t="shared" si="56"/>
        <v>2016.5</v>
      </c>
      <c r="AE121" s="108">
        <f t="shared" si="57"/>
        <v>-8.3333333333333329E-2</v>
      </c>
      <c r="AF121" s="108">
        <f t="shared" si="58"/>
        <v>2017.9166666666667</v>
      </c>
      <c r="AG121" s="108">
        <f t="shared" si="59"/>
        <v>2016.5</v>
      </c>
      <c r="AH121" s="108">
        <f t="shared" si="60"/>
        <v>-8.3333333333333329E-2</v>
      </c>
    </row>
    <row r="122" spans="1:34" x14ac:dyDescent="0.25">
      <c r="A122">
        <v>119</v>
      </c>
      <c r="B122" t="s">
        <v>530</v>
      </c>
      <c r="C122">
        <v>2011</v>
      </c>
      <c r="D122">
        <v>4</v>
      </c>
      <c r="E122" s="75"/>
      <c r="F122" s="34" t="s">
        <v>436</v>
      </c>
      <c r="G122">
        <v>7</v>
      </c>
      <c r="H122">
        <f t="shared" si="41"/>
        <v>2018</v>
      </c>
      <c r="K122" s="32">
        <v>11900</v>
      </c>
      <c r="L122" s="32"/>
      <c r="M122" s="32">
        <f t="shared" si="42"/>
        <v>11900</v>
      </c>
      <c r="N122" s="107">
        <f t="shared" si="43"/>
        <v>141.66666666666666</v>
      </c>
      <c r="O122" s="107">
        <f t="shared" si="44"/>
        <v>1700</v>
      </c>
      <c r="P122" s="107">
        <f t="shared" si="45"/>
        <v>0</v>
      </c>
      <c r="Q122" s="107">
        <f t="shared" si="46"/>
        <v>1700</v>
      </c>
      <c r="R122" s="105">
        <v>1</v>
      </c>
      <c r="S122" s="107">
        <f t="shared" si="47"/>
        <v>1700</v>
      </c>
      <c r="T122" s="105"/>
      <c r="U122" s="107">
        <f t="shared" si="48"/>
        <v>8925</v>
      </c>
      <c r="V122" s="107">
        <f t="shared" si="49"/>
        <v>8925</v>
      </c>
      <c r="W122" s="105">
        <v>1</v>
      </c>
      <c r="X122" s="107">
        <f t="shared" si="50"/>
        <v>8925</v>
      </c>
      <c r="Y122" s="107">
        <f t="shared" si="51"/>
        <v>10625</v>
      </c>
      <c r="Z122" s="107">
        <f t="shared" si="52"/>
        <v>2125</v>
      </c>
      <c r="AA122" s="107">
        <f t="shared" si="53"/>
        <v>2011.25</v>
      </c>
      <c r="AB122" s="107">
        <f t="shared" si="54"/>
        <v>2017.5</v>
      </c>
      <c r="AC122" s="107">
        <f t="shared" si="55"/>
        <v>2018.25</v>
      </c>
      <c r="AD122" s="108">
        <f t="shared" si="56"/>
        <v>2016.5</v>
      </c>
      <c r="AE122" s="108">
        <f t="shared" si="57"/>
        <v>-8.3333333333333329E-2</v>
      </c>
      <c r="AF122" s="108">
        <f t="shared" si="58"/>
        <v>2018.25</v>
      </c>
      <c r="AG122" s="108">
        <f t="shared" si="59"/>
        <v>2016.5</v>
      </c>
      <c r="AH122" s="108">
        <f t="shared" si="60"/>
        <v>-8.3333333333333329E-2</v>
      </c>
    </row>
    <row r="123" spans="1:34" x14ac:dyDescent="0.25">
      <c r="A123">
        <v>120</v>
      </c>
      <c r="B123" t="s">
        <v>531</v>
      </c>
      <c r="C123">
        <v>2011</v>
      </c>
      <c r="D123">
        <v>6</v>
      </c>
      <c r="E123" s="75"/>
      <c r="F123" s="34" t="s">
        <v>436</v>
      </c>
      <c r="G123">
        <v>7</v>
      </c>
      <c r="H123">
        <f t="shared" si="41"/>
        <v>2018</v>
      </c>
      <c r="K123" s="32">
        <v>1595</v>
      </c>
      <c r="L123" s="32"/>
      <c r="M123" s="32">
        <f t="shared" si="42"/>
        <v>1595</v>
      </c>
      <c r="N123" s="107">
        <f t="shared" si="43"/>
        <v>18.988095238095237</v>
      </c>
      <c r="O123" s="107">
        <f t="shared" si="44"/>
        <v>227.85714285714283</v>
      </c>
      <c r="P123" s="107">
        <f t="shared" si="45"/>
        <v>0</v>
      </c>
      <c r="Q123" s="107">
        <f t="shared" si="46"/>
        <v>227.85714285714283</v>
      </c>
      <c r="R123" s="105">
        <v>1</v>
      </c>
      <c r="S123" s="107">
        <f t="shared" si="47"/>
        <v>227.85714285714283</v>
      </c>
      <c r="T123" s="105"/>
      <c r="U123" s="107">
        <f t="shared" si="48"/>
        <v>1158.2738095237921</v>
      </c>
      <c r="V123" s="107">
        <f t="shared" si="49"/>
        <v>1158.2738095237921</v>
      </c>
      <c r="W123" s="105">
        <v>1</v>
      </c>
      <c r="X123" s="107">
        <f t="shared" si="50"/>
        <v>1158.2738095237921</v>
      </c>
      <c r="Y123" s="107">
        <f t="shared" si="51"/>
        <v>1386.130952380935</v>
      </c>
      <c r="Z123" s="107">
        <f t="shared" si="52"/>
        <v>322.79761904763643</v>
      </c>
      <c r="AA123" s="107">
        <f t="shared" si="53"/>
        <v>2011.4166666666667</v>
      </c>
      <c r="AB123" s="107">
        <f t="shared" si="54"/>
        <v>2017.5</v>
      </c>
      <c r="AC123" s="107">
        <f t="shared" si="55"/>
        <v>2018.4166666666667</v>
      </c>
      <c r="AD123" s="108">
        <f t="shared" si="56"/>
        <v>2016.5</v>
      </c>
      <c r="AE123" s="108">
        <f t="shared" si="57"/>
        <v>-8.3333333333333329E-2</v>
      </c>
      <c r="AF123" s="108">
        <f t="shared" si="58"/>
        <v>2018.4166666666667</v>
      </c>
      <c r="AG123" s="108">
        <f t="shared" si="59"/>
        <v>2016.5</v>
      </c>
      <c r="AH123" s="108">
        <f t="shared" si="60"/>
        <v>-8.3333333333333329E-2</v>
      </c>
    </row>
    <row r="124" spans="1:34" x14ac:dyDescent="0.25">
      <c r="A124">
        <v>121</v>
      </c>
      <c r="B124" t="s">
        <v>531</v>
      </c>
      <c r="C124">
        <v>2011</v>
      </c>
      <c r="D124">
        <v>7</v>
      </c>
      <c r="E124" s="75"/>
      <c r="F124" s="34" t="s">
        <v>436</v>
      </c>
      <c r="G124">
        <v>7</v>
      </c>
      <c r="H124">
        <f t="shared" si="41"/>
        <v>2018</v>
      </c>
      <c r="K124" s="32">
        <v>705</v>
      </c>
      <c r="L124" s="32"/>
      <c r="M124" s="32">
        <f t="shared" si="42"/>
        <v>705</v>
      </c>
      <c r="N124" s="107">
        <f t="shared" si="43"/>
        <v>8.3928571428571423</v>
      </c>
      <c r="O124" s="107">
        <f t="shared" si="44"/>
        <v>100.71428571428571</v>
      </c>
      <c r="P124" s="107">
        <f t="shared" si="45"/>
        <v>0</v>
      </c>
      <c r="Q124" s="107">
        <f t="shared" si="46"/>
        <v>100.71428571428571</v>
      </c>
      <c r="R124" s="105">
        <v>1</v>
      </c>
      <c r="S124" s="107">
        <f t="shared" si="47"/>
        <v>100.71428571428571</v>
      </c>
      <c r="T124" s="105"/>
      <c r="U124" s="107">
        <f t="shared" si="48"/>
        <v>503.57142857142856</v>
      </c>
      <c r="V124" s="107">
        <f t="shared" si="49"/>
        <v>503.57142857142856</v>
      </c>
      <c r="W124" s="105">
        <v>1</v>
      </c>
      <c r="X124" s="107">
        <f t="shared" si="50"/>
        <v>503.57142857142856</v>
      </c>
      <c r="Y124" s="107">
        <f t="shared" si="51"/>
        <v>604.28571428571422</v>
      </c>
      <c r="Z124" s="107">
        <f t="shared" si="52"/>
        <v>151.07142857142861</v>
      </c>
      <c r="AA124" s="107">
        <f t="shared" si="53"/>
        <v>2011.5</v>
      </c>
      <c r="AB124" s="107">
        <f t="shared" si="54"/>
        <v>2017.5</v>
      </c>
      <c r="AC124" s="107">
        <f t="shared" si="55"/>
        <v>2018.5</v>
      </c>
      <c r="AD124" s="108">
        <f t="shared" si="56"/>
        <v>2016.5</v>
      </c>
      <c r="AE124" s="108">
        <f t="shared" si="57"/>
        <v>-8.3333333333333329E-2</v>
      </c>
      <c r="AF124" s="108">
        <f t="shared" si="58"/>
        <v>2018.5</v>
      </c>
      <c r="AG124" s="108">
        <f t="shared" si="59"/>
        <v>2016.5</v>
      </c>
      <c r="AH124" s="108">
        <f t="shared" si="60"/>
        <v>-8.3333333333333329E-2</v>
      </c>
    </row>
    <row r="125" spans="1:34" x14ac:dyDescent="0.25">
      <c r="A125">
        <v>122</v>
      </c>
      <c r="B125" t="s">
        <v>532</v>
      </c>
      <c r="C125">
        <v>2011</v>
      </c>
      <c r="D125">
        <v>8</v>
      </c>
      <c r="E125" s="75"/>
      <c r="F125" s="34" t="s">
        <v>436</v>
      </c>
      <c r="G125">
        <v>7</v>
      </c>
      <c r="H125">
        <f t="shared" si="41"/>
        <v>2018</v>
      </c>
      <c r="K125" s="32">
        <v>9209</v>
      </c>
      <c r="L125" s="32"/>
      <c r="M125" s="32">
        <f t="shared" si="42"/>
        <v>9209</v>
      </c>
      <c r="N125" s="107">
        <f t="shared" si="43"/>
        <v>109.63095238095239</v>
      </c>
      <c r="O125" s="107">
        <f t="shared" si="44"/>
        <v>1315.5714285714287</v>
      </c>
      <c r="P125" s="107">
        <f t="shared" si="45"/>
        <v>0</v>
      </c>
      <c r="Q125" s="107">
        <f t="shared" si="46"/>
        <v>1315.5714285714287</v>
      </c>
      <c r="R125" s="105">
        <v>1</v>
      </c>
      <c r="S125" s="107">
        <f t="shared" si="47"/>
        <v>1315.5714285714287</v>
      </c>
      <c r="T125" s="105"/>
      <c r="U125" s="107">
        <f t="shared" si="48"/>
        <v>6468.2261904762909</v>
      </c>
      <c r="V125" s="107">
        <f t="shared" si="49"/>
        <v>6468.2261904762909</v>
      </c>
      <c r="W125" s="105">
        <v>1</v>
      </c>
      <c r="X125" s="107">
        <f t="shared" si="50"/>
        <v>6468.2261904762909</v>
      </c>
      <c r="Y125" s="107">
        <f t="shared" si="51"/>
        <v>7783.7976190477193</v>
      </c>
      <c r="Z125" s="107">
        <f t="shared" si="52"/>
        <v>2082.9880952379949</v>
      </c>
      <c r="AA125" s="107">
        <f t="shared" si="53"/>
        <v>2011.5833333333333</v>
      </c>
      <c r="AB125" s="107">
        <f t="shared" si="54"/>
        <v>2017.5</v>
      </c>
      <c r="AC125" s="107">
        <f t="shared" si="55"/>
        <v>2018.5833333333333</v>
      </c>
      <c r="AD125" s="108">
        <f t="shared" si="56"/>
        <v>2016.5</v>
      </c>
      <c r="AE125" s="108">
        <f t="shared" si="57"/>
        <v>-8.3333333333333329E-2</v>
      </c>
      <c r="AF125" s="108">
        <f t="shared" si="58"/>
        <v>2018.5833333333333</v>
      </c>
      <c r="AG125" s="108">
        <f t="shared" si="59"/>
        <v>2016.5</v>
      </c>
      <c r="AH125" s="108">
        <f t="shared" si="60"/>
        <v>-8.3333333333333329E-2</v>
      </c>
    </row>
    <row r="126" spans="1:34" x14ac:dyDescent="0.25">
      <c r="A126">
        <v>123</v>
      </c>
      <c r="B126" t="s">
        <v>533</v>
      </c>
      <c r="C126">
        <v>2011</v>
      </c>
      <c r="D126">
        <v>9</v>
      </c>
      <c r="E126" s="75"/>
      <c r="F126" s="34" t="s">
        <v>436</v>
      </c>
      <c r="G126">
        <v>7</v>
      </c>
      <c r="H126">
        <f t="shared" si="41"/>
        <v>2018</v>
      </c>
      <c r="K126" s="32">
        <v>5999</v>
      </c>
      <c r="L126" s="32"/>
      <c r="M126" s="32">
        <f t="shared" si="42"/>
        <v>5999</v>
      </c>
      <c r="N126" s="107">
        <f t="shared" si="43"/>
        <v>71.416666666666671</v>
      </c>
      <c r="O126" s="107">
        <f t="shared" si="44"/>
        <v>857</v>
      </c>
      <c r="P126" s="107">
        <f t="shared" si="45"/>
        <v>0</v>
      </c>
      <c r="Q126" s="107">
        <f t="shared" si="46"/>
        <v>857</v>
      </c>
      <c r="R126" s="105">
        <v>1</v>
      </c>
      <c r="S126" s="107">
        <f t="shared" si="47"/>
        <v>857</v>
      </c>
      <c r="T126" s="105"/>
      <c r="U126" s="107">
        <f t="shared" si="48"/>
        <v>4142.1666666666024</v>
      </c>
      <c r="V126" s="107">
        <f t="shared" si="49"/>
        <v>4142.1666666666024</v>
      </c>
      <c r="W126" s="105">
        <v>1</v>
      </c>
      <c r="X126" s="107">
        <f t="shared" si="50"/>
        <v>4142.1666666666024</v>
      </c>
      <c r="Y126" s="107">
        <f t="shared" si="51"/>
        <v>4999.1666666666024</v>
      </c>
      <c r="Z126" s="107">
        <f t="shared" si="52"/>
        <v>1428.3333333333976</v>
      </c>
      <c r="AA126" s="107">
        <f t="shared" si="53"/>
        <v>2011.6666666666667</v>
      </c>
      <c r="AB126" s="107">
        <f t="shared" si="54"/>
        <v>2017.5</v>
      </c>
      <c r="AC126" s="107">
        <f t="shared" si="55"/>
        <v>2018.6666666666667</v>
      </c>
      <c r="AD126" s="108">
        <f t="shared" si="56"/>
        <v>2016.5</v>
      </c>
      <c r="AE126" s="108">
        <f t="shared" si="57"/>
        <v>-8.3333333333333329E-2</v>
      </c>
      <c r="AF126" s="108">
        <f t="shared" si="58"/>
        <v>2018.6666666666667</v>
      </c>
      <c r="AG126" s="108">
        <f t="shared" si="59"/>
        <v>2016.5</v>
      </c>
      <c r="AH126" s="108">
        <f t="shared" si="60"/>
        <v>-8.3333333333333329E-2</v>
      </c>
    </row>
    <row r="127" spans="1:34" x14ac:dyDescent="0.25">
      <c r="A127">
        <v>124</v>
      </c>
      <c r="B127" t="s">
        <v>534</v>
      </c>
      <c r="C127">
        <v>2011</v>
      </c>
      <c r="D127">
        <v>10</v>
      </c>
      <c r="E127" s="75"/>
      <c r="F127" s="34" t="s">
        <v>436</v>
      </c>
      <c r="G127">
        <v>7</v>
      </c>
      <c r="H127">
        <f t="shared" si="41"/>
        <v>2018</v>
      </c>
      <c r="K127" s="32">
        <v>1856</v>
      </c>
      <c r="L127" s="32"/>
      <c r="M127" s="32">
        <f t="shared" si="42"/>
        <v>1856</v>
      </c>
      <c r="N127" s="107">
        <f t="shared" si="43"/>
        <v>22.095238095238098</v>
      </c>
      <c r="O127" s="107">
        <f t="shared" si="44"/>
        <v>265.14285714285717</v>
      </c>
      <c r="P127" s="107">
        <f t="shared" si="45"/>
        <v>0</v>
      </c>
      <c r="Q127" s="107">
        <f t="shared" si="46"/>
        <v>265.14285714285717</v>
      </c>
      <c r="R127" s="105">
        <v>1</v>
      </c>
      <c r="S127" s="107">
        <f t="shared" si="47"/>
        <v>265.14285714285717</v>
      </c>
      <c r="T127" s="105"/>
      <c r="U127" s="107">
        <f t="shared" si="48"/>
        <v>1259.4285714285716</v>
      </c>
      <c r="V127" s="107">
        <f t="shared" si="49"/>
        <v>1259.4285714285716</v>
      </c>
      <c r="W127" s="105">
        <v>1</v>
      </c>
      <c r="X127" s="107">
        <f t="shared" si="50"/>
        <v>1259.4285714285716</v>
      </c>
      <c r="Y127" s="107">
        <f t="shared" si="51"/>
        <v>1524.5714285714287</v>
      </c>
      <c r="Z127" s="107">
        <f t="shared" si="52"/>
        <v>463.99999999999989</v>
      </c>
      <c r="AA127" s="107">
        <f t="shared" si="53"/>
        <v>2011.75</v>
      </c>
      <c r="AB127" s="107">
        <f t="shared" si="54"/>
        <v>2017.5</v>
      </c>
      <c r="AC127" s="107">
        <f t="shared" si="55"/>
        <v>2018.75</v>
      </c>
      <c r="AD127" s="108">
        <f t="shared" si="56"/>
        <v>2016.5</v>
      </c>
      <c r="AE127" s="108">
        <f t="shared" si="57"/>
        <v>-8.3333333333333329E-2</v>
      </c>
      <c r="AF127" s="108">
        <f t="shared" si="58"/>
        <v>2018.75</v>
      </c>
      <c r="AG127" s="108">
        <f t="shared" si="59"/>
        <v>2016.5</v>
      </c>
      <c r="AH127" s="108">
        <f t="shared" si="60"/>
        <v>-8.3333333333333329E-2</v>
      </c>
    </row>
    <row r="128" spans="1:34" x14ac:dyDescent="0.25">
      <c r="A128">
        <v>125</v>
      </c>
      <c r="B128" t="s">
        <v>535</v>
      </c>
      <c r="C128">
        <v>2011</v>
      </c>
      <c r="D128">
        <v>10</v>
      </c>
      <c r="E128" s="75"/>
      <c r="F128" s="34" t="s">
        <v>436</v>
      </c>
      <c r="G128">
        <v>7</v>
      </c>
      <c r="H128">
        <f t="shared" si="41"/>
        <v>2018</v>
      </c>
      <c r="K128" s="32">
        <v>1856</v>
      </c>
      <c r="L128" s="32"/>
      <c r="M128" s="32">
        <f t="shared" si="42"/>
        <v>1856</v>
      </c>
      <c r="N128" s="107">
        <f t="shared" si="43"/>
        <v>22.095238095238098</v>
      </c>
      <c r="O128" s="107">
        <f t="shared" si="44"/>
        <v>265.14285714285717</v>
      </c>
      <c r="P128" s="107">
        <f t="shared" si="45"/>
        <v>0</v>
      </c>
      <c r="Q128" s="107">
        <f t="shared" si="46"/>
        <v>265.14285714285717</v>
      </c>
      <c r="R128" s="105">
        <v>1</v>
      </c>
      <c r="S128" s="107">
        <f t="shared" si="47"/>
        <v>265.14285714285717</v>
      </c>
      <c r="T128" s="105"/>
      <c r="U128" s="107">
        <f t="shared" si="48"/>
        <v>1259.4285714285716</v>
      </c>
      <c r="V128" s="107">
        <f t="shared" si="49"/>
        <v>1259.4285714285716</v>
      </c>
      <c r="W128" s="105">
        <v>1</v>
      </c>
      <c r="X128" s="107">
        <f t="shared" si="50"/>
        <v>1259.4285714285716</v>
      </c>
      <c r="Y128" s="107">
        <f t="shared" si="51"/>
        <v>1524.5714285714287</v>
      </c>
      <c r="Z128" s="107">
        <f t="shared" si="52"/>
        <v>463.99999999999989</v>
      </c>
      <c r="AA128" s="107">
        <f t="shared" si="53"/>
        <v>2011.75</v>
      </c>
      <c r="AB128" s="107">
        <f t="shared" si="54"/>
        <v>2017.5</v>
      </c>
      <c r="AC128" s="107">
        <f t="shared" si="55"/>
        <v>2018.75</v>
      </c>
      <c r="AD128" s="108">
        <f t="shared" si="56"/>
        <v>2016.5</v>
      </c>
      <c r="AE128" s="108">
        <f t="shared" si="57"/>
        <v>-8.3333333333333329E-2</v>
      </c>
      <c r="AF128" s="108">
        <f t="shared" si="58"/>
        <v>2018.75</v>
      </c>
      <c r="AG128" s="108">
        <f t="shared" si="59"/>
        <v>2016.5</v>
      </c>
      <c r="AH128" s="108">
        <f t="shared" si="60"/>
        <v>-8.3333333333333329E-2</v>
      </c>
    </row>
    <row r="129" spans="1:34" x14ac:dyDescent="0.25">
      <c r="A129">
        <v>126</v>
      </c>
      <c r="B129" t="s">
        <v>536</v>
      </c>
      <c r="C129">
        <v>2011</v>
      </c>
      <c r="D129">
        <v>10</v>
      </c>
      <c r="E129" s="75"/>
      <c r="F129" s="34" t="s">
        <v>436</v>
      </c>
      <c r="G129">
        <v>7</v>
      </c>
      <c r="H129">
        <f t="shared" si="41"/>
        <v>2018</v>
      </c>
      <c r="K129" s="32">
        <v>395</v>
      </c>
      <c r="L129" s="32"/>
      <c r="M129" s="32">
        <f t="shared" si="42"/>
        <v>395</v>
      </c>
      <c r="N129" s="107">
        <f t="shared" si="43"/>
        <v>4.7023809523809526</v>
      </c>
      <c r="O129" s="107">
        <f t="shared" si="44"/>
        <v>56.428571428571431</v>
      </c>
      <c r="P129" s="107">
        <f t="shared" si="45"/>
        <v>0</v>
      </c>
      <c r="Q129" s="107">
        <f t="shared" si="46"/>
        <v>56.428571428571431</v>
      </c>
      <c r="R129" s="105">
        <v>1</v>
      </c>
      <c r="S129" s="107">
        <f t="shared" si="47"/>
        <v>56.428571428571431</v>
      </c>
      <c r="T129" s="105"/>
      <c r="U129" s="107">
        <f t="shared" si="48"/>
        <v>268.03571428571428</v>
      </c>
      <c r="V129" s="107">
        <f t="shared" si="49"/>
        <v>268.03571428571428</v>
      </c>
      <c r="W129" s="105">
        <v>1</v>
      </c>
      <c r="X129" s="107">
        <f t="shared" si="50"/>
        <v>268.03571428571428</v>
      </c>
      <c r="Y129" s="107">
        <f t="shared" si="51"/>
        <v>324.46428571428572</v>
      </c>
      <c r="Z129" s="107">
        <f t="shared" si="52"/>
        <v>98.75</v>
      </c>
      <c r="AA129" s="107">
        <f t="shared" si="53"/>
        <v>2011.75</v>
      </c>
      <c r="AB129" s="107">
        <f t="shared" si="54"/>
        <v>2017.5</v>
      </c>
      <c r="AC129" s="107">
        <f t="shared" si="55"/>
        <v>2018.75</v>
      </c>
      <c r="AD129" s="108">
        <f t="shared" si="56"/>
        <v>2016.5</v>
      </c>
      <c r="AE129" s="108">
        <f t="shared" si="57"/>
        <v>-8.3333333333333329E-2</v>
      </c>
      <c r="AF129" s="108">
        <f t="shared" si="58"/>
        <v>2018.75</v>
      </c>
      <c r="AG129" s="108">
        <f t="shared" si="59"/>
        <v>2016.5</v>
      </c>
      <c r="AH129" s="108">
        <f t="shared" si="60"/>
        <v>-8.3333333333333329E-2</v>
      </c>
    </row>
    <row r="130" spans="1:34" x14ac:dyDescent="0.25">
      <c r="A130">
        <v>127</v>
      </c>
      <c r="B130" t="s">
        <v>537</v>
      </c>
      <c r="C130">
        <v>2011</v>
      </c>
      <c r="D130">
        <v>10</v>
      </c>
      <c r="E130" s="75"/>
      <c r="F130" s="34" t="s">
        <v>436</v>
      </c>
      <c r="G130">
        <v>7</v>
      </c>
      <c r="H130">
        <f t="shared" si="41"/>
        <v>2018</v>
      </c>
      <c r="K130" s="32">
        <v>395</v>
      </c>
      <c r="L130" s="32"/>
      <c r="M130" s="32">
        <f t="shared" si="42"/>
        <v>395</v>
      </c>
      <c r="N130" s="107">
        <f t="shared" si="43"/>
        <v>4.7023809523809526</v>
      </c>
      <c r="O130" s="107">
        <f t="shared" si="44"/>
        <v>56.428571428571431</v>
      </c>
      <c r="P130" s="107">
        <f t="shared" si="45"/>
        <v>0</v>
      </c>
      <c r="Q130" s="107">
        <f t="shared" si="46"/>
        <v>56.428571428571431</v>
      </c>
      <c r="R130" s="105">
        <v>1</v>
      </c>
      <c r="S130" s="107">
        <f t="shared" si="47"/>
        <v>56.428571428571431</v>
      </c>
      <c r="T130" s="105"/>
      <c r="U130" s="107">
        <f t="shared" si="48"/>
        <v>268.03571428571428</v>
      </c>
      <c r="V130" s="107">
        <f t="shared" si="49"/>
        <v>268.03571428571428</v>
      </c>
      <c r="W130" s="105">
        <v>1</v>
      </c>
      <c r="X130" s="107">
        <f t="shared" si="50"/>
        <v>268.03571428571428</v>
      </c>
      <c r="Y130" s="107">
        <f t="shared" si="51"/>
        <v>324.46428571428572</v>
      </c>
      <c r="Z130" s="107">
        <f t="shared" si="52"/>
        <v>98.75</v>
      </c>
      <c r="AA130" s="107">
        <f t="shared" si="53"/>
        <v>2011.75</v>
      </c>
      <c r="AB130" s="107">
        <f t="shared" si="54"/>
        <v>2017.5</v>
      </c>
      <c r="AC130" s="107">
        <f t="shared" si="55"/>
        <v>2018.75</v>
      </c>
      <c r="AD130" s="108">
        <f t="shared" si="56"/>
        <v>2016.5</v>
      </c>
      <c r="AE130" s="108">
        <f t="shared" si="57"/>
        <v>-8.3333333333333329E-2</v>
      </c>
      <c r="AF130" s="108">
        <f t="shared" si="58"/>
        <v>2018.75</v>
      </c>
      <c r="AG130" s="108">
        <f t="shared" si="59"/>
        <v>2016.5</v>
      </c>
      <c r="AH130" s="108">
        <f t="shared" si="60"/>
        <v>-8.3333333333333329E-2</v>
      </c>
    </row>
    <row r="131" spans="1:34" x14ac:dyDescent="0.25">
      <c r="A131">
        <v>128</v>
      </c>
      <c r="B131" t="s">
        <v>538</v>
      </c>
      <c r="C131">
        <v>2011</v>
      </c>
      <c r="D131">
        <v>1</v>
      </c>
      <c r="E131" s="75"/>
      <c r="F131" s="34" t="s">
        <v>436</v>
      </c>
      <c r="G131">
        <v>7</v>
      </c>
      <c r="H131">
        <f t="shared" si="41"/>
        <v>2018</v>
      </c>
      <c r="K131" s="32">
        <v>2070</v>
      </c>
      <c r="L131" s="32"/>
      <c r="M131" s="32">
        <f t="shared" si="42"/>
        <v>2070</v>
      </c>
      <c r="N131" s="107">
        <f t="shared" si="43"/>
        <v>24.642857142857142</v>
      </c>
      <c r="O131" s="107">
        <f t="shared" si="44"/>
        <v>295.71428571428572</v>
      </c>
      <c r="P131" s="107">
        <f t="shared" si="45"/>
        <v>0</v>
      </c>
      <c r="Q131" s="107">
        <f t="shared" si="46"/>
        <v>295.71428571428572</v>
      </c>
      <c r="R131" s="105">
        <v>1</v>
      </c>
      <c r="S131" s="107">
        <f t="shared" si="47"/>
        <v>295.71428571428572</v>
      </c>
      <c r="T131" s="105"/>
      <c r="U131" s="107">
        <f t="shared" si="48"/>
        <v>1626.4285714285713</v>
      </c>
      <c r="V131" s="107">
        <f t="shared" si="49"/>
        <v>1626.4285714285713</v>
      </c>
      <c r="W131" s="105">
        <v>1</v>
      </c>
      <c r="X131" s="107">
        <f t="shared" si="50"/>
        <v>1626.4285714285713</v>
      </c>
      <c r="Y131" s="107">
        <f t="shared" si="51"/>
        <v>1922.1428571428571</v>
      </c>
      <c r="Z131" s="107">
        <f t="shared" si="52"/>
        <v>295.71428571428578</v>
      </c>
      <c r="AA131" s="107">
        <f t="shared" si="53"/>
        <v>2011</v>
      </c>
      <c r="AB131" s="107">
        <f t="shared" si="54"/>
        <v>2017.5</v>
      </c>
      <c r="AC131" s="107">
        <f t="shared" si="55"/>
        <v>2018</v>
      </c>
      <c r="AD131" s="108">
        <f t="shared" si="56"/>
        <v>2016.5</v>
      </c>
      <c r="AE131" s="108">
        <f t="shared" si="57"/>
        <v>-8.3333333333333329E-2</v>
      </c>
      <c r="AF131" s="108">
        <f t="shared" si="58"/>
        <v>2018</v>
      </c>
      <c r="AG131" s="108">
        <f t="shared" si="59"/>
        <v>2016.5</v>
      </c>
      <c r="AH131" s="108">
        <f t="shared" si="60"/>
        <v>-8.3333333333333329E-2</v>
      </c>
    </row>
    <row r="132" spans="1:34" x14ac:dyDescent="0.25">
      <c r="A132">
        <v>129</v>
      </c>
      <c r="B132" t="s">
        <v>539</v>
      </c>
      <c r="C132">
        <v>2011</v>
      </c>
      <c r="D132">
        <v>1</v>
      </c>
      <c r="E132" s="75"/>
      <c r="F132" s="34" t="s">
        <v>436</v>
      </c>
      <c r="G132">
        <v>5</v>
      </c>
      <c r="H132">
        <f t="shared" si="41"/>
        <v>2016</v>
      </c>
      <c r="K132" s="32">
        <v>283</v>
      </c>
      <c r="L132" s="32"/>
      <c r="M132" s="32">
        <f t="shared" si="42"/>
        <v>283</v>
      </c>
      <c r="N132" s="107">
        <f t="shared" si="43"/>
        <v>4.7166666666666668</v>
      </c>
      <c r="O132" s="107">
        <f t="shared" si="44"/>
        <v>0</v>
      </c>
      <c r="P132" s="107">
        <f t="shared" si="45"/>
        <v>0</v>
      </c>
      <c r="Q132" s="107">
        <f t="shared" si="46"/>
        <v>0</v>
      </c>
      <c r="R132" s="105">
        <v>1</v>
      </c>
      <c r="S132" s="107">
        <f t="shared" si="47"/>
        <v>0</v>
      </c>
      <c r="T132" s="105"/>
      <c r="U132" s="107">
        <f t="shared" si="48"/>
        <v>283</v>
      </c>
      <c r="V132" s="107">
        <f t="shared" si="49"/>
        <v>283</v>
      </c>
      <c r="W132" s="105">
        <v>1</v>
      </c>
      <c r="X132" s="107">
        <f t="shared" si="50"/>
        <v>283</v>
      </c>
      <c r="Y132" s="107">
        <f t="shared" si="51"/>
        <v>283</v>
      </c>
      <c r="Z132" s="107">
        <f t="shared" si="52"/>
        <v>0</v>
      </c>
      <c r="AA132" s="107">
        <f t="shared" si="53"/>
        <v>2011</v>
      </c>
      <c r="AB132" s="107">
        <f t="shared" si="54"/>
        <v>2017.5</v>
      </c>
      <c r="AC132" s="107">
        <f t="shared" si="55"/>
        <v>2016</v>
      </c>
      <c r="AD132" s="108">
        <f t="shared" si="56"/>
        <v>2016.5</v>
      </c>
      <c r="AE132" s="108">
        <f t="shared" si="57"/>
        <v>-8.3333333333333329E-2</v>
      </c>
      <c r="AF132" s="108">
        <f t="shared" si="58"/>
        <v>2016</v>
      </c>
      <c r="AG132" s="108">
        <f t="shared" si="59"/>
        <v>2016.5</v>
      </c>
      <c r="AH132" s="108">
        <f t="shared" si="60"/>
        <v>-8.3333333333333329E-2</v>
      </c>
    </row>
    <row r="133" spans="1:34" x14ac:dyDescent="0.25">
      <c r="A133">
        <v>130</v>
      </c>
      <c r="B133" t="s">
        <v>540</v>
      </c>
      <c r="C133">
        <v>2011</v>
      </c>
      <c r="D133">
        <v>1</v>
      </c>
      <c r="E133" s="75"/>
      <c r="F133" s="34" t="s">
        <v>436</v>
      </c>
      <c r="G133">
        <v>5</v>
      </c>
      <c r="H133">
        <f t="shared" si="41"/>
        <v>2016</v>
      </c>
      <c r="K133" s="32">
        <v>8575</v>
      </c>
      <c r="L133" s="32"/>
      <c r="M133" s="32">
        <f t="shared" si="42"/>
        <v>8575</v>
      </c>
      <c r="N133" s="107">
        <f t="shared" si="43"/>
        <v>142.91666666666666</v>
      </c>
      <c r="O133" s="107">
        <f t="shared" si="44"/>
        <v>0</v>
      </c>
      <c r="P133" s="107">
        <f t="shared" si="45"/>
        <v>0</v>
      </c>
      <c r="Q133" s="107">
        <f t="shared" si="46"/>
        <v>0</v>
      </c>
      <c r="R133" s="105">
        <v>1</v>
      </c>
      <c r="S133" s="107">
        <f t="shared" si="47"/>
        <v>0</v>
      </c>
      <c r="T133" s="105"/>
      <c r="U133" s="107">
        <f t="shared" si="48"/>
        <v>8575</v>
      </c>
      <c r="V133" s="107">
        <f t="shared" si="49"/>
        <v>8575</v>
      </c>
      <c r="W133" s="105">
        <v>1</v>
      </c>
      <c r="X133" s="107">
        <f t="shared" si="50"/>
        <v>8575</v>
      </c>
      <c r="Y133" s="107">
        <f t="shared" si="51"/>
        <v>8575</v>
      </c>
      <c r="Z133" s="107">
        <f t="shared" si="52"/>
        <v>0</v>
      </c>
      <c r="AA133" s="107">
        <f t="shared" si="53"/>
        <v>2011</v>
      </c>
      <c r="AB133" s="107">
        <f t="shared" si="54"/>
        <v>2017.5</v>
      </c>
      <c r="AC133" s="107">
        <f t="shared" si="55"/>
        <v>2016</v>
      </c>
      <c r="AD133" s="108">
        <f t="shared" si="56"/>
        <v>2016.5</v>
      </c>
      <c r="AE133" s="108">
        <f t="shared" si="57"/>
        <v>-8.3333333333333329E-2</v>
      </c>
      <c r="AF133" s="108">
        <f t="shared" si="58"/>
        <v>2016</v>
      </c>
      <c r="AG133" s="108">
        <f t="shared" si="59"/>
        <v>2016.5</v>
      </c>
      <c r="AH133" s="108">
        <f t="shared" si="60"/>
        <v>-8.3333333333333329E-2</v>
      </c>
    </row>
    <row r="134" spans="1:34" x14ac:dyDescent="0.25">
      <c r="A134">
        <v>131</v>
      </c>
      <c r="B134" t="s">
        <v>541</v>
      </c>
      <c r="C134">
        <v>2011</v>
      </c>
      <c r="D134">
        <v>2</v>
      </c>
      <c r="E134" s="75"/>
      <c r="F134" s="34" t="s">
        <v>436</v>
      </c>
      <c r="G134">
        <v>7</v>
      </c>
      <c r="H134">
        <f t="shared" si="41"/>
        <v>2018</v>
      </c>
      <c r="K134" s="32">
        <v>1084</v>
      </c>
      <c r="L134" s="32"/>
      <c r="M134" s="32">
        <f t="shared" si="42"/>
        <v>1084</v>
      </c>
      <c r="N134" s="107">
        <f t="shared" si="43"/>
        <v>12.904761904761905</v>
      </c>
      <c r="O134" s="107">
        <f t="shared" si="44"/>
        <v>154.85714285714286</v>
      </c>
      <c r="P134" s="107">
        <f t="shared" si="45"/>
        <v>0</v>
      </c>
      <c r="Q134" s="107">
        <f t="shared" si="46"/>
        <v>154.85714285714286</v>
      </c>
      <c r="R134" s="105">
        <v>1</v>
      </c>
      <c r="S134" s="107">
        <f t="shared" si="47"/>
        <v>154.85714285714286</v>
      </c>
      <c r="T134" s="105"/>
      <c r="U134" s="107">
        <f t="shared" si="48"/>
        <v>838.80952380953556</v>
      </c>
      <c r="V134" s="107">
        <f t="shared" si="49"/>
        <v>838.80952380953556</v>
      </c>
      <c r="W134" s="105">
        <v>1</v>
      </c>
      <c r="X134" s="107">
        <f t="shared" si="50"/>
        <v>838.80952380953556</v>
      </c>
      <c r="Y134" s="107">
        <f t="shared" si="51"/>
        <v>993.66666666667845</v>
      </c>
      <c r="Z134" s="107">
        <f t="shared" si="52"/>
        <v>167.76190476189299</v>
      </c>
      <c r="AA134" s="107">
        <f t="shared" si="53"/>
        <v>2011.0833333333333</v>
      </c>
      <c r="AB134" s="107">
        <f t="shared" si="54"/>
        <v>2017.5</v>
      </c>
      <c r="AC134" s="107">
        <f t="shared" si="55"/>
        <v>2018.0833333333333</v>
      </c>
      <c r="AD134" s="108">
        <f t="shared" si="56"/>
        <v>2016.5</v>
      </c>
      <c r="AE134" s="108">
        <f t="shared" si="57"/>
        <v>-8.3333333333333329E-2</v>
      </c>
      <c r="AF134" s="108">
        <f t="shared" si="58"/>
        <v>2018.0833333333333</v>
      </c>
      <c r="AG134" s="108">
        <f t="shared" si="59"/>
        <v>2016.5</v>
      </c>
      <c r="AH134" s="108">
        <f t="shared" si="60"/>
        <v>-8.3333333333333329E-2</v>
      </c>
    </row>
    <row r="135" spans="1:34" x14ac:dyDescent="0.25">
      <c r="A135">
        <v>132</v>
      </c>
      <c r="B135" t="s">
        <v>541</v>
      </c>
      <c r="C135">
        <v>2011</v>
      </c>
      <c r="D135">
        <v>2</v>
      </c>
      <c r="E135" s="75"/>
      <c r="F135" s="34" t="s">
        <v>436</v>
      </c>
      <c r="G135">
        <v>7</v>
      </c>
      <c r="H135">
        <f t="shared" si="41"/>
        <v>2018</v>
      </c>
      <c r="K135" s="32">
        <v>1470</v>
      </c>
      <c r="L135" s="32"/>
      <c r="M135" s="32">
        <f t="shared" si="42"/>
        <v>1470</v>
      </c>
      <c r="N135" s="107">
        <f t="shared" si="43"/>
        <v>17.5</v>
      </c>
      <c r="O135" s="107">
        <f t="shared" si="44"/>
        <v>210</v>
      </c>
      <c r="P135" s="107">
        <f t="shared" si="45"/>
        <v>0</v>
      </c>
      <c r="Q135" s="107">
        <f t="shared" si="46"/>
        <v>210</v>
      </c>
      <c r="R135" s="105">
        <v>1</v>
      </c>
      <c r="S135" s="107">
        <f t="shared" si="47"/>
        <v>210</v>
      </c>
      <c r="T135" s="105"/>
      <c r="U135" s="107">
        <f t="shared" si="48"/>
        <v>1137.5000000000159</v>
      </c>
      <c r="V135" s="107">
        <f t="shared" si="49"/>
        <v>1137.5000000000159</v>
      </c>
      <c r="W135" s="105">
        <v>1</v>
      </c>
      <c r="X135" s="107">
        <f t="shared" si="50"/>
        <v>1137.5000000000159</v>
      </c>
      <c r="Y135" s="107">
        <f t="shared" si="51"/>
        <v>1347.5000000000159</v>
      </c>
      <c r="Z135" s="107">
        <f t="shared" si="52"/>
        <v>227.49999999998408</v>
      </c>
      <c r="AA135" s="107">
        <f t="shared" si="53"/>
        <v>2011.0833333333333</v>
      </c>
      <c r="AB135" s="107">
        <f t="shared" si="54"/>
        <v>2017.5</v>
      </c>
      <c r="AC135" s="107">
        <f t="shared" si="55"/>
        <v>2018.0833333333333</v>
      </c>
      <c r="AD135" s="108">
        <f t="shared" si="56"/>
        <v>2016.5</v>
      </c>
      <c r="AE135" s="108">
        <f t="shared" si="57"/>
        <v>-8.3333333333333329E-2</v>
      </c>
      <c r="AF135" s="108">
        <f t="shared" si="58"/>
        <v>2018.0833333333333</v>
      </c>
      <c r="AG135" s="108">
        <f t="shared" si="59"/>
        <v>2016.5</v>
      </c>
      <c r="AH135" s="108">
        <f t="shared" si="60"/>
        <v>-8.3333333333333329E-2</v>
      </c>
    </row>
    <row r="136" spans="1:34" x14ac:dyDescent="0.25">
      <c r="A136">
        <v>133</v>
      </c>
      <c r="B136" t="s">
        <v>542</v>
      </c>
      <c r="C136">
        <v>2011</v>
      </c>
      <c r="D136">
        <v>2</v>
      </c>
      <c r="E136" s="75"/>
      <c r="F136" s="34" t="s">
        <v>436</v>
      </c>
      <c r="G136">
        <v>5</v>
      </c>
      <c r="H136">
        <f t="shared" si="41"/>
        <v>2016</v>
      </c>
      <c r="K136" s="32">
        <v>3546</v>
      </c>
      <c r="L136" s="32"/>
      <c r="M136" s="32">
        <f t="shared" si="42"/>
        <v>3546</v>
      </c>
      <c r="N136" s="107">
        <f t="shared" si="43"/>
        <v>59.1</v>
      </c>
      <c r="O136" s="107">
        <f t="shared" si="44"/>
        <v>0</v>
      </c>
      <c r="P136" s="107">
        <f t="shared" si="45"/>
        <v>0</v>
      </c>
      <c r="Q136" s="107">
        <f t="shared" si="46"/>
        <v>0</v>
      </c>
      <c r="R136" s="105">
        <v>1</v>
      </c>
      <c r="S136" s="107">
        <f t="shared" si="47"/>
        <v>0</v>
      </c>
      <c r="T136" s="105"/>
      <c r="U136" s="107">
        <f t="shared" si="48"/>
        <v>3546</v>
      </c>
      <c r="V136" s="107">
        <f t="shared" si="49"/>
        <v>3546</v>
      </c>
      <c r="W136" s="105">
        <v>1</v>
      </c>
      <c r="X136" s="107">
        <f t="shared" si="50"/>
        <v>3546</v>
      </c>
      <c r="Y136" s="107">
        <f t="shared" si="51"/>
        <v>3546</v>
      </c>
      <c r="Z136" s="107">
        <f t="shared" si="52"/>
        <v>0</v>
      </c>
      <c r="AA136" s="107">
        <f t="shared" si="53"/>
        <v>2011.0833333333333</v>
      </c>
      <c r="AB136" s="107">
        <f t="shared" si="54"/>
        <v>2017.5</v>
      </c>
      <c r="AC136" s="107">
        <f t="shared" si="55"/>
        <v>2016.0833333333333</v>
      </c>
      <c r="AD136" s="108">
        <f t="shared" si="56"/>
        <v>2016.5</v>
      </c>
      <c r="AE136" s="108">
        <f t="shared" si="57"/>
        <v>-8.3333333333333329E-2</v>
      </c>
      <c r="AF136" s="108">
        <f t="shared" si="58"/>
        <v>2016.0833333333333</v>
      </c>
      <c r="AG136" s="108">
        <f t="shared" si="59"/>
        <v>2016.5</v>
      </c>
      <c r="AH136" s="108">
        <f t="shared" si="60"/>
        <v>-8.3333333333333329E-2</v>
      </c>
    </row>
    <row r="137" spans="1:34" x14ac:dyDescent="0.25">
      <c r="A137">
        <v>134</v>
      </c>
      <c r="B137" t="s">
        <v>543</v>
      </c>
      <c r="C137">
        <v>2011</v>
      </c>
      <c r="D137">
        <v>3</v>
      </c>
      <c r="E137" s="75"/>
      <c r="F137" s="34" t="s">
        <v>436</v>
      </c>
      <c r="G137">
        <v>5</v>
      </c>
      <c r="H137">
        <f t="shared" si="41"/>
        <v>2016</v>
      </c>
      <c r="K137" s="32">
        <v>540</v>
      </c>
      <c r="L137" s="32"/>
      <c r="M137" s="32">
        <f t="shared" si="42"/>
        <v>540</v>
      </c>
      <c r="N137" s="107">
        <f t="shared" si="43"/>
        <v>9</v>
      </c>
      <c r="O137" s="107">
        <f t="shared" si="44"/>
        <v>0</v>
      </c>
      <c r="P137" s="107">
        <f t="shared" si="45"/>
        <v>0</v>
      </c>
      <c r="Q137" s="107">
        <f t="shared" si="46"/>
        <v>0</v>
      </c>
      <c r="R137" s="105">
        <v>1</v>
      </c>
      <c r="S137" s="107">
        <f t="shared" si="47"/>
        <v>0</v>
      </c>
      <c r="T137" s="105"/>
      <c r="U137" s="107">
        <f t="shared" si="48"/>
        <v>540</v>
      </c>
      <c r="V137" s="107">
        <f t="shared" si="49"/>
        <v>540</v>
      </c>
      <c r="W137" s="105">
        <v>1</v>
      </c>
      <c r="X137" s="107">
        <f t="shared" si="50"/>
        <v>540</v>
      </c>
      <c r="Y137" s="107">
        <f t="shared" si="51"/>
        <v>540</v>
      </c>
      <c r="Z137" s="107">
        <f t="shared" si="52"/>
        <v>0</v>
      </c>
      <c r="AA137" s="107">
        <f t="shared" si="53"/>
        <v>2011.1666666666667</v>
      </c>
      <c r="AB137" s="107">
        <f t="shared" si="54"/>
        <v>2017.5</v>
      </c>
      <c r="AC137" s="107">
        <f t="shared" si="55"/>
        <v>2016.1666666666667</v>
      </c>
      <c r="AD137" s="108">
        <f t="shared" si="56"/>
        <v>2016.5</v>
      </c>
      <c r="AE137" s="108">
        <f t="shared" si="57"/>
        <v>-8.3333333333333329E-2</v>
      </c>
      <c r="AF137" s="108">
        <f t="shared" si="58"/>
        <v>2016.1666666666667</v>
      </c>
      <c r="AG137" s="108">
        <f t="shared" si="59"/>
        <v>2016.5</v>
      </c>
      <c r="AH137" s="108">
        <f t="shared" si="60"/>
        <v>-8.3333333333333329E-2</v>
      </c>
    </row>
    <row r="138" spans="1:34" x14ac:dyDescent="0.25">
      <c r="A138">
        <v>135</v>
      </c>
      <c r="B138" t="s">
        <v>544</v>
      </c>
      <c r="C138">
        <v>2011</v>
      </c>
      <c r="D138">
        <v>3</v>
      </c>
      <c r="E138" s="75"/>
      <c r="F138" s="34" t="s">
        <v>436</v>
      </c>
      <c r="G138">
        <v>7</v>
      </c>
      <c r="H138">
        <f t="shared" si="41"/>
        <v>2018</v>
      </c>
      <c r="K138" s="32">
        <v>1488</v>
      </c>
      <c r="L138" s="32"/>
      <c r="M138" s="32">
        <f t="shared" si="42"/>
        <v>1488</v>
      </c>
      <c r="N138" s="107">
        <f t="shared" si="43"/>
        <v>17.714285714285715</v>
      </c>
      <c r="O138" s="107">
        <f t="shared" si="44"/>
        <v>212.57142857142858</v>
      </c>
      <c r="P138" s="107">
        <f t="shared" si="45"/>
        <v>0</v>
      </c>
      <c r="Q138" s="107">
        <f t="shared" si="46"/>
        <v>212.57142857142858</v>
      </c>
      <c r="R138" s="105">
        <v>1</v>
      </c>
      <c r="S138" s="107">
        <f t="shared" si="47"/>
        <v>212.57142857142858</v>
      </c>
      <c r="T138" s="105"/>
      <c r="U138" s="107">
        <f t="shared" si="48"/>
        <v>1133.7142857142696</v>
      </c>
      <c r="V138" s="107">
        <f t="shared" si="49"/>
        <v>1133.7142857142696</v>
      </c>
      <c r="W138" s="105">
        <v>1</v>
      </c>
      <c r="X138" s="107">
        <f t="shared" si="50"/>
        <v>1133.7142857142696</v>
      </c>
      <c r="Y138" s="107">
        <f t="shared" si="51"/>
        <v>1346.2857142856983</v>
      </c>
      <c r="Z138" s="107">
        <f t="shared" si="52"/>
        <v>248.00000000001603</v>
      </c>
      <c r="AA138" s="107">
        <f t="shared" si="53"/>
        <v>2011.1666666666667</v>
      </c>
      <c r="AB138" s="107">
        <f t="shared" si="54"/>
        <v>2017.5</v>
      </c>
      <c r="AC138" s="107">
        <f t="shared" si="55"/>
        <v>2018.1666666666667</v>
      </c>
      <c r="AD138" s="108">
        <f t="shared" si="56"/>
        <v>2016.5</v>
      </c>
      <c r="AE138" s="108">
        <f t="shared" si="57"/>
        <v>-8.3333333333333329E-2</v>
      </c>
      <c r="AF138" s="108">
        <f t="shared" si="58"/>
        <v>2018.1666666666667</v>
      </c>
      <c r="AG138" s="108">
        <f t="shared" si="59"/>
        <v>2016.5</v>
      </c>
      <c r="AH138" s="108">
        <f t="shared" si="60"/>
        <v>-8.3333333333333329E-2</v>
      </c>
    </row>
    <row r="139" spans="1:34" x14ac:dyDescent="0.25">
      <c r="A139">
        <v>136</v>
      </c>
      <c r="B139" t="s">
        <v>544</v>
      </c>
      <c r="C139">
        <v>2011</v>
      </c>
      <c r="D139">
        <v>4</v>
      </c>
      <c r="E139" s="75"/>
      <c r="F139" s="34" t="s">
        <v>436</v>
      </c>
      <c r="G139">
        <v>7</v>
      </c>
      <c r="H139">
        <f t="shared" si="41"/>
        <v>2018</v>
      </c>
      <c r="K139" s="32">
        <v>690</v>
      </c>
      <c r="L139" s="32"/>
      <c r="M139" s="32">
        <f t="shared" si="42"/>
        <v>690</v>
      </c>
      <c r="N139" s="107">
        <f t="shared" si="43"/>
        <v>8.2142857142857135</v>
      </c>
      <c r="O139" s="107">
        <f t="shared" si="44"/>
        <v>98.571428571428555</v>
      </c>
      <c r="P139" s="107">
        <f t="shared" si="45"/>
        <v>0</v>
      </c>
      <c r="Q139" s="107">
        <f t="shared" si="46"/>
        <v>98.571428571428555</v>
      </c>
      <c r="R139" s="105">
        <v>1</v>
      </c>
      <c r="S139" s="107">
        <f t="shared" si="47"/>
        <v>98.571428571428555</v>
      </c>
      <c r="T139" s="105"/>
      <c r="U139" s="107">
        <f t="shared" si="48"/>
        <v>517.5</v>
      </c>
      <c r="V139" s="107">
        <f t="shared" si="49"/>
        <v>517.5</v>
      </c>
      <c r="W139" s="105">
        <v>1</v>
      </c>
      <c r="X139" s="107">
        <f t="shared" si="50"/>
        <v>517.5</v>
      </c>
      <c r="Y139" s="107">
        <f t="shared" si="51"/>
        <v>616.07142857142856</v>
      </c>
      <c r="Z139" s="107">
        <f t="shared" si="52"/>
        <v>123.21428571428572</v>
      </c>
      <c r="AA139" s="107">
        <f t="shared" si="53"/>
        <v>2011.25</v>
      </c>
      <c r="AB139" s="107">
        <f t="shared" si="54"/>
        <v>2017.5</v>
      </c>
      <c r="AC139" s="107">
        <f t="shared" si="55"/>
        <v>2018.25</v>
      </c>
      <c r="AD139" s="108">
        <f t="shared" si="56"/>
        <v>2016.5</v>
      </c>
      <c r="AE139" s="108">
        <f t="shared" si="57"/>
        <v>-8.3333333333333329E-2</v>
      </c>
      <c r="AF139" s="108">
        <f t="shared" si="58"/>
        <v>2018.25</v>
      </c>
      <c r="AG139" s="108">
        <f t="shared" si="59"/>
        <v>2016.5</v>
      </c>
      <c r="AH139" s="108">
        <f t="shared" si="60"/>
        <v>-8.3333333333333329E-2</v>
      </c>
    </row>
    <row r="140" spans="1:34" x14ac:dyDescent="0.25">
      <c r="A140">
        <v>138</v>
      </c>
      <c r="B140" t="s">
        <v>544</v>
      </c>
      <c r="C140">
        <v>2011</v>
      </c>
      <c r="D140">
        <v>4</v>
      </c>
      <c r="E140" s="75"/>
      <c r="F140" s="34" t="s">
        <v>436</v>
      </c>
      <c r="G140">
        <v>7</v>
      </c>
      <c r="H140">
        <f t="shared" si="41"/>
        <v>2018</v>
      </c>
      <c r="K140" s="32">
        <v>633</v>
      </c>
      <c r="L140" s="32"/>
      <c r="M140" s="32">
        <f t="shared" si="42"/>
        <v>633</v>
      </c>
      <c r="N140" s="107">
        <f t="shared" si="43"/>
        <v>7.5357142857142856</v>
      </c>
      <c r="O140" s="107">
        <f t="shared" si="44"/>
        <v>90.428571428571431</v>
      </c>
      <c r="P140" s="107">
        <f t="shared" si="45"/>
        <v>0</v>
      </c>
      <c r="Q140" s="107">
        <f t="shared" si="46"/>
        <v>90.428571428571431</v>
      </c>
      <c r="R140" s="105">
        <v>1</v>
      </c>
      <c r="S140" s="107">
        <f t="shared" si="47"/>
        <v>90.428571428571431</v>
      </c>
      <c r="T140" s="105"/>
      <c r="U140" s="107">
        <f t="shared" si="48"/>
        <v>474.75</v>
      </c>
      <c r="V140" s="107">
        <f t="shared" si="49"/>
        <v>474.75</v>
      </c>
      <c r="W140" s="105">
        <v>1</v>
      </c>
      <c r="X140" s="107">
        <f t="shared" si="50"/>
        <v>474.75</v>
      </c>
      <c r="Y140" s="107">
        <f t="shared" si="51"/>
        <v>565.17857142857144</v>
      </c>
      <c r="Z140" s="107">
        <f t="shared" si="52"/>
        <v>113.03571428571428</v>
      </c>
      <c r="AA140" s="107">
        <f t="shared" si="53"/>
        <v>2011.25</v>
      </c>
      <c r="AB140" s="107">
        <f t="shared" si="54"/>
        <v>2017.5</v>
      </c>
      <c r="AC140" s="107">
        <f t="shared" si="55"/>
        <v>2018.25</v>
      </c>
      <c r="AD140" s="108">
        <f t="shared" si="56"/>
        <v>2016.5</v>
      </c>
      <c r="AE140" s="108">
        <f t="shared" si="57"/>
        <v>-8.3333333333333329E-2</v>
      </c>
      <c r="AF140" s="108">
        <f t="shared" si="58"/>
        <v>2018.25</v>
      </c>
      <c r="AG140" s="108">
        <f t="shared" si="59"/>
        <v>2016.5</v>
      </c>
      <c r="AH140" s="108">
        <f t="shared" si="60"/>
        <v>-8.3333333333333329E-2</v>
      </c>
    </row>
    <row r="141" spans="1:34" x14ac:dyDescent="0.25">
      <c r="A141">
        <v>142</v>
      </c>
      <c r="B141" t="s">
        <v>545</v>
      </c>
      <c r="C141">
        <v>2011</v>
      </c>
      <c r="D141">
        <v>1</v>
      </c>
      <c r="E141" s="75"/>
      <c r="F141" s="34" t="s">
        <v>436</v>
      </c>
      <c r="G141">
        <v>7</v>
      </c>
      <c r="H141">
        <f t="shared" si="41"/>
        <v>2018</v>
      </c>
      <c r="K141" s="32">
        <v>6992</v>
      </c>
      <c r="L141" s="32"/>
      <c r="M141" s="32">
        <f t="shared" si="42"/>
        <v>6992</v>
      </c>
      <c r="N141" s="107">
        <f t="shared" si="43"/>
        <v>83.238095238095241</v>
      </c>
      <c r="O141" s="107">
        <f t="shared" si="44"/>
        <v>998.85714285714289</v>
      </c>
      <c r="P141" s="107">
        <f t="shared" si="45"/>
        <v>0</v>
      </c>
      <c r="Q141" s="107">
        <f t="shared" si="46"/>
        <v>998.85714285714289</v>
      </c>
      <c r="R141" s="105">
        <v>1</v>
      </c>
      <c r="S141" s="107">
        <f t="shared" si="47"/>
        <v>998.85714285714289</v>
      </c>
      <c r="T141" s="105"/>
      <c r="U141" s="107">
        <f t="shared" si="48"/>
        <v>5493.7142857142862</v>
      </c>
      <c r="V141" s="107">
        <f t="shared" si="49"/>
        <v>5493.7142857142862</v>
      </c>
      <c r="W141" s="105">
        <v>1</v>
      </c>
      <c r="X141" s="107">
        <f t="shared" si="50"/>
        <v>5493.7142857142862</v>
      </c>
      <c r="Y141" s="107">
        <f t="shared" si="51"/>
        <v>6492.5714285714294</v>
      </c>
      <c r="Z141" s="107">
        <f t="shared" si="52"/>
        <v>998.85714285714221</v>
      </c>
      <c r="AA141" s="107">
        <f t="shared" si="53"/>
        <v>2011</v>
      </c>
      <c r="AB141" s="107">
        <f t="shared" si="54"/>
        <v>2017.5</v>
      </c>
      <c r="AC141" s="107">
        <f t="shared" si="55"/>
        <v>2018</v>
      </c>
      <c r="AD141" s="108">
        <f t="shared" si="56"/>
        <v>2016.5</v>
      </c>
      <c r="AE141" s="108">
        <f t="shared" si="57"/>
        <v>-8.3333333333333329E-2</v>
      </c>
      <c r="AF141" s="108">
        <f t="shared" si="58"/>
        <v>2018</v>
      </c>
      <c r="AG141" s="108">
        <f t="shared" si="59"/>
        <v>2016.5</v>
      </c>
      <c r="AH141" s="108">
        <f t="shared" si="60"/>
        <v>-8.3333333333333329E-2</v>
      </c>
    </row>
    <row r="142" spans="1:34" x14ac:dyDescent="0.25">
      <c r="A142">
        <v>143</v>
      </c>
      <c r="B142" t="s">
        <v>546</v>
      </c>
      <c r="C142">
        <v>2011</v>
      </c>
      <c r="D142">
        <v>2</v>
      </c>
      <c r="E142" s="75"/>
      <c r="F142" s="34" t="s">
        <v>436</v>
      </c>
      <c r="G142">
        <v>7</v>
      </c>
      <c r="H142">
        <f t="shared" si="41"/>
        <v>2018</v>
      </c>
      <c r="K142" s="32">
        <v>3760</v>
      </c>
      <c r="L142" s="32"/>
      <c r="M142" s="32">
        <f t="shared" si="42"/>
        <v>3760</v>
      </c>
      <c r="N142" s="107">
        <f t="shared" si="43"/>
        <v>44.761904761904759</v>
      </c>
      <c r="O142" s="107">
        <f t="shared" si="44"/>
        <v>537.14285714285711</v>
      </c>
      <c r="P142" s="107">
        <f t="shared" si="45"/>
        <v>0</v>
      </c>
      <c r="Q142" s="107">
        <f t="shared" si="46"/>
        <v>537.14285714285711</v>
      </c>
      <c r="R142" s="105">
        <v>1</v>
      </c>
      <c r="S142" s="107">
        <f t="shared" si="47"/>
        <v>537.14285714285711</v>
      </c>
      <c r="T142" s="105"/>
      <c r="U142" s="107">
        <f t="shared" si="48"/>
        <v>2909.5238095238501</v>
      </c>
      <c r="V142" s="107">
        <f t="shared" si="49"/>
        <v>2909.5238095238501</v>
      </c>
      <c r="W142" s="105">
        <v>1</v>
      </c>
      <c r="X142" s="107">
        <f t="shared" si="50"/>
        <v>2909.5238095238501</v>
      </c>
      <c r="Y142" s="107">
        <f t="shared" si="51"/>
        <v>3446.666666666707</v>
      </c>
      <c r="Z142" s="107">
        <f t="shared" si="52"/>
        <v>581.90476190472145</v>
      </c>
      <c r="AA142" s="107">
        <f t="shared" si="53"/>
        <v>2011.0833333333333</v>
      </c>
      <c r="AB142" s="107">
        <f t="shared" si="54"/>
        <v>2017.5</v>
      </c>
      <c r="AC142" s="107">
        <f t="shared" si="55"/>
        <v>2018.0833333333333</v>
      </c>
      <c r="AD142" s="108">
        <f t="shared" si="56"/>
        <v>2016.5</v>
      </c>
      <c r="AE142" s="108">
        <f t="shared" si="57"/>
        <v>-8.3333333333333329E-2</v>
      </c>
      <c r="AF142" s="108">
        <f t="shared" si="58"/>
        <v>2018.0833333333333</v>
      </c>
      <c r="AG142" s="108">
        <f t="shared" si="59"/>
        <v>2016.5</v>
      </c>
      <c r="AH142" s="108">
        <f t="shared" si="60"/>
        <v>-8.3333333333333329E-2</v>
      </c>
    </row>
    <row r="143" spans="1:34" x14ac:dyDescent="0.25">
      <c r="A143">
        <v>146</v>
      </c>
      <c r="B143" t="s">
        <v>547</v>
      </c>
      <c r="C143">
        <v>2012</v>
      </c>
      <c r="D143">
        <v>10</v>
      </c>
      <c r="E143" s="75"/>
      <c r="F143" s="34" t="s">
        <v>436</v>
      </c>
      <c r="G143">
        <v>5</v>
      </c>
      <c r="H143">
        <f t="shared" si="41"/>
        <v>2017</v>
      </c>
      <c r="K143" s="32">
        <v>22230</v>
      </c>
      <c r="L143" s="32"/>
      <c r="M143" s="32">
        <f t="shared" si="42"/>
        <v>22230</v>
      </c>
      <c r="N143" s="107">
        <f t="shared" si="43"/>
        <v>370.5</v>
      </c>
      <c r="O143" s="107">
        <f t="shared" si="44"/>
        <v>4446</v>
      </c>
      <c r="P143" s="107">
        <f t="shared" si="45"/>
        <v>0</v>
      </c>
      <c r="Q143" s="107">
        <f t="shared" si="46"/>
        <v>4446</v>
      </c>
      <c r="R143" s="105">
        <v>1</v>
      </c>
      <c r="S143" s="107">
        <f t="shared" si="47"/>
        <v>4446</v>
      </c>
      <c r="T143" s="105"/>
      <c r="U143" s="107">
        <f t="shared" si="48"/>
        <v>16672.5</v>
      </c>
      <c r="V143" s="107">
        <f t="shared" si="49"/>
        <v>16672.5</v>
      </c>
      <c r="W143" s="105">
        <v>1</v>
      </c>
      <c r="X143" s="107">
        <f t="shared" si="50"/>
        <v>16672.5</v>
      </c>
      <c r="Y143" s="107">
        <f t="shared" si="51"/>
        <v>21118.5</v>
      </c>
      <c r="Z143" s="107">
        <f t="shared" si="52"/>
        <v>3334.5</v>
      </c>
      <c r="AA143" s="107">
        <f t="shared" si="53"/>
        <v>2012.75</v>
      </c>
      <c r="AB143" s="107">
        <f t="shared" si="54"/>
        <v>2017.5</v>
      </c>
      <c r="AC143" s="107">
        <f t="shared" si="55"/>
        <v>2017.75</v>
      </c>
      <c r="AD143" s="108">
        <f t="shared" si="56"/>
        <v>2016.5</v>
      </c>
      <c r="AE143" s="108">
        <f t="shared" si="57"/>
        <v>-8.3333333333333329E-2</v>
      </c>
      <c r="AF143" s="108">
        <f t="shared" si="58"/>
        <v>2017.75</v>
      </c>
      <c r="AG143" s="108">
        <f t="shared" si="59"/>
        <v>2016.5</v>
      </c>
      <c r="AH143" s="108">
        <f t="shared" si="60"/>
        <v>-8.3333333333333329E-2</v>
      </c>
    </row>
    <row r="144" spans="1:34" x14ac:dyDescent="0.25">
      <c r="A144">
        <v>147</v>
      </c>
      <c r="B144" t="s">
        <v>548</v>
      </c>
      <c r="C144">
        <v>2012</v>
      </c>
      <c r="D144">
        <v>1</v>
      </c>
      <c r="E144" s="75"/>
      <c r="F144" s="34" t="s">
        <v>436</v>
      </c>
      <c r="G144">
        <v>5</v>
      </c>
      <c r="H144">
        <f t="shared" si="41"/>
        <v>2017</v>
      </c>
      <c r="K144" s="32">
        <v>601</v>
      </c>
      <c r="L144" s="32"/>
      <c r="M144" s="32">
        <f t="shared" si="42"/>
        <v>601</v>
      </c>
      <c r="N144" s="107">
        <f t="shared" si="43"/>
        <v>10.016666666666667</v>
      </c>
      <c r="O144" s="107">
        <f t="shared" si="44"/>
        <v>60.100000000000009</v>
      </c>
      <c r="P144" s="107">
        <f t="shared" si="45"/>
        <v>0</v>
      </c>
      <c r="Q144" s="107">
        <f t="shared" si="46"/>
        <v>60.100000000000009</v>
      </c>
      <c r="R144" s="105">
        <v>1</v>
      </c>
      <c r="S144" s="107">
        <f t="shared" si="47"/>
        <v>60.100000000000009</v>
      </c>
      <c r="T144" s="105"/>
      <c r="U144" s="107">
        <f t="shared" si="48"/>
        <v>540.9</v>
      </c>
      <c r="V144" s="107">
        <f t="shared" si="49"/>
        <v>540.9</v>
      </c>
      <c r="W144" s="105">
        <v>1</v>
      </c>
      <c r="X144" s="107">
        <f t="shared" si="50"/>
        <v>540.9</v>
      </c>
      <c r="Y144" s="107">
        <f t="shared" si="51"/>
        <v>601</v>
      </c>
      <c r="Z144" s="107">
        <f t="shared" si="52"/>
        <v>30.050000000000011</v>
      </c>
      <c r="AA144" s="107">
        <f t="shared" si="53"/>
        <v>2012</v>
      </c>
      <c r="AB144" s="107">
        <f t="shared" si="54"/>
        <v>2017.5</v>
      </c>
      <c r="AC144" s="107">
        <f t="shared" si="55"/>
        <v>2017</v>
      </c>
      <c r="AD144" s="108">
        <f t="shared" si="56"/>
        <v>2016.5</v>
      </c>
      <c r="AE144" s="108">
        <f t="shared" si="57"/>
        <v>-8.3333333333333329E-2</v>
      </c>
      <c r="AF144" s="108">
        <f t="shared" si="58"/>
        <v>2017</v>
      </c>
      <c r="AG144" s="108">
        <f t="shared" si="59"/>
        <v>2016.5</v>
      </c>
      <c r="AH144" s="108">
        <f t="shared" si="60"/>
        <v>-8.3333333333333329E-2</v>
      </c>
    </row>
    <row r="145" spans="1:34" x14ac:dyDescent="0.25">
      <c r="A145">
        <v>148</v>
      </c>
      <c r="B145" t="s">
        <v>549</v>
      </c>
      <c r="C145">
        <v>2012</v>
      </c>
      <c r="D145">
        <v>2</v>
      </c>
      <c r="E145" s="75"/>
      <c r="F145" s="34" t="s">
        <v>436</v>
      </c>
      <c r="G145">
        <v>5</v>
      </c>
      <c r="H145">
        <f t="shared" si="41"/>
        <v>2017</v>
      </c>
      <c r="K145" s="32">
        <v>14426</v>
      </c>
      <c r="L145" s="32"/>
      <c r="M145" s="32">
        <f t="shared" si="42"/>
        <v>14426</v>
      </c>
      <c r="N145" s="107">
        <f t="shared" si="43"/>
        <v>240.43333333333331</v>
      </c>
      <c r="O145" s="107">
        <f t="shared" si="44"/>
        <v>1683.0333333331146</v>
      </c>
      <c r="P145" s="107">
        <f t="shared" si="45"/>
        <v>0</v>
      </c>
      <c r="Q145" s="107">
        <f t="shared" si="46"/>
        <v>1683.0333333331146</v>
      </c>
      <c r="R145" s="105">
        <v>1</v>
      </c>
      <c r="S145" s="107">
        <f t="shared" si="47"/>
        <v>1683.0333333331146</v>
      </c>
      <c r="T145" s="105"/>
      <c r="U145" s="107">
        <f t="shared" si="48"/>
        <v>12742.966666666885</v>
      </c>
      <c r="V145" s="107">
        <f t="shared" si="49"/>
        <v>12742.966666666885</v>
      </c>
      <c r="W145" s="105">
        <v>1</v>
      </c>
      <c r="X145" s="107">
        <f t="shared" si="50"/>
        <v>12742.966666666885</v>
      </c>
      <c r="Y145" s="107">
        <f t="shared" si="51"/>
        <v>14426</v>
      </c>
      <c r="Z145" s="107">
        <f t="shared" si="52"/>
        <v>841.51666666655728</v>
      </c>
      <c r="AA145" s="107">
        <f t="shared" si="53"/>
        <v>2012.0833333333333</v>
      </c>
      <c r="AB145" s="107">
        <f t="shared" si="54"/>
        <v>2017.5</v>
      </c>
      <c r="AC145" s="107">
        <f t="shared" si="55"/>
        <v>2017.0833333333333</v>
      </c>
      <c r="AD145" s="108">
        <f t="shared" si="56"/>
        <v>2016.5</v>
      </c>
      <c r="AE145" s="108">
        <f t="shared" si="57"/>
        <v>-8.3333333333333329E-2</v>
      </c>
      <c r="AF145" s="108">
        <f t="shared" si="58"/>
        <v>2017.0833333333333</v>
      </c>
      <c r="AG145" s="108">
        <f t="shared" si="59"/>
        <v>2016.5</v>
      </c>
      <c r="AH145" s="108">
        <f t="shared" si="60"/>
        <v>-8.3333333333333329E-2</v>
      </c>
    </row>
    <row r="146" spans="1:34" x14ac:dyDescent="0.25">
      <c r="A146">
        <v>150</v>
      </c>
      <c r="B146" t="s">
        <v>550</v>
      </c>
      <c r="C146">
        <v>2012</v>
      </c>
      <c r="D146">
        <v>10</v>
      </c>
      <c r="E146" s="75"/>
      <c r="F146" s="34" t="s">
        <v>436</v>
      </c>
      <c r="G146">
        <v>5</v>
      </c>
      <c r="H146">
        <f t="shared" si="41"/>
        <v>2017</v>
      </c>
      <c r="K146" s="32">
        <v>18017</v>
      </c>
      <c r="L146" s="32"/>
      <c r="M146" s="32">
        <f t="shared" si="42"/>
        <v>18017</v>
      </c>
      <c r="N146" s="107">
        <f t="shared" si="43"/>
        <v>300.28333333333336</v>
      </c>
      <c r="O146" s="107">
        <f t="shared" si="44"/>
        <v>3603.4000000000005</v>
      </c>
      <c r="P146" s="107">
        <f t="shared" si="45"/>
        <v>0</v>
      </c>
      <c r="Q146" s="107">
        <f t="shared" si="46"/>
        <v>3603.4000000000005</v>
      </c>
      <c r="R146" s="105">
        <v>1</v>
      </c>
      <c r="S146" s="107">
        <f t="shared" si="47"/>
        <v>3603.4000000000005</v>
      </c>
      <c r="T146" s="105"/>
      <c r="U146" s="107">
        <f t="shared" si="48"/>
        <v>13512.750000000002</v>
      </c>
      <c r="V146" s="107">
        <f t="shared" si="49"/>
        <v>13512.750000000002</v>
      </c>
      <c r="W146" s="105">
        <v>1</v>
      </c>
      <c r="X146" s="107">
        <f t="shared" si="50"/>
        <v>13512.750000000002</v>
      </c>
      <c r="Y146" s="107">
        <f t="shared" si="51"/>
        <v>17116.150000000001</v>
      </c>
      <c r="Z146" s="107">
        <f t="shared" si="52"/>
        <v>2702.5499999999984</v>
      </c>
      <c r="AA146" s="107">
        <f t="shared" si="53"/>
        <v>2012.75</v>
      </c>
      <c r="AB146" s="107">
        <f t="shared" si="54"/>
        <v>2017.5</v>
      </c>
      <c r="AC146" s="107">
        <f t="shared" si="55"/>
        <v>2017.75</v>
      </c>
      <c r="AD146" s="108">
        <f t="shared" si="56"/>
        <v>2016.5</v>
      </c>
      <c r="AE146" s="108">
        <f t="shared" si="57"/>
        <v>-8.3333333333333329E-2</v>
      </c>
      <c r="AF146" s="108">
        <f t="shared" si="58"/>
        <v>2017.75</v>
      </c>
      <c r="AG146" s="108">
        <f t="shared" si="59"/>
        <v>2016.5</v>
      </c>
      <c r="AH146" s="108">
        <f t="shared" si="60"/>
        <v>-8.3333333333333329E-2</v>
      </c>
    </row>
    <row r="147" spans="1:34" x14ac:dyDescent="0.25">
      <c r="A147">
        <v>151</v>
      </c>
      <c r="B147" t="s">
        <v>551</v>
      </c>
      <c r="C147">
        <v>2012</v>
      </c>
      <c r="D147">
        <v>7</v>
      </c>
      <c r="E147" s="75"/>
      <c r="F147" s="34" t="s">
        <v>436</v>
      </c>
      <c r="G147">
        <v>5</v>
      </c>
      <c r="H147">
        <f t="shared" si="41"/>
        <v>2017</v>
      </c>
      <c r="K147" s="32">
        <v>5816</v>
      </c>
      <c r="L147" s="32"/>
      <c r="M147" s="32">
        <f t="shared" si="42"/>
        <v>5816</v>
      </c>
      <c r="N147" s="107">
        <f t="shared" si="43"/>
        <v>96.933333333333337</v>
      </c>
      <c r="O147" s="107">
        <f t="shared" si="44"/>
        <v>1163.2</v>
      </c>
      <c r="P147" s="107">
        <f t="shared" si="45"/>
        <v>0</v>
      </c>
      <c r="Q147" s="107">
        <f t="shared" si="46"/>
        <v>1163.2</v>
      </c>
      <c r="R147" s="105">
        <v>1</v>
      </c>
      <c r="S147" s="107">
        <f t="shared" si="47"/>
        <v>1163.2</v>
      </c>
      <c r="T147" s="105"/>
      <c r="U147" s="107">
        <f t="shared" si="48"/>
        <v>4652.8</v>
      </c>
      <c r="V147" s="107">
        <f t="shared" si="49"/>
        <v>4652.8</v>
      </c>
      <c r="W147" s="105">
        <v>1</v>
      </c>
      <c r="X147" s="107">
        <f t="shared" si="50"/>
        <v>4652.8</v>
      </c>
      <c r="Y147" s="107">
        <f t="shared" si="51"/>
        <v>5816</v>
      </c>
      <c r="Z147" s="107">
        <f t="shared" si="52"/>
        <v>581.59999999999991</v>
      </c>
      <c r="AA147" s="107">
        <f t="shared" si="53"/>
        <v>2012.5</v>
      </c>
      <c r="AB147" s="107">
        <f t="shared" si="54"/>
        <v>2017.5</v>
      </c>
      <c r="AC147" s="107">
        <f t="shared" si="55"/>
        <v>2017.5</v>
      </c>
      <c r="AD147" s="108">
        <f t="shared" si="56"/>
        <v>2016.5</v>
      </c>
      <c r="AE147" s="108">
        <f t="shared" si="57"/>
        <v>-8.3333333333333329E-2</v>
      </c>
      <c r="AF147" s="108">
        <f t="shared" si="58"/>
        <v>2017.5</v>
      </c>
      <c r="AG147" s="108">
        <f t="shared" si="59"/>
        <v>2016.5</v>
      </c>
      <c r="AH147" s="108">
        <f t="shared" si="60"/>
        <v>-8.3333333333333329E-2</v>
      </c>
    </row>
    <row r="148" spans="1:34" x14ac:dyDescent="0.25">
      <c r="A148">
        <v>152</v>
      </c>
      <c r="B148" t="s">
        <v>552</v>
      </c>
      <c r="C148">
        <v>2012</v>
      </c>
      <c r="D148">
        <v>10</v>
      </c>
      <c r="E148" s="75"/>
      <c r="F148" s="34" t="s">
        <v>436</v>
      </c>
      <c r="G148">
        <v>5</v>
      </c>
      <c r="H148">
        <f t="shared" si="41"/>
        <v>2017</v>
      </c>
      <c r="K148" s="32">
        <v>8345</v>
      </c>
      <c r="L148" s="32"/>
      <c r="M148" s="32">
        <f t="shared" si="42"/>
        <v>8345</v>
      </c>
      <c r="N148" s="107">
        <f t="shared" si="43"/>
        <v>139.08333333333334</v>
      </c>
      <c r="O148" s="107">
        <f t="shared" si="44"/>
        <v>1669</v>
      </c>
      <c r="P148" s="107">
        <f t="shared" si="45"/>
        <v>0</v>
      </c>
      <c r="Q148" s="107">
        <f t="shared" si="46"/>
        <v>1669</v>
      </c>
      <c r="R148" s="105">
        <v>1</v>
      </c>
      <c r="S148" s="107">
        <f t="shared" si="47"/>
        <v>1669</v>
      </c>
      <c r="T148" s="105"/>
      <c r="U148" s="107">
        <f t="shared" si="48"/>
        <v>6258.75</v>
      </c>
      <c r="V148" s="107">
        <f t="shared" si="49"/>
        <v>6258.75</v>
      </c>
      <c r="W148" s="105">
        <v>1</v>
      </c>
      <c r="X148" s="107">
        <f t="shared" si="50"/>
        <v>6258.75</v>
      </c>
      <c r="Y148" s="107">
        <f t="shared" si="51"/>
        <v>7927.75</v>
      </c>
      <c r="Z148" s="107">
        <f t="shared" si="52"/>
        <v>1251.75</v>
      </c>
      <c r="AA148" s="107">
        <f t="shared" si="53"/>
        <v>2012.75</v>
      </c>
      <c r="AB148" s="107">
        <f t="shared" si="54"/>
        <v>2017.5</v>
      </c>
      <c r="AC148" s="107">
        <f t="shared" si="55"/>
        <v>2017.75</v>
      </c>
      <c r="AD148" s="108">
        <f t="shared" si="56"/>
        <v>2016.5</v>
      </c>
      <c r="AE148" s="108">
        <f t="shared" si="57"/>
        <v>-8.3333333333333329E-2</v>
      </c>
      <c r="AF148" s="108">
        <f t="shared" si="58"/>
        <v>2017.75</v>
      </c>
      <c r="AG148" s="108">
        <f t="shared" si="59"/>
        <v>2016.5</v>
      </c>
      <c r="AH148" s="108">
        <f t="shared" si="60"/>
        <v>-8.3333333333333329E-2</v>
      </c>
    </row>
    <row r="149" spans="1:34" x14ac:dyDescent="0.25">
      <c r="A149">
        <v>153</v>
      </c>
      <c r="B149" t="s">
        <v>553</v>
      </c>
      <c r="C149">
        <v>2012</v>
      </c>
      <c r="D149">
        <v>11</v>
      </c>
      <c r="E149" s="75"/>
      <c r="F149" s="34" t="s">
        <v>436</v>
      </c>
      <c r="G149">
        <v>10</v>
      </c>
      <c r="H149">
        <f t="shared" si="41"/>
        <v>2022</v>
      </c>
      <c r="K149" s="32">
        <v>13345</v>
      </c>
      <c r="L149" s="32"/>
      <c r="M149" s="32">
        <f t="shared" si="42"/>
        <v>13345</v>
      </c>
      <c r="N149" s="107">
        <f t="shared" si="43"/>
        <v>111.20833333333333</v>
      </c>
      <c r="O149" s="107">
        <f t="shared" si="44"/>
        <v>1334.5</v>
      </c>
      <c r="P149" s="107">
        <f t="shared" si="45"/>
        <v>0</v>
      </c>
      <c r="Q149" s="107">
        <f t="shared" si="46"/>
        <v>1334.5</v>
      </c>
      <c r="R149" s="105">
        <v>1</v>
      </c>
      <c r="S149" s="107">
        <f t="shared" si="47"/>
        <v>1334.5</v>
      </c>
      <c r="T149" s="105"/>
      <c r="U149" s="107">
        <f t="shared" si="48"/>
        <v>4893.1666666667679</v>
      </c>
      <c r="V149" s="107">
        <f t="shared" si="49"/>
        <v>4893.1666666667679</v>
      </c>
      <c r="W149" s="105">
        <v>1</v>
      </c>
      <c r="X149" s="107">
        <f t="shared" si="50"/>
        <v>4893.1666666667679</v>
      </c>
      <c r="Y149" s="107">
        <f t="shared" si="51"/>
        <v>6227.6666666667679</v>
      </c>
      <c r="Z149" s="107">
        <f t="shared" si="52"/>
        <v>7784.5833333332321</v>
      </c>
      <c r="AA149" s="107">
        <f t="shared" si="53"/>
        <v>2012.8333333333333</v>
      </c>
      <c r="AB149" s="107">
        <f t="shared" si="54"/>
        <v>2017.5</v>
      </c>
      <c r="AC149" s="107">
        <f t="shared" si="55"/>
        <v>2022.8333333333333</v>
      </c>
      <c r="AD149" s="108">
        <f t="shared" si="56"/>
        <v>2016.5</v>
      </c>
      <c r="AE149" s="108">
        <f t="shared" si="57"/>
        <v>-8.3333333333333329E-2</v>
      </c>
      <c r="AF149" s="108">
        <f t="shared" si="58"/>
        <v>2022.8333333333333</v>
      </c>
      <c r="AG149" s="108">
        <f t="shared" si="59"/>
        <v>2016.5</v>
      </c>
      <c r="AH149" s="108">
        <f t="shared" si="60"/>
        <v>-8.3333333333333329E-2</v>
      </c>
    </row>
    <row r="150" spans="1:34" x14ac:dyDescent="0.25">
      <c r="A150">
        <v>154</v>
      </c>
      <c r="B150" t="s">
        <v>554</v>
      </c>
      <c r="C150">
        <v>2012</v>
      </c>
      <c r="D150">
        <v>11</v>
      </c>
      <c r="E150" s="75"/>
      <c r="F150" s="34" t="s">
        <v>436</v>
      </c>
      <c r="G150">
        <v>10</v>
      </c>
      <c r="H150">
        <f t="shared" si="41"/>
        <v>2022</v>
      </c>
      <c r="K150" s="32">
        <v>17500</v>
      </c>
      <c r="L150" s="32"/>
      <c r="M150" s="32">
        <f t="shared" si="42"/>
        <v>17500</v>
      </c>
      <c r="N150" s="107">
        <f t="shared" si="43"/>
        <v>145.83333333333334</v>
      </c>
      <c r="O150" s="107">
        <f t="shared" si="44"/>
        <v>1750</v>
      </c>
      <c r="P150" s="107">
        <f t="shared" si="45"/>
        <v>0</v>
      </c>
      <c r="Q150" s="107">
        <f t="shared" si="46"/>
        <v>1750</v>
      </c>
      <c r="R150" s="105">
        <v>1</v>
      </c>
      <c r="S150" s="107">
        <f t="shared" si="47"/>
        <v>1750</v>
      </c>
      <c r="T150" s="105"/>
      <c r="U150" s="107">
        <f t="shared" si="48"/>
        <v>6416.6666666667998</v>
      </c>
      <c r="V150" s="107">
        <f t="shared" si="49"/>
        <v>6416.6666666667998</v>
      </c>
      <c r="W150" s="105">
        <v>1</v>
      </c>
      <c r="X150" s="107">
        <f t="shared" si="50"/>
        <v>6416.6666666667998</v>
      </c>
      <c r="Y150" s="107">
        <f t="shared" si="51"/>
        <v>8166.6666666667998</v>
      </c>
      <c r="Z150" s="107">
        <f t="shared" si="52"/>
        <v>10208.333333333201</v>
      </c>
      <c r="AA150" s="107">
        <f t="shared" si="53"/>
        <v>2012.8333333333333</v>
      </c>
      <c r="AB150" s="107">
        <f t="shared" si="54"/>
        <v>2017.5</v>
      </c>
      <c r="AC150" s="107">
        <f t="shared" si="55"/>
        <v>2022.8333333333333</v>
      </c>
      <c r="AD150" s="108">
        <f t="shared" si="56"/>
        <v>2016.5</v>
      </c>
      <c r="AE150" s="108">
        <f t="shared" si="57"/>
        <v>-8.3333333333333329E-2</v>
      </c>
      <c r="AF150" s="108">
        <f t="shared" si="58"/>
        <v>2022.8333333333333</v>
      </c>
      <c r="AG150" s="108">
        <f t="shared" si="59"/>
        <v>2016.5</v>
      </c>
      <c r="AH150" s="108">
        <f t="shared" si="60"/>
        <v>-8.3333333333333329E-2</v>
      </c>
    </row>
    <row r="151" spans="1:34" x14ac:dyDescent="0.25">
      <c r="A151">
        <v>155</v>
      </c>
      <c r="B151" t="s">
        <v>555</v>
      </c>
      <c r="C151">
        <v>2012</v>
      </c>
      <c r="D151">
        <v>11</v>
      </c>
      <c r="E151" s="75"/>
      <c r="F151" s="34" t="s">
        <v>436</v>
      </c>
      <c r="G151">
        <v>10</v>
      </c>
      <c r="H151">
        <f t="shared" ref="H151:H214" si="61">+C151+G151</f>
        <v>2022</v>
      </c>
      <c r="K151" s="32">
        <v>17500</v>
      </c>
      <c r="L151" s="32"/>
      <c r="M151" s="32">
        <f t="shared" ref="M151:M214" si="62">+K151-K151*E151</f>
        <v>17500</v>
      </c>
      <c r="N151" s="107">
        <f t="shared" ref="N151:N214" si="63">M151/G151/12</f>
        <v>145.83333333333334</v>
      </c>
      <c r="O151" s="107">
        <f t="shared" ref="O151:O214" si="64">IF(L151&gt;0,0,IF((OR((AA151&gt;AB151),(AC151&lt;AD151))),0,IF((AND((AC151&gt;=AD151),(AC151&lt;=AB151))),N151*((AC151-AD151)*12),IF((AND((AD151&lt;=AA151),(AB151&gt;=AA151))),((AB151-AA151)*12)*N151,IF(AC151&gt;AB151,12*N151,0)))))</f>
        <v>1750</v>
      </c>
      <c r="P151" s="107">
        <f t="shared" ref="P151:P214" si="65">IF(L151=0,0,IF((AND((AE151&gt;=AD151),(AE151&lt;=AC151))),((AE151-AD151)*12)*N151,0))</f>
        <v>0</v>
      </c>
      <c r="Q151" s="107">
        <f t="shared" ref="Q151:Q214" si="66">IF(P151&gt;0,P151,O151)</f>
        <v>1750</v>
      </c>
      <c r="R151" s="105">
        <v>1</v>
      </c>
      <c r="S151" s="107">
        <f t="shared" ref="S151:S214" si="67">R151*SUM(O151:P151)</f>
        <v>1750</v>
      </c>
      <c r="T151" s="105"/>
      <c r="U151" s="107">
        <f t="shared" ref="U151:U214" si="68">IF(AA151&gt;AB151,0,IF(AC151&lt;AD151,M151,IF((AND((AC151&gt;=AD151),(AC151&lt;=AB151))),(M151-Q151),IF((AND((AD151&lt;=AA151),(AB151&gt;=AA151))),0,IF(AC151&gt;AB151,((AD151-AA151)*12)*N151,0)))))</f>
        <v>6416.6666666667998</v>
      </c>
      <c r="V151" s="107">
        <f t="shared" ref="V151:V214" si="69">U151*R151</f>
        <v>6416.6666666667998</v>
      </c>
      <c r="W151" s="105">
        <v>1</v>
      </c>
      <c r="X151" s="107">
        <f t="shared" ref="X151:X214" si="70">V151*W151</f>
        <v>6416.6666666667998</v>
      </c>
      <c r="Y151" s="107">
        <f t="shared" ref="Y151:Y214" si="71">IF(L151&gt;0,0,X151+S151*W151)*W151</f>
        <v>8166.6666666667998</v>
      </c>
      <c r="Z151" s="107">
        <f t="shared" ref="Z151:Z214" si="72">IF(L151&gt;0,(K151-X151)/2,IF(AA151&gt;=AD151,(((K151*R151)*W151)-Y151)/2,((((K151*R151)*W151)-X151)+(((K151*R151)*W151)-Y151))/2))</f>
        <v>10208.333333333201</v>
      </c>
      <c r="AA151" s="107">
        <f t="shared" ref="AA151:AA214" si="73">$C151+(($D151-1)/12)</f>
        <v>2012.8333333333333</v>
      </c>
      <c r="AB151" s="107">
        <f t="shared" ref="AB151:AB214" si="74">($M$5+1)-($M$2/12)</f>
        <v>2017.5</v>
      </c>
      <c r="AC151" s="107">
        <f t="shared" ref="AC151:AC214" si="75">$H151+(($D151-1)/12)</f>
        <v>2022.8333333333333</v>
      </c>
      <c r="AD151" s="108">
        <f t="shared" ref="AD151:AD214" si="76">$M$4+($M$3/12)</f>
        <v>2016.5</v>
      </c>
      <c r="AE151" s="108">
        <f t="shared" ref="AE151:AE214" si="77">$I151+(($J151-1)/12)</f>
        <v>-8.3333333333333329E-2</v>
      </c>
      <c r="AF151" s="108">
        <f t="shared" ref="AF151:AF214" si="78">$H151+(($D151-1)/12)</f>
        <v>2022.8333333333333</v>
      </c>
      <c r="AG151" s="108">
        <f t="shared" ref="AG151:AG214" si="79">$M$4+($M$3/12)</f>
        <v>2016.5</v>
      </c>
      <c r="AH151" s="108">
        <f t="shared" ref="AH151:AH214" si="80">$I151+(($J151-1)/12)</f>
        <v>-8.3333333333333329E-2</v>
      </c>
    </row>
    <row r="152" spans="1:34" x14ac:dyDescent="0.25">
      <c r="A152">
        <v>156</v>
      </c>
      <c r="B152" t="s">
        <v>556</v>
      </c>
      <c r="C152">
        <v>2012</v>
      </c>
      <c r="D152">
        <v>11</v>
      </c>
      <c r="E152" s="75"/>
      <c r="F152" s="34" t="s">
        <v>436</v>
      </c>
      <c r="G152">
        <v>10</v>
      </c>
      <c r="H152">
        <f t="shared" si="61"/>
        <v>2022</v>
      </c>
      <c r="K152" s="32">
        <v>6100</v>
      </c>
      <c r="L152" s="32"/>
      <c r="M152" s="32">
        <f t="shared" si="62"/>
        <v>6100</v>
      </c>
      <c r="N152" s="107">
        <f t="shared" si="63"/>
        <v>50.833333333333336</v>
      </c>
      <c r="O152" s="107">
        <f t="shared" si="64"/>
        <v>610</v>
      </c>
      <c r="P152" s="107">
        <f t="shared" si="65"/>
        <v>0</v>
      </c>
      <c r="Q152" s="107">
        <f t="shared" si="66"/>
        <v>610</v>
      </c>
      <c r="R152" s="105">
        <v>1</v>
      </c>
      <c r="S152" s="107">
        <f t="shared" si="67"/>
        <v>610</v>
      </c>
      <c r="T152" s="105"/>
      <c r="U152" s="107">
        <f t="shared" si="68"/>
        <v>2236.6666666667129</v>
      </c>
      <c r="V152" s="107">
        <f t="shared" si="69"/>
        <v>2236.6666666667129</v>
      </c>
      <c r="W152" s="105">
        <v>1</v>
      </c>
      <c r="X152" s="107">
        <f t="shared" si="70"/>
        <v>2236.6666666667129</v>
      </c>
      <c r="Y152" s="107">
        <f t="shared" si="71"/>
        <v>2846.6666666667129</v>
      </c>
      <c r="Z152" s="107">
        <f t="shared" si="72"/>
        <v>3558.3333333332871</v>
      </c>
      <c r="AA152" s="107">
        <f t="shared" si="73"/>
        <v>2012.8333333333333</v>
      </c>
      <c r="AB152" s="107">
        <f t="shared" si="74"/>
        <v>2017.5</v>
      </c>
      <c r="AC152" s="107">
        <f t="shared" si="75"/>
        <v>2022.8333333333333</v>
      </c>
      <c r="AD152" s="108">
        <f t="shared" si="76"/>
        <v>2016.5</v>
      </c>
      <c r="AE152" s="108">
        <f t="shared" si="77"/>
        <v>-8.3333333333333329E-2</v>
      </c>
      <c r="AF152" s="108">
        <f t="shared" si="78"/>
        <v>2022.8333333333333</v>
      </c>
      <c r="AG152" s="108">
        <f t="shared" si="79"/>
        <v>2016.5</v>
      </c>
      <c r="AH152" s="108">
        <f t="shared" si="80"/>
        <v>-8.3333333333333329E-2</v>
      </c>
    </row>
    <row r="153" spans="1:34" x14ac:dyDescent="0.25">
      <c r="A153">
        <v>157</v>
      </c>
      <c r="B153" t="s">
        <v>556</v>
      </c>
      <c r="C153">
        <v>2012</v>
      </c>
      <c r="D153">
        <v>11</v>
      </c>
      <c r="E153" s="75"/>
      <c r="F153" s="34" t="s">
        <v>436</v>
      </c>
      <c r="G153">
        <v>10</v>
      </c>
      <c r="H153">
        <f t="shared" si="61"/>
        <v>2022</v>
      </c>
      <c r="K153" s="32">
        <v>6322</v>
      </c>
      <c r="L153" s="32"/>
      <c r="M153" s="32">
        <f t="shared" si="62"/>
        <v>6322</v>
      </c>
      <c r="N153" s="107">
        <f t="shared" si="63"/>
        <v>52.683333333333337</v>
      </c>
      <c r="O153" s="107">
        <f t="shared" si="64"/>
        <v>632.20000000000005</v>
      </c>
      <c r="P153" s="107">
        <f t="shared" si="65"/>
        <v>0</v>
      </c>
      <c r="Q153" s="107">
        <f t="shared" si="66"/>
        <v>632.20000000000005</v>
      </c>
      <c r="R153" s="105">
        <v>1</v>
      </c>
      <c r="S153" s="107">
        <f t="shared" si="67"/>
        <v>632.20000000000005</v>
      </c>
      <c r="T153" s="105"/>
      <c r="U153" s="107">
        <f t="shared" si="68"/>
        <v>2318.0666666667148</v>
      </c>
      <c r="V153" s="107">
        <f t="shared" si="69"/>
        <v>2318.0666666667148</v>
      </c>
      <c r="W153" s="105">
        <v>1</v>
      </c>
      <c r="X153" s="107">
        <f t="shared" si="70"/>
        <v>2318.0666666667148</v>
      </c>
      <c r="Y153" s="107">
        <f t="shared" si="71"/>
        <v>2950.2666666667146</v>
      </c>
      <c r="Z153" s="107">
        <f t="shared" si="72"/>
        <v>3687.8333333332853</v>
      </c>
      <c r="AA153" s="107">
        <f t="shared" si="73"/>
        <v>2012.8333333333333</v>
      </c>
      <c r="AB153" s="107">
        <f t="shared" si="74"/>
        <v>2017.5</v>
      </c>
      <c r="AC153" s="107">
        <f t="shared" si="75"/>
        <v>2022.8333333333333</v>
      </c>
      <c r="AD153" s="108">
        <f t="shared" si="76"/>
        <v>2016.5</v>
      </c>
      <c r="AE153" s="108">
        <f t="shared" si="77"/>
        <v>-8.3333333333333329E-2</v>
      </c>
      <c r="AF153" s="108">
        <f t="shared" si="78"/>
        <v>2022.8333333333333</v>
      </c>
      <c r="AG153" s="108">
        <f t="shared" si="79"/>
        <v>2016.5</v>
      </c>
      <c r="AH153" s="108">
        <f t="shared" si="80"/>
        <v>-8.3333333333333329E-2</v>
      </c>
    </row>
    <row r="154" spans="1:34" x14ac:dyDescent="0.25">
      <c r="A154">
        <v>158</v>
      </c>
      <c r="B154" t="s">
        <v>556</v>
      </c>
      <c r="C154">
        <v>2012</v>
      </c>
      <c r="D154">
        <v>11</v>
      </c>
      <c r="E154" s="75"/>
      <c r="F154" s="34" t="s">
        <v>436</v>
      </c>
      <c r="G154">
        <v>10</v>
      </c>
      <c r="H154">
        <f t="shared" si="61"/>
        <v>2022</v>
      </c>
      <c r="K154" s="32">
        <v>16500</v>
      </c>
      <c r="L154" s="32"/>
      <c r="M154" s="32">
        <f t="shared" si="62"/>
        <v>16500</v>
      </c>
      <c r="N154" s="107">
        <f t="shared" si="63"/>
        <v>137.5</v>
      </c>
      <c r="O154" s="107">
        <f t="shared" si="64"/>
        <v>1650</v>
      </c>
      <c r="P154" s="107">
        <f t="shared" si="65"/>
        <v>0</v>
      </c>
      <c r="Q154" s="107">
        <f t="shared" si="66"/>
        <v>1650</v>
      </c>
      <c r="R154" s="105">
        <v>1</v>
      </c>
      <c r="S154" s="107">
        <f t="shared" si="67"/>
        <v>1650</v>
      </c>
      <c r="T154" s="105"/>
      <c r="U154" s="107">
        <f t="shared" si="68"/>
        <v>6050.0000000001255</v>
      </c>
      <c r="V154" s="107">
        <f t="shared" si="69"/>
        <v>6050.0000000001255</v>
      </c>
      <c r="W154" s="105">
        <v>1</v>
      </c>
      <c r="X154" s="107">
        <f t="shared" si="70"/>
        <v>6050.0000000001255</v>
      </c>
      <c r="Y154" s="107">
        <f t="shared" si="71"/>
        <v>7700.0000000001255</v>
      </c>
      <c r="Z154" s="107">
        <f t="shared" si="72"/>
        <v>9624.9999999998745</v>
      </c>
      <c r="AA154" s="107">
        <f t="shared" si="73"/>
        <v>2012.8333333333333</v>
      </c>
      <c r="AB154" s="107">
        <f t="shared" si="74"/>
        <v>2017.5</v>
      </c>
      <c r="AC154" s="107">
        <f t="shared" si="75"/>
        <v>2022.8333333333333</v>
      </c>
      <c r="AD154" s="108">
        <f t="shared" si="76"/>
        <v>2016.5</v>
      </c>
      <c r="AE154" s="108">
        <f t="shared" si="77"/>
        <v>-8.3333333333333329E-2</v>
      </c>
      <c r="AF154" s="108">
        <f t="shared" si="78"/>
        <v>2022.8333333333333</v>
      </c>
      <c r="AG154" s="108">
        <f t="shared" si="79"/>
        <v>2016.5</v>
      </c>
      <c r="AH154" s="108">
        <f t="shared" si="80"/>
        <v>-8.3333333333333329E-2</v>
      </c>
    </row>
    <row r="155" spans="1:34" x14ac:dyDescent="0.25">
      <c r="A155">
        <v>159</v>
      </c>
      <c r="B155" t="s">
        <v>557</v>
      </c>
      <c r="C155">
        <v>2012</v>
      </c>
      <c r="D155">
        <v>12</v>
      </c>
      <c r="E155" s="75"/>
      <c r="F155" s="34" t="s">
        <v>436</v>
      </c>
      <c r="G155">
        <v>10</v>
      </c>
      <c r="H155">
        <f t="shared" si="61"/>
        <v>2022</v>
      </c>
      <c r="K155" s="32">
        <v>13788</v>
      </c>
      <c r="L155" s="32"/>
      <c r="M155" s="32">
        <f t="shared" si="62"/>
        <v>13788</v>
      </c>
      <c r="N155" s="107">
        <f t="shared" si="63"/>
        <v>114.89999999999999</v>
      </c>
      <c r="O155" s="107">
        <f t="shared" si="64"/>
        <v>1378.8</v>
      </c>
      <c r="P155" s="107">
        <f t="shared" si="65"/>
        <v>0</v>
      </c>
      <c r="Q155" s="107">
        <f t="shared" si="66"/>
        <v>1378.8</v>
      </c>
      <c r="R155" s="105">
        <v>1</v>
      </c>
      <c r="S155" s="107">
        <f t="shared" si="67"/>
        <v>1378.8</v>
      </c>
      <c r="T155" s="105"/>
      <c r="U155" s="107">
        <f t="shared" si="68"/>
        <v>4940.6999999998952</v>
      </c>
      <c r="V155" s="107">
        <f t="shared" si="69"/>
        <v>4940.6999999998952</v>
      </c>
      <c r="W155" s="105">
        <v>1</v>
      </c>
      <c r="X155" s="107">
        <f t="shared" si="70"/>
        <v>4940.6999999998952</v>
      </c>
      <c r="Y155" s="107">
        <f t="shared" si="71"/>
        <v>6319.4999999998954</v>
      </c>
      <c r="Z155" s="107">
        <f t="shared" si="72"/>
        <v>8157.9000000001051</v>
      </c>
      <c r="AA155" s="107">
        <f t="shared" si="73"/>
        <v>2012.9166666666667</v>
      </c>
      <c r="AB155" s="107">
        <f t="shared" si="74"/>
        <v>2017.5</v>
      </c>
      <c r="AC155" s="107">
        <f t="shared" si="75"/>
        <v>2022.9166666666667</v>
      </c>
      <c r="AD155" s="108">
        <f t="shared" si="76"/>
        <v>2016.5</v>
      </c>
      <c r="AE155" s="108">
        <f t="shared" si="77"/>
        <v>-8.3333333333333329E-2</v>
      </c>
      <c r="AF155" s="108">
        <f t="shared" si="78"/>
        <v>2022.9166666666667</v>
      </c>
      <c r="AG155" s="108">
        <f t="shared" si="79"/>
        <v>2016.5</v>
      </c>
      <c r="AH155" s="108">
        <f t="shared" si="80"/>
        <v>-8.3333333333333329E-2</v>
      </c>
    </row>
    <row r="156" spans="1:34" x14ac:dyDescent="0.25">
      <c r="A156">
        <v>160</v>
      </c>
      <c r="B156" t="s">
        <v>558</v>
      </c>
      <c r="C156">
        <v>2012</v>
      </c>
      <c r="D156">
        <v>8</v>
      </c>
      <c r="E156" s="75"/>
      <c r="F156" s="34" t="s">
        <v>436</v>
      </c>
      <c r="G156">
        <v>10</v>
      </c>
      <c r="H156">
        <f t="shared" si="61"/>
        <v>2022</v>
      </c>
      <c r="K156" s="32">
        <v>1937</v>
      </c>
      <c r="L156" s="32"/>
      <c r="M156" s="32">
        <f t="shared" si="62"/>
        <v>1937</v>
      </c>
      <c r="N156" s="107">
        <f t="shared" si="63"/>
        <v>16.141666666666666</v>
      </c>
      <c r="O156" s="107">
        <f t="shared" si="64"/>
        <v>193.7</v>
      </c>
      <c r="P156" s="107">
        <f t="shared" si="65"/>
        <v>0</v>
      </c>
      <c r="Q156" s="107">
        <f t="shared" si="66"/>
        <v>193.7</v>
      </c>
      <c r="R156" s="105">
        <v>1</v>
      </c>
      <c r="S156" s="107">
        <f t="shared" si="67"/>
        <v>193.7</v>
      </c>
      <c r="T156" s="105"/>
      <c r="U156" s="107">
        <f t="shared" si="68"/>
        <v>758.65833333334797</v>
      </c>
      <c r="V156" s="107">
        <f t="shared" si="69"/>
        <v>758.65833333334797</v>
      </c>
      <c r="W156" s="105">
        <v>1</v>
      </c>
      <c r="X156" s="107">
        <f t="shared" si="70"/>
        <v>758.65833333334797</v>
      </c>
      <c r="Y156" s="107">
        <f t="shared" si="71"/>
        <v>952.3583333333479</v>
      </c>
      <c r="Z156" s="107">
        <f t="shared" si="72"/>
        <v>1081.4916666666522</v>
      </c>
      <c r="AA156" s="107">
        <f t="shared" si="73"/>
        <v>2012.5833333333333</v>
      </c>
      <c r="AB156" s="107">
        <f t="shared" si="74"/>
        <v>2017.5</v>
      </c>
      <c r="AC156" s="107">
        <f t="shared" si="75"/>
        <v>2022.5833333333333</v>
      </c>
      <c r="AD156" s="108">
        <f t="shared" si="76"/>
        <v>2016.5</v>
      </c>
      <c r="AE156" s="108">
        <f t="shared" si="77"/>
        <v>-8.3333333333333329E-2</v>
      </c>
      <c r="AF156" s="108">
        <f t="shared" si="78"/>
        <v>2022.5833333333333</v>
      </c>
      <c r="AG156" s="108">
        <f t="shared" si="79"/>
        <v>2016.5</v>
      </c>
      <c r="AH156" s="108">
        <f t="shared" si="80"/>
        <v>-8.3333333333333329E-2</v>
      </c>
    </row>
    <row r="157" spans="1:34" x14ac:dyDescent="0.25">
      <c r="A157">
        <v>161</v>
      </c>
      <c r="B157" t="s">
        <v>558</v>
      </c>
      <c r="C157">
        <v>2012</v>
      </c>
      <c r="D157">
        <v>8</v>
      </c>
      <c r="E157" s="75"/>
      <c r="F157" s="34" t="s">
        <v>436</v>
      </c>
      <c r="G157">
        <v>10</v>
      </c>
      <c r="H157">
        <f t="shared" si="61"/>
        <v>2022</v>
      </c>
      <c r="K157" s="32">
        <v>6371</v>
      </c>
      <c r="L157" s="32"/>
      <c r="M157" s="32">
        <f t="shared" si="62"/>
        <v>6371</v>
      </c>
      <c r="N157" s="107">
        <f t="shared" si="63"/>
        <v>53.091666666666669</v>
      </c>
      <c r="O157" s="107">
        <f t="shared" si="64"/>
        <v>637.1</v>
      </c>
      <c r="P157" s="107">
        <f t="shared" si="65"/>
        <v>0</v>
      </c>
      <c r="Q157" s="107">
        <f t="shared" si="66"/>
        <v>637.1</v>
      </c>
      <c r="R157" s="105">
        <v>1</v>
      </c>
      <c r="S157" s="107">
        <f t="shared" si="67"/>
        <v>637.1</v>
      </c>
      <c r="T157" s="105"/>
      <c r="U157" s="107">
        <f t="shared" si="68"/>
        <v>2495.3083333333816</v>
      </c>
      <c r="V157" s="107">
        <f t="shared" si="69"/>
        <v>2495.3083333333816</v>
      </c>
      <c r="W157" s="105">
        <v>1</v>
      </c>
      <c r="X157" s="107">
        <f t="shared" si="70"/>
        <v>2495.3083333333816</v>
      </c>
      <c r="Y157" s="107">
        <f t="shared" si="71"/>
        <v>3132.4083333333815</v>
      </c>
      <c r="Z157" s="107">
        <f t="shared" si="72"/>
        <v>3557.1416666666182</v>
      </c>
      <c r="AA157" s="107">
        <f t="shared" si="73"/>
        <v>2012.5833333333333</v>
      </c>
      <c r="AB157" s="107">
        <f t="shared" si="74"/>
        <v>2017.5</v>
      </c>
      <c r="AC157" s="107">
        <f t="shared" si="75"/>
        <v>2022.5833333333333</v>
      </c>
      <c r="AD157" s="108">
        <f t="shared" si="76"/>
        <v>2016.5</v>
      </c>
      <c r="AE157" s="108">
        <f t="shared" si="77"/>
        <v>-8.3333333333333329E-2</v>
      </c>
      <c r="AF157" s="108">
        <f t="shared" si="78"/>
        <v>2022.5833333333333</v>
      </c>
      <c r="AG157" s="108">
        <f t="shared" si="79"/>
        <v>2016.5</v>
      </c>
      <c r="AH157" s="108">
        <f t="shared" si="80"/>
        <v>-8.3333333333333329E-2</v>
      </c>
    </row>
    <row r="158" spans="1:34" x14ac:dyDescent="0.25">
      <c r="A158">
        <v>162</v>
      </c>
      <c r="B158" t="s">
        <v>559</v>
      </c>
      <c r="C158">
        <v>2012</v>
      </c>
      <c r="D158">
        <v>9</v>
      </c>
      <c r="E158" s="75"/>
      <c r="F158" s="34" t="s">
        <v>436</v>
      </c>
      <c r="G158">
        <v>7</v>
      </c>
      <c r="H158">
        <f t="shared" si="61"/>
        <v>2019</v>
      </c>
      <c r="K158" s="32">
        <v>6155</v>
      </c>
      <c r="L158" s="32"/>
      <c r="M158" s="32">
        <f t="shared" si="62"/>
        <v>6155</v>
      </c>
      <c r="N158" s="107">
        <f t="shared" si="63"/>
        <v>73.273809523809533</v>
      </c>
      <c r="O158" s="107">
        <f t="shared" si="64"/>
        <v>879.28571428571445</v>
      </c>
      <c r="P158" s="107">
        <f t="shared" si="65"/>
        <v>0</v>
      </c>
      <c r="Q158" s="107">
        <f t="shared" si="66"/>
        <v>879.28571428571445</v>
      </c>
      <c r="R158" s="105">
        <v>1</v>
      </c>
      <c r="S158" s="107">
        <f t="shared" si="67"/>
        <v>879.28571428571445</v>
      </c>
      <c r="T158" s="105"/>
      <c r="U158" s="107">
        <f t="shared" si="68"/>
        <v>3370.5952380951717</v>
      </c>
      <c r="V158" s="107">
        <f t="shared" si="69"/>
        <v>3370.5952380951717</v>
      </c>
      <c r="W158" s="105">
        <v>1</v>
      </c>
      <c r="X158" s="107">
        <f t="shared" si="70"/>
        <v>3370.5952380951717</v>
      </c>
      <c r="Y158" s="107">
        <f t="shared" si="71"/>
        <v>4249.8809523808859</v>
      </c>
      <c r="Z158" s="107">
        <f t="shared" si="72"/>
        <v>2344.761904761971</v>
      </c>
      <c r="AA158" s="107">
        <f t="shared" si="73"/>
        <v>2012.6666666666667</v>
      </c>
      <c r="AB158" s="107">
        <f t="shared" si="74"/>
        <v>2017.5</v>
      </c>
      <c r="AC158" s="107">
        <f t="shared" si="75"/>
        <v>2019.6666666666667</v>
      </c>
      <c r="AD158" s="108">
        <f t="shared" si="76"/>
        <v>2016.5</v>
      </c>
      <c r="AE158" s="108">
        <f t="shared" si="77"/>
        <v>-8.3333333333333329E-2</v>
      </c>
      <c r="AF158" s="108">
        <f t="shared" si="78"/>
        <v>2019.6666666666667</v>
      </c>
      <c r="AG158" s="108">
        <f t="shared" si="79"/>
        <v>2016.5</v>
      </c>
      <c r="AH158" s="108">
        <f t="shared" si="80"/>
        <v>-8.3333333333333329E-2</v>
      </c>
    </row>
    <row r="159" spans="1:34" x14ac:dyDescent="0.25">
      <c r="A159">
        <v>163</v>
      </c>
      <c r="B159" t="s">
        <v>560</v>
      </c>
      <c r="C159">
        <v>2012</v>
      </c>
      <c r="D159">
        <v>12</v>
      </c>
      <c r="E159" s="75"/>
      <c r="F159" s="34" t="s">
        <v>436</v>
      </c>
      <c r="G159">
        <v>7</v>
      </c>
      <c r="H159">
        <f t="shared" si="61"/>
        <v>2019</v>
      </c>
      <c r="K159" s="32">
        <v>1650</v>
      </c>
      <c r="L159" s="32"/>
      <c r="M159" s="32">
        <f t="shared" si="62"/>
        <v>1650</v>
      </c>
      <c r="N159" s="107">
        <f t="shared" si="63"/>
        <v>19.642857142857142</v>
      </c>
      <c r="O159" s="107">
        <f t="shared" si="64"/>
        <v>235.71428571428572</v>
      </c>
      <c r="P159" s="107">
        <f t="shared" si="65"/>
        <v>0</v>
      </c>
      <c r="Q159" s="107">
        <f t="shared" si="66"/>
        <v>235.71428571428572</v>
      </c>
      <c r="R159" s="105">
        <v>1</v>
      </c>
      <c r="S159" s="107">
        <f t="shared" si="67"/>
        <v>235.71428571428572</v>
      </c>
      <c r="T159" s="105"/>
      <c r="U159" s="107">
        <f t="shared" si="68"/>
        <v>844.64285714283926</v>
      </c>
      <c r="V159" s="107">
        <f t="shared" si="69"/>
        <v>844.64285714283926</v>
      </c>
      <c r="W159" s="105">
        <v>1</v>
      </c>
      <c r="X159" s="107">
        <f t="shared" si="70"/>
        <v>844.64285714283926</v>
      </c>
      <c r="Y159" s="107">
        <f t="shared" si="71"/>
        <v>1080.3571428571249</v>
      </c>
      <c r="Z159" s="107">
        <f t="shared" si="72"/>
        <v>687.50000000001796</v>
      </c>
      <c r="AA159" s="107">
        <f t="shared" si="73"/>
        <v>2012.9166666666667</v>
      </c>
      <c r="AB159" s="107">
        <f t="shared" si="74"/>
        <v>2017.5</v>
      </c>
      <c r="AC159" s="107">
        <f t="shared" si="75"/>
        <v>2019.9166666666667</v>
      </c>
      <c r="AD159" s="108">
        <f t="shared" si="76"/>
        <v>2016.5</v>
      </c>
      <c r="AE159" s="108">
        <f t="shared" si="77"/>
        <v>-8.3333333333333329E-2</v>
      </c>
      <c r="AF159" s="108">
        <f t="shared" si="78"/>
        <v>2019.9166666666667</v>
      </c>
      <c r="AG159" s="108">
        <f t="shared" si="79"/>
        <v>2016.5</v>
      </c>
      <c r="AH159" s="108">
        <f t="shared" si="80"/>
        <v>-8.3333333333333329E-2</v>
      </c>
    </row>
    <row r="160" spans="1:34" x14ac:dyDescent="0.25">
      <c r="A160">
        <v>164</v>
      </c>
      <c r="B160" t="s">
        <v>561</v>
      </c>
      <c r="C160">
        <v>2012</v>
      </c>
      <c r="D160">
        <v>10</v>
      </c>
      <c r="E160" s="75"/>
      <c r="F160" s="34" t="s">
        <v>436</v>
      </c>
      <c r="G160">
        <v>7</v>
      </c>
      <c r="H160">
        <f t="shared" si="61"/>
        <v>2019</v>
      </c>
      <c r="K160" s="32">
        <v>8128</v>
      </c>
      <c r="L160" s="32"/>
      <c r="M160" s="32">
        <f t="shared" si="62"/>
        <v>8128</v>
      </c>
      <c r="N160" s="107">
        <f t="shared" si="63"/>
        <v>96.761904761904759</v>
      </c>
      <c r="O160" s="107">
        <f t="shared" si="64"/>
        <v>1161.1428571428571</v>
      </c>
      <c r="P160" s="107">
        <f t="shared" si="65"/>
        <v>0</v>
      </c>
      <c r="Q160" s="107">
        <f t="shared" si="66"/>
        <v>1161.1428571428571</v>
      </c>
      <c r="R160" s="105">
        <v>1</v>
      </c>
      <c r="S160" s="107">
        <f t="shared" si="67"/>
        <v>1161.1428571428571</v>
      </c>
      <c r="T160" s="105"/>
      <c r="U160" s="107">
        <f t="shared" si="68"/>
        <v>4354.2857142857138</v>
      </c>
      <c r="V160" s="107">
        <f t="shared" si="69"/>
        <v>4354.2857142857138</v>
      </c>
      <c r="W160" s="105">
        <v>1</v>
      </c>
      <c r="X160" s="107">
        <f t="shared" si="70"/>
        <v>4354.2857142857138</v>
      </c>
      <c r="Y160" s="107">
        <f t="shared" si="71"/>
        <v>5515.4285714285706</v>
      </c>
      <c r="Z160" s="107">
        <f t="shared" si="72"/>
        <v>3193.1428571428578</v>
      </c>
      <c r="AA160" s="107">
        <f t="shared" si="73"/>
        <v>2012.75</v>
      </c>
      <c r="AB160" s="107">
        <f t="shared" si="74"/>
        <v>2017.5</v>
      </c>
      <c r="AC160" s="107">
        <f t="shared" si="75"/>
        <v>2019.75</v>
      </c>
      <c r="AD160" s="108">
        <f t="shared" si="76"/>
        <v>2016.5</v>
      </c>
      <c r="AE160" s="108">
        <f t="shared" si="77"/>
        <v>-8.3333333333333329E-2</v>
      </c>
      <c r="AF160" s="108">
        <f t="shared" si="78"/>
        <v>2019.75</v>
      </c>
      <c r="AG160" s="108">
        <f t="shared" si="79"/>
        <v>2016.5</v>
      </c>
      <c r="AH160" s="108">
        <f t="shared" si="80"/>
        <v>-8.3333333333333329E-2</v>
      </c>
    </row>
    <row r="161" spans="1:34" x14ac:dyDescent="0.25">
      <c r="A161">
        <v>166</v>
      </c>
      <c r="B161" t="s">
        <v>562</v>
      </c>
      <c r="C161">
        <v>2012</v>
      </c>
      <c r="D161">
        <v>7</v>
      </c>
      <c r="E161" s="75"/>
      <c r="F161" s="34" t="s">
        <v>436</v>
      </c>
      <c r="G161">
        <v>7</v>
      </c>
      <c r="H161">
        <f t="shared" si="61"/>
        <v>2019</v>
      </c>
      <c r="K161" s="32">
        <v>628</v>
      </c>
      <c r="L161" s="32"/>
      <c r="M161" s="32">
        <f t="shared" si="62"/>
        <v>628</v>
      </c>
      <c r="N161" s="107">
        <f t="shared" si="63"/>
        <v>7.4761904761904754</v>
      </c>
      <c r="O161" s="107">
        <f t="shared" si="64"/>
        <v>89.714285714285708</v>
      </c>
      <c r="P161" s="107">
        <f t="shared" si="65"/>
        <v>0</v>
      </c>
      <c r="Q161" s="107">
        <f t="shared" si="66"/>
        <v>89.714285714285708</v>
      </c>
      <c r="R161" s="105">
        <v>1</v>
      </c>
      <c r="S161" s="107">
        <f t="shared" si="67"/>
        <v>89.714285714285708</v>
      </c>
      <c r="T161" s="105"/>
      <c r="U161" s="107">
        <f t="shared" si="68"/>
        <v>358.85714285714283</v>
      </c>
      <c r="V161" s="107">
        <f t="shared" si="69"/>
        <v>358.85714285714283</v>
      </c>
      <c r="W161" s="105">
        <v>1</v>
      </c>
      <c r="X161" s="107">
        <f t="shared" si="70"/>
        <v>358.85714285714283</v>
      </c>
      <c r="Y161" s="107">
        <f t="shared" si="71"/>
        <v>448.57142857142856</v>
      </c>
      <c r="Z161" s="107">
        <f t="shared" si="72"/>
        <v>224.28571428571431</v>
      </c>
      <c r="AA161" s="107">
        <f t="shared" si="73"/>
        <v>2012.5</v>
      </c>
      <c r="AB161" s="107">
        <f t="shared" si="74"/>
        <v>2017.5</v>
      </c>
      <c r="AC161" s="107">
        <f t="shared" si="75"/>
        <v>2019.5</v>
      </c>
      <c r="AD161" s="108">
        <f t="shared" si="76"/>
        <v>2016.5</v>
      </c>
      <c r="AE161" s="108">
        <f t="shared" si="77"/>
        <v>-8.3333333333333329E-2</v>
      </c>
      <c r="AF161" s="108">
        <f t="shared" si="78"/>
        <v>2019.5</v>
      </c>
      <c r="AG161" s="108">
        <f t="shared" si="79"/>
        <v>2016.5</v>
      </c>
      <c r="AH161" s="108">
        <f t="shared" si="80"/>
        <v>-8.3333333333333329E-2</v>
      </c>
    </row>
    <row r="162" spans="1:34" x14ac:dyDescent="0.25">
      <c r="A162">
        <v>167</v>
      </c>
      <c r="B162" t="s">
        <v>563</v>
      </c>
      <c r="C162">
        <v>2012</v>
      </c>
      <c r="D162">
        <v>2</v>
      </c>
      <c r="E162" s="75"/>
      <c r="F162" s="34" t="s">
        <v>436</v>
      </c>
      <c r="G162">
        <v>7</v>
      </c>
      <c r="H162">
        <f t="shared" si="61"/>
        <v>2019</v>
      </c>
      <c r="K162" s="32">
        <v>10545</v>
      </c>
      <c r="L162" s="32"/>
      <c r="M162" s="32">
        <f t="shared" si="62"/>
        <v>10545</v>
      </c>
      <c r="N162" s="107">
        <f t="shared" si="63"/>
        <v>125.53571428571428</v>
      </c>
      <c r="O162" s="107">
        <f t="shared" si="64"/>
        <v>1506.4285714285713</v>
      </c>
      <c r="P162" s="107">
        <f t="shared" si="65"/>
        <v>0</v>
      </c>
      <c r="Q162" s="107">
        <f t="shared" si="66"/>
        <v>1506.4285714285713</v>
      </c>
      <c r="R162" s="105">
        <v>1</v>
      </c>
      <c r="S162" s="107">
        <f t="shared" si="67"/>
        <v>1506.4285714285713</v>
      </c>
      <c r="T162" s="105"/>
      <c r="U162" s="107">
        <f t="shared" si="68"/>
        <v>6653.3928571429706</v>
      </c>
      <c r="V162" s="107">
        <f t="shared" si="69"/>
        <v>6653.3928571429706</v>
      </c>
      <c r="W162" s="105">
        <v>1</v>
      </c>
      <c r="X162" s="107">
        <f t="shared" si="70"/>
        <v>6653.3928571429706</v>
      </c>
      <c r="Y162" s="107">
        <f t="shared" si="71"/>
        <v>8159.8214285715421</v>
      </c>
      <c r="Z162" s="107">
        <f t="shared" si="72"/>
        <v>3138.3928571427437</v>
      </c>
      <c r="AA162" s="107">
        <f t="shared" si="73"/>
        <v>2012.0833333333333</v>
      </c>
      <c r="AB162" s="107">
        <f t="shared" si="74"/>
        <v>2017.5</v>
      </c>
      <c r="AC162" s="107">
        <f t="shared" si="75"/>
        <v>2019.0833333333333</v>
      </c>
      <c r="AD162" s="108">
        <f t="shared" si="76"/>
        <v>2016.5</v>
      </c>
      <c r="AE162" s="108">
        <f t="shared" si="77"/>
        <v>-8.3333333333333329E-2</v>
      </c>
      <c r="AF162" s="108">
        <f t="shared" si="78"/>
        <v>2019.0833333333333</v>
      </c>
      <c r="AG162" s="108">
        <f t="shared" si="79"/>
        <v>2016.5</v>
      </c>
      <c r="AH162" s="108">
        <f t="shared" si="80"/>
        <v>-8.3333333333333329E-2</v>
      </c>
    </row>
    <row r="163" spans="1:34" x14ac:dyDescent="0.25">
      <c r="A163">
        <v>171</v>
      </c>
      <c r="B163" t="s">
        <v>564</v>
      </c>
      <c r="C163">
        <v>2012</v>
      </c>
      <c r="D163">
        <v>5</v>
      </c>
      <c r="E163" s="75"/>
      <c r="F163" s="34" t="s">
        <v>436</v>
      </c>
      <c r="G163">
        <v>7</v>
      </c>
      <c r="H163">
        <f t="shared" si="61"/>
        <v>2019</v>
      </c>
      <c r="K163" s="32">
        <v>1000</v>
      </c>
      <c r="L163" s="32"/>
      <c r="M163" s="32">
        <f t="shared" si="62"/>
        <v>1000</v>
      </c>
      <c r="N163" s="107">
        <f t="shared" si="63"/>
        <v>11.904761904761905</v>
      </c>
      <c r="O163" s="107">
        <f t="shared" si="64"/>
        <v>142.85714285714286</v>
      </c>
      <c r="P163" s="107">
        <f t="shared" si="65"/>
        <v>0</v>
      </c>
      <c r="Q163" s="107">
        <f t="shared" si="66"/>
        <v>142.85714285714286</v>
      </c>
      <c r="R163" s="105">
        <v>1</v>
      </c>
      <c r="S163" s="107">
        <f t="shared" si="67"/>
        <v>142.85714285714286</v>
      </c>
      <c r="T163" s="105"/>
      <c r="U163" s="107">
        <f t="shared" si="68"/>
        <v>595.2380952381061</v>
      </c>
      <c r="V163" s="107">
        <f t="shared" si="69"/>
        <v>595.2380952381061</v>
      </c>
      <c r="W163" s="105">
        <v>1</v>
      </c>
      <c r="X163" s="107">
        <f t="shared" si="70"/>
        <v>595.2380952381061</v>
      </c>
      <c r="Y163" s="107">
        <f t="shared" si="71"/>
        <v>738.09523809524899</v>
      </c>
      <c r="Z163" s="107">
        <f t="shared" si="72"/>
        <v>333.33333333332246</v>
      </c>
      <c r="AA163" s="107">
        <f t="shared" si="73"/>
        <v>2012.3333333333333</v>
      </c>
      <c r="AB163" s="107">
        <f t="shared" si="74"/>
        <v>2017.5</v>
      </c>
      <c r="AC163" s="107">
        <f t="shared" si="75"/>
        <v>2019.3333333333333</v>
      </c>
      <c r="AD163" s="108">
        <f t="shared" si="76"/>
        <v>2016.5</v>
      </c>
      <c r="AE163" s="108">
        <f t="shared" si="77"/>
        <v>-8.3333333333333329E-2</v>
      </c>
      <c r="AF163" s="108">
        <f t="shared" si="78"/>
        <v>2019.3333333333333</v>
      </c>
      <c r="AG163" s="108">
        <f t="shared" si="79"/>
        <v>2016.5</v>
      </c>
      <c r="AH163" s="108">
        <f t="shared" si="80"/>
        <v>-8.3333333333333329E-2</v>
      </c>
    </row>
    <row r="164" spans="1:34" x14ac:dyDescent="0.25">
      <c r="A164">
        <v>172</v>
      </c>
      <c r="B164" t="s">
        <v>565</v>
      </c>
      <c r="C164">
        <v>2013</v>
      </c>
      <c r="D164">
        <v>1</v>
      </c>
      <c r="E164" s="75"/>
      <c r="F164" s="34" t="s">
        <v>436</v>
      </c>
      <c r="G164">
        <v>7</v>
      </c>
      <c r="H164">
        <f t="shared" si="61"/>
        <v>2020</v>
      </c>
      <c r="K164" s="32">
        <v>2043.61</v>
      </c>
      <c r="L164" s="32"/>
      <c r="M164" s="32">
        <f t="shared" si="62"/>
        <v>2043.61</v>
      </c>
      <c r="N164" s="107">
        <f t="shared" si="63"/>
        <v>24.328690476190474</v>
      </c>
      <c r="O164" s="107">
        <f t="shared" si="64"/>
        <v>291.94428571428568</v>
      </c>
      <c r="P164" s="107">
        <f t="shared" si="65"/>
        <v>0</v>
      </c>
      <c r="Q164" s="107">
        <f t="shared" si="66"/>
        <v>291.94428571428568</v>
      </c>
      <c r="R164" s="105">
        <v>1</v>
      </c>
      <c r="S164" s="107">
        <f t="shared" si="67"/>
        <v>291.94428571428568</v>
      </c>
      <c r="T164" s="105"/>
      <c r="U164" s="107">
        <f t="shared" si="68"/>
        <v>1021.8049999999998</v>
      </c>
      <c r="V164" s="107">
        <f t="shared" si="69"/>
        <v>1021.8049999999998</v>
      </c>
      <c r="W164" s="105">
        <v>1</v>
      </c>
      <c r="X164" s="107">
        <f t="shared" si="70"/>
        <v>1021.8049999999998</v>
      </c>
      <c r="Y164" s="107">
        <f t="shared" si="71"/>
        <v>1313.7492857142856</v>
      </c>
      <c r="Z164" s="107">
        <f t="shared" si="72"/>
        <v>875.83285714285716</v>
      </c>
      <c r="AA164" s="107">
        <f t="shared" si="73"/>
        <v>2013</v>
      </c>
      <c r="AB164" s="107">
        <f t="shared" si="74"/>
        <v>2017.5</v>
      </c>
      <c r="AC164" s="107">
        <f t="shared" si="75"/>
        <v>2020</v>
      </c>
      <c r="AD164" s="108">
        <f t="shared" si="76"/>
        <v>2016.5</v>
      </c>
      <c r="AE164" s="108">
        <f t="shared" si="77"/>
        <v>-8.3333333333333329E-2</v>
      </c>
      <c r="AF164" s="108">
        <f t="shared" si="78"/>
        <v>2020</v>
      </c>
      <c r="AG164" s="108">
        <f t="shared" si="79"/>
        <v>2016.5</v>
      </c>
      <c r="AH164" s="108">
        <f t="shared" si="80"/>
        <v>-8.3333333333333329E-2</v>
      </c>
    </row>
    <row r="165" spans="1:34" x14ac:dyDescent="0.25">
      <c r="A165">
        <v>173</v>
      </c>
      <c r="B165" t="s">
        <v>566</v>
      </c>
      <c r="C165">
        <v>2013</v>
      </c>
      <c r="D165">
        <v>2</v>
      </c>
      <c r="E165" s="75"/>
      <c r="F165" s="34" t="s">
        <v>436</v>
      </c>
      <c r="G165">
        <v>7</v>
      </c>
      <c r="H165">
        <f t="shared" si="61"/>
        <v>2020</v>
      </c>
      <c r="K165" s="32">
        <v>6092.2</v>
      </c>
      <c r="L165" s="32"/>
      <c r="M165" s="32">
        <f t="shared" si="62"/>
        <v>6092.2</v>
      </c>
      <c r="N165" s="107">
        <f t="shared" si="63"/>
        <v>72.526190476190479</v>
      </c>
      <c r="O165" s="107">
        <f t="shared" si="64"/>
        <v>870.31428571428569</v>
      </c>
      <c r="P165" s="107">
        <f t="shared" si="65"/>
        <v>0</v>
      </c>
      <c r="Q165" s="107">
        <f t="shared" si="66"/>
        <v>870.31428571428569</v>
      </c>
      <c r="R165" s="105">
        <v>1</v>
      </c>
      <c r="S165" s="107">
        <f t="shared" si="67"/>
        <v>870.31428571428569</v>
      </c>
      <c r="T165" s="105"/>
      <c r="U165" s="107">
        <f t="shared" si="68"/>
        <v>2973.5738095238758</v>
      </c>
      <c r="V165" s="107">
        <f t="shared" si="69"/>
        <v>2973.5738095238758</v>
      </c>
      <c r="W165" s="105">
        <v>1</v>
      </c>
      <c r="X165" s="107">
        <f t="shared" si="70"/>
        <v>2973.5738095238758</v>
      </c>
      <c r="Y165" s="107">
        <f t="shared" si="71"/>
        <v>3843.8880952381614</v>
      </c>
      <c r="Z165" s="107">
        <f t="shared" si="72"/>
        <v>2683.4690476189812</v>
      </c>
      <c r="AA165" s="107">
        <f t="shared" si="73"/>
        <v>2013.0833333333333</v>
      </c>
      <c r="AB165" s="107">
        <f t="shared" si="74"/>
        <v>2017.5</v>
      </c>
      <c r="AC165" s="107">
        <f t="shared" si="75"/>
        <v>2020.0833333333333</v>
      </c>
      <c r="AD165" s="108">
        <f t="shared" si="76"/>
        <v>2016.5</v>
      </c>
      <c r="AE165" s="108">
        <f t="shared" si="77"/>
        <v>-8.3333333333333329E-2</v>
      </c>
      <c r="AF165" s="108">
        <f t="shared" si="78"/>
        <v>2020.0833333333333</v>
      </c>
      <c r="AG165" s="108">
        <f t="shared" si="79"/>
        <v>2016.5</v>
      </c>
      <c r="AH165" s="108">
        <f t="shared" si="80"/>
        <v>-8.3333333333333329E-2</v>
      </c>
    </row>
    <row r="166" spans="1:34" x14ac:dyDescent="0.25">
      <c r="A166">
        <v>174</v>
      </c>
      <c r="B166" t="s">
        <v>761</v>
      </c>
      <c r="C166">
        <v>2013</v>
      </c>
      <c r="D166">
        <v>2</v>
      </c>
      <c r="E166" s="75"/>
      <c r="F166" s="34" t="s">
        <v>436</v>
      </c>
      <c r="G166">
        <v>7</v>
      </c>
      <c r="H166">
        <f t="shared" si="61"/>
        <v>2020</v>
      </c>
      <c r="K166" s="32">
        <v>651.53</v>
      </c>
      <c r="L166" s="32"/>
      <c r="M166" s="32">
        <f t="shared" si="62"/>
        <v>651.53</v>
      </c>
      <c r="N166" s="107">
        <f t="shared" si="63"/>
        <v>7.7563095238095237</v>
      </c>
      <c r="O166" s="107">
        <f t="shared" si="64"/>
        <v>93.075714285714284</v>
      </c>
      <c r="P166" s="107">
        <f t="shared" si="65"/>
        <v>0</v>
      </c>
      <c r="Q166" s="107">
        <f t="shared" si="66"/>
        <v>93.075714285714284</v>
      </c>
      <c r="R166" s="105">
        <v>1</v>
      </c>
      <c r="S166" s="107">
        <f t="shared" si="67"/>
        <v>93.075714285714284</v>
      </c>
      <c r="T166" s="105"/>
      <c r="U166" s="107">
        <f t="shared" si="68"/>
        <v>318.0086904761975</v>
      </c>
      <c r="V166" s="107">
        <f t="shared" si="69"/>
        <v>318.0086904761975</v>
      </c>
      <c r="W166" s="105">
        <v>1</v>
      </c>
      <c r="X166" s="107">
        <f t="shared" si="70"/>
        <v>318.0086904761975</v>
      </c>
      <c r="Y166" s="107">
        <f t="shared" si="71"/>
        <v>411.0844047619118</v>
      </c>
      <c r="Z166" s="107">
        <f t="shared" si="72"/>
        <v>286.98345238094532</v>
      </c>
      <c r="AA166" s="107">
        <f t="shared" si="73"/>
        <v>2013.0833333333333</v>
      </c>
      <c r="AB166" s="107">
        <f t="shared" si="74"/>
        <v>2017.5</v>
      </c>
      <c r="AC166" s="107">
        <f t="shared" si="75"/>
        <v>2020.0833333333333</v>
      </c>
      <c r="AD166" s="108">
        <f t="shared" si="76"/>
        <v>2016.5</v>
      </c>
      <c r="AE166" s="108">
        <f t="shared" si="77"/>
        <v>-8.3333333333333329E-2</v>
      </c>
      <c r="AF166" s="108">
        <f t="shared" si="78"/>
        <v>2020.0833333333333</v>
      </c>
      <c r="AG166" s="108">
        <f t="shared" si="79"/>
        <v>2016.5</v>
      </c>
      <c r="AH166" s="108">
        <f t="shared" si="80"/>
        <v>-8.3333333333333329E-2</v>
      </c>
    </row>
    <row r="167" spans="1:34" x14ac:dyDescent="0.25">
      <c r="A167">
        <v>175</v>
      </c>
      <c r="B167" t="s">
        <v>567</v>
      </c>
      <c r="C167">
        <v>2013</v>
      </c>
      <c r="D167">
        <v>5</v>
      </c>
      <c r="E167" s="75"/>
      <c r="F167" s="34" t="s">
        <v>436</v>
      </c>
      <c r="G167">
        <v>10</v>
      </c>
      <c r="H167">
        <f t="shared" si="61"/>
        <v>2023</v>
      </c>
      <c r="K167" s="32">
        <v>10582.08</v>
      </c>
      <c r="L167" s="32"/>
      <c r="M167" s="32">
        <f t="shared" si="62"/>
        <v>10582.08</v>
      </c>
      <c r="N167" s="107">
        <f t="shared" si="63"/>
        <v>88.184000000000012</v>
      </c>
      <c r="O167" s="107">
        <f t="shared" si="64"/>
        <v>1058.2080000000001</v>
      </c>
      <c r="P167" s="107">
        <f t="shared" si="65"/>
        <v>0</v>
      </c>
      <c r="Q167" s="107">
        <f t="shared" si="66"/>
        <v>1058.2080000000001</v>
      </c>
      <c r="R167" s="105">
        <v>1</v>
      </c>
      <c r="S167" s="107">
        <f t="shared" si="67"/>
        <v>1058.2080000000001</v>
      </c>
      <c r="T167" s="105"/>
      <c r="U167" s="107">
        <f t="shared" si="68"/>
        <v>3350.9920000000807</v>
      </c>
      <c r="V167" s="107">
        <f t="shared" si="69"/>
        <v>3350.9920000000807</v>
      </c>
      <c r="W167" s="105">
        <v>1</v>
      </c>
      <c r="X167" s="107">
        <f t="shared" si="70"/>
        <v>3350.9920000000807</v>
      </c>
      <c r="Y167" s="107">
        <f t="shared" si="71"/>
        <v>4409.2000000000808</v>
      </c>
      <c r="Z167" s="107">
        <f t="shared" si="72"/>
        <v>6701.9839999999194</v>
      </c>
      <c r="AA167" s="107">
        <f t="shared" si="73"/>
        <v>2013.3333333333333</v>
      </c>
      <c r="AB167" s="107">
        <f t="shared" si="74"/>
        <v>2017.5</v>
      </c>
      <c r="AC167" s="107">
        <f t="shared" si="75"/>
        <v>2023.3333333333333</v>
      </c>
      <c r="AD167" s="108">
        <f t="shared" si="76"/>
        <v>2016.5</v>
      </c>
      <c r="AE167" s="108">
        <f t="shared" si="77"/>
        <v>-8.3333333333333329E-2</v>
      </c>
      <c r="AF167" s="108">
        <f t="shared" si="78"/>
        <v>2023.3333333333333</v>
      </c>
      <c r="AG167" s="108">
        <f t="shared" si="79"/>
        <v>2016.5</v>
      </c>
      <c r="AH167" s="108">
        <f t="shared" si="80"/>
        <v>-8.3333333333333329E-2</v>
      </c>
    </row>
    <row r="168" spans="1:34" x14ac:dyDescent="0.25">
      <c r="A168">
        <v>177</v>
      </c>
      <c r="B168" t="s">
        <v>568</v>
      </c>
      <c r="C168">
        <v>2013</v>
      </c>
      <c r="D168">
        <v>7</v>
      </c>
      <c r="E168" s="75"/>
      <c r="F168" s="34" t="s">
        <v>436</v>
      </c>
      <c r="G168">
        <v>10</v>
      </c>
      <c r="H168">
        <f t="shared" si="61"/>
        <v>2023</v>
      </c>
      <c r="K168" s="32">
        <v>32552.52</v>
      </c>
      <c r="L168" s="32"/>
      <c r="M168" s="32">
        <f t="shared" si="62"/>
        <v>32552.52</v>
      </c>
      <c r="N168" s="107">
        <f t="shared" si="63"/>
        <v>271.27100000000002</v>
      </c>
      <c r="O168" s="107">
        <f t="shared" si="64"/>
        <v>3255.2520000000004</v>
      </c>
      <c r="P168" s="107">
        <f t="shared" si="65"/>
        <v>0</v>
      </c>
      <c r="Q168" s="107">
        <f t="shared" si="66"/>
        <v>3255.2520000000004</v>
      </c>
      <c r="R168" s="105">
        <v>1</v>
      </c>
      <c r="S168" s="107">
        <f t="shared" si="67"/>
        <v>3255.2520000000004</v>
      </c>
      <c r="T168" s="105"/>
      <c r="U168" s="107">
        <f t="shared" si="68"/>
        <v>9765.7560000000012</v>
      </c>
      <c r="V168" s="107">
        <f t="shared" si="69"/>
        <v>9765.7560000000012</v>
      </c>
      <c r="W168" s="105">
        <v>1</v>
      </c>
      <c r="X168" s="107">
        <f t="shared" si="70"/>
        <v>9765.7560000000012</v>
      </c>
      <c r="Y168" s="107">
        <f t="shared" si="71"/>
        <v>13021.008000000002</v>
      </c>
      <c r="Z168" s="107">
        <f t="shared" si="72"/>
        <v>21159.137999999999</v>
      </c>
      <c r="AA168" s="107">
        <f t="shared" si="73"/>
        <v>2013.5</v>
      </c>
      <c r="AB168" s="107">
        <f t="shared" si="74"/>
        <v>2017.5</v>
      </c>
      <c r="AC168" s="107">
        <f t="shared" si="75"/>
        <v>2023.5</v>
      </c>
      <c r="AD168" s="108">
        <f t="shared" si="76"/>
        <v>2016.5</v>
      </c>
      <c r="AE168" s="108">
        <f t="shared" si="77"/>
        <v>-8.3333333333333329E-2</v>
      </c>
      <c r="AF168" s="108">
        <f t="shared" si="78"/>
        <v>2023.5</v>
      </c>
      <c r="AG168" s="108">
        <f t="shared" si="79"/>
        <v>2016.5</v>
      </c>
      <c r="AH168" s="108">
        <f t="shared" si="80"/>
        <v>-8.3333333333333329E-2</v>
      </c>
    </row>
    <row r="169" spans="1:34" x14ac:dyDescent="0.25">
      <c r="A169">
        <v>178</v>
      </c>
      <c r="B169" t="s">
        <v>569</v>
      </c>
      <c r="C169">
        <v>2013</v>
      </c>
      <c r="D169">
        <v>7</v>
      </c>
      <c r="E169" s="75"/>
      <c r="F169" s="34" t="s">
        <v>436</v>
      </c>
      <c r="G169">
        <v>10</v>
      </c>
      <c r="H169">
        <f t="shared" si="61"/>
        <v>2023</v>
      </c>
      <c r="K169" s="32">
        <v>11059.5</v>
      </c>
      <c r="L169" s="32"/>
      <c r="M169" s="32">
        <f t="shared" si="62"/>
        <v>11059.5</v>
      </c>
      <c r="N169" s="107">
        <f t="shared" si="63"/>
        <v>92.162500000000009</v>
      </c>
      <c r="O169" s="107">
        <f t="shared" si="64"/>
        <v>1105.95</v>
      </c>
      <c r="P169" s="107">
        <f t="shared" si="65"/>
        <v>0</v>
      </c>
      <c r="Q169" s="107">
        <f t="shared" si="66"/>
        <v>1105.95</v>
      </c>
      <c r="R169" s="105">
        <v>1</v>
      </c>
      <c r="S169" s="107">
        <f t="shared" si="67"/>
        <v>1105.95</v>
      </c>
      <c r="T169" s="105"/>
      <c r="U169" s="107">
        <f t="shared" si="68"/>
        <v>3317.8500000000004</v>
      </c>
      <c r="V169" s="107">
        <f t="shared" si="69"/>
        <v>3317.8500000000004</v>
      </c>
      <c r="W169" s="105">
        <v>1</v>
      </c>
      <c r="X169" s="107">
        <f t="shared" si="70"/>
        <v>3317.8500000000004</v>
      </c>
      <c r="Y169" s="107">
        <f t="shared" si="71"/>
        <v>4423.8</v>
      </c>
      <c r="Z169" s="107">
        <f t="shared" si="72"/>
        <v>7188.6749999999993</v>
      </c>
      <c r="AA169" s="107">
        <f t="shared" si="73"/>
        <v>2013.5</v>
      </c>
      <c r="AB169" s="107">
        <f t="shared" si="74"/>
        <v>2017.5</v>
      </c>
      <c r="AC169" s="107">
        <f t="shared" si="75"/>
        <v>2023.5</v>
      </c>
      <c r="AD169" s="108">
        <f t="shared" si="76"/>
        <v>2016.5</v>
      </c>
      <c r="AE169" s="108">
        <f t="shared" si="77"/>
        <v>-8.3333333333333329E-2</v>
      </c>
      <c r="AF169" s="108">
        <f t="shared" si="78"/>
        <v>2023.5</v>
      </c>
      <c r="AG169" s="108">
        <f t="shared" si="79"/>
        <v>2016.5</v>
      </c>
      <c r="AH169" s="108">
        <f t="shared" si="80"/>
        <v>-8.3333333333333329E-2</v>
      </c>
    </row>
    <row r="170" spans="1:34" x14ac:dyDescent="0.25">
      <c r="A170">
        <v>179</v>
      </c>
      <c r="B170" t="s">
        <v>570</v>
      </c>
      <c r="C170">
        <v>2013</v>
      </c>
      <c r="D170">
        <v>11</v>
      </c>
      <c r="E170" s="75"/>
      <c r="F170" s="34" t="s">
        <v>436</v>
      </c>
      <c r="G170">
        <v>5</v>
      </c>
      <c r="H170">
        <f t="shared" si="61"/>
        <v>2018</v>
      </c>
      <c r="K170" s="32">
        <v>1540.06</v>
      </c>
      <c r="L170" s="32"/>
      <c r="M170" s="32">
        <f t="shared" si="62"/>
        <v>1540.06</v>
      </c>
      <c r="N170" s="107">
        <f t="shared" si="63"/>
        <v>25.667666666666666</v>
      </c>
      <c r="O170" s="107">
        <f t="shared" si="64"/>
        <v>308.012</v>
      </c>
      <c r="P170" s="107">
        <f t="shared" si="65"/>
        <v>0</v>
      </c>
      <c r="Q170" s="107">
        <f t="shared" si="66"/>
        <v>308.012</v>
      </c>
      <c r="R170" s="105">
        <v>1</v>
      </c>
      <c r="S170" s="107">
        <f t="shared" si="67"/>
        <v>308.012</v>
      </c>
      <c r="T170" s="105"/>
      <c r="U170" s="107">
        <f t="shared" si="68"/>
        <v>821.3653333333566</v>
      </c>
      <c r="V170" s="107">
        <f t="shared" si="69"/>
        <v>821.3653333333566</v>
      </c>
      <c r="W170" s="105">
        <v>1</v>
      </c>
      <c r="X170" s="107">
        <f t="shared" si="70"/>
        <v>821.3653333333566</v>
      </c>
      <c r="Y170" s="107">
        <f t="shared" si="71"/>
        <v>1129.3773333333565</v>
      </c>
      <c r="Z170" s="107">
        <f t="shared" si="72"/>
        <v>564.68866666664337</v>
      </c>
      <c r="AA170" s="107">
        <f t="shared" si="73"/>
        <v>2013.8333333333333</v>
      </c>
      <c r="AB170" s="107">
        <f t="shared" si="74"/>
        <v>2017.5</v>
      </c>
      <c r="AC170" s="107">
        <f t="shared" si="75"/>
        <v>2018.8333333333333</v>
      </c>
      <c r="AD170" s="108">
        <f t="shared" si="76"/>
        <v>2016.5</v>
      </c>
      <c r="AE170" s="108">
        <f t="shared" si="77"/>
        <v>-8.3333333333333329E-2</v>
      </c>
      <c r="AF170" s="108">
        <f t="shared" si="78"/>
        <v>2018.8333333333333</v>
      </c>
      <c r="AG170" s="108">
        <f t="shared" si="79"/>
        <v>2016.5</v>
      </c>
      <c r="AH170" s="108">
        <f t="shared" si="80"/>
        <v>-8.3333333333333329E-2</v>
      </c>
    </row>
    <row r="171" spans="1:34" x14ac:dyDescent="0.25">
      <c r="A171">
        <v>183</v>
      </c>
      <c r="B171" t="s">
        <v>571</v>
      </c>
      <c r="C171">
        <v>2013</v>
      </c>
      <c r="D171">
        <v>7</v>
      </c>
      <c r="E171" s="75"/>
      <c r="F171" s="34" t="s">
        <v>436</v>
      </c>
      <c r="G171">
        <v>5</v>
      </c>
      <c r="H171">
        <f t="shared" si="61"/>
        <v>2018</v>
      </c>
      <c r="K171" s="32">
        <v>2411.5700000000002</v>
      </c>
      <c r="L171" s="32"/>
      <c r="M171" s="32">
        <f t="shared" si="62"/>
        <v>2411.5700000000002</v>
      </c>
      <c r="N171" s="107">
        <f t="shared" si="63"/>
        <v>40.192833333333333</v>
      </c>
      <c r="O171" s="107">
        <f t="shared" si="64"/>
        <v>482.31399999999996</v>
      </c>
      <c r="P171" s="107">
        <f t="shared" si="65"/>
        <v>0</v>
      </c>
      <c r="Q171" s="107">
        <f t="shared" si="66"/>
        <v>482.31399999999996</v>
      </c>
      <c r="R171" s="105">
        <v>1</v>
      </c>
      <c r="S171" s="107">
        <f t="shared" si="67"/>
        <v>482.31399999999996</v>
      </c>
      <c r="T171" s="105"/>
      <c r="U171" s="107">
        <f t="shared" si="68"/>
        <v>1446.942</v>
      </c>
      <c r="V171" s="107">
        <f t="shared" si="69"/>
        <v>1446.942</v>
      </c>
      <c r="W171" s="105">
        <v>1</v>
      </c>
      <c r="X171" s="107">
        <f t="shared" si="70"/>
        <v>1446.942</v>
      </c>
      <c r="Y171" s="107">
        <f t="shared" si="71"/>
        <v>1929.2559999999999</v>
      </c>
      <c r="Z171" s="107">
        <f t="shared" si="72"/>
        <v>723.47100000000023</v>
      </c>
      <c r="AA171" s="107">
        <f t="shared" si="73"/>
        <v>2013.5</v>
      </c>
      <c r="AB171" s="107">
        <f t="shared" si="74"/>
        <v>2017.5</v>
      </c>
      <c r="AC171" s="107">
        <f t="shared" si="75"/>
        <v>2018.5</v>
      </c>
      <c r="AD171" s="108">
        <f t="shared" si="76"/>
        <v>2016.5</v>
      </c>
      <c r="AE171" s="108">
        <f t="shared" si="77"/>
        <v>-8.3333333333333329E-2</v>
      </c>
      <c r="AF171" s="108">
        <f t="shared" si="78"/>
        <v>2018.5</v>
      </c>
      <c r="AG171" s="108">
        <f t="shared" si="79"/>
        <v>2016.5</v>
      </c>
      <c r="AH171" s="108">
        <f t="shared" si="80"/>
        <v>-8.3333333333333329E-2</v>
      </c>
    </row>
    <row r="172" spans="1:34" x14ac:dyDescent="0.25">
      <c r="A172">
        <v>184</v>
      </c>
      <c r="B172" t="s">
        <v>572</v>
      </c>
      <c r="C172">
        <v>2013</v>
      </c>
      <c r="D172">
        <v>6</v>
      </c>
      <c r="E172" s="75"/>
      <c r="F172" s="34" t="s">
        <v>436</v>
      </c>
      <c r="G172">
        <v>3</v>
      </c>
      <c r="H172">
        <f t="shared" si="61"/>
        <v>2016</v>
      </c>
      <c r="K172" s="32">
        <v>1788.5</v>
      </c>
      <c r="L172" s="32"/>
      <c r="M172" s="32">
        <f t="shared" si="62"/>
        <v>1788.5</v>
      </c>
      <c r="N172" s="107">
        <f t="shared" si="63"/>
        <v>49.68055555555555</v>
      </c>
      <c r="O172" s="107">
        <f t="shared" si="64"/>
        <v>0</v>
      </c>
      <c r="P172" s="107">
        <f t="shared" si="65"/>
        <v>0</v>
      </c>
      <c r="Q172" s="107">
        <f t="shared" si="66"/>
        <v>0</v>
      </c>
      <c r="R172" s="105">
        <v>1</v>
      </c>
      <c r="S172" s="107">
        <f t="shared" si="67"/>
        <v>0</v>
      </c>
      <c r="T172" s="105"/>
      <c r="U172" s="107">
        <f t="shared" si="68"/>
        <v>1788.5</v>
      </c>
      <c r="V172" s="107">
        <f t="shared" si="69"/>
        <v>1788.5</v>
      </c>
      <c r="W172" s="105">
        <v>1</v>
      </c>
      <c r="X172" s="107">
        <f t="shared" si="70"/>
        <v>1788.5</v>
      </c>
      <c r="Y172" s="107">
        <f t="shared" si="71"/>
        <v>1788.5</v>
      </c>
      <c r="Z172" s="107">
        <f t="shared" si="72"/>
        <v>0</v>
      </c>
      <c r="AA172" s="107">
        <f t="shared" si="73"/>
        <v>2013.4166666666667</v>
      </c>
      <c r="AB172" s="107">
        <f t="shared" si="74"/>
        <v>2017.5</v>
      </c>
      <c r="AC172" s="107">
        <f t="shared" si="75"/>
        <v>2016.4166666666667</v>
      </c>
      <c r="AD172" s="108">
        <f t="shared" si="76"/>
        <v>2016.5</v>
      </c>
      <c r="AE172" s="108">
        <f t="shared" si="77"/>
        <v>-8.3333333333333329E-2</v>
      </c>
      <c r="AF172" s="108">
        <f t="shared" si="78"/>
        <v>2016.4166666666667</v>
      </c>
      <c r="AG172" s="108">
        <f t="shared" si="79"/>
        <v>2016.5</v>
      </c>
      <c r="AH172" s="108">
        <f t="shared" si="80"/>
        <v>-8.3333333333333329E-2</v>
      </c>
    </row>
    <row r="173" spans="1:34" x14ac:dyDescent="0.25">
      <c r="A173">
        <v>185</v>
      </c>
      <c r="B173" t="s">
        <v>573</v>
      </c>
      <c r="C173">
        <v>2013</v>
      </c>
      <c r="D173">
        <v>6</v>
      </c>
      <c r="E173" s="75"/>
      <c r="F173" s="34" t="s">
        <v>436</v>
      </c>
      <c r="G173">
        <v>15</v>
      </c>
      <c r="H173">
        <f t="shared" si="61"/>
        <v>2028</v>
      </c>
      <c r="K173" s="32">
        <v>579940</v>
      </c>
      <c r="L173" s="32"/>
      <c r="M173" s="32">
        <f t="shared" si="62"/>
        <v>579940</v>
      </c>
      <c r="N173" s="107">
        <f t="shared" si="63"/>
        <v>3221.8888888888887</v>
      </c>
      <c r="O173" s="107">
        <f t="shared" si="64"/>
        <v>38662.666666666664</v>
      </c>
      <c r="P173" s="107">
        <f t="shared" si="65"/>
        <v>0</v>
      </c>
      <c r="Q173" s="107">
        <f t="shared" si="66"/>
        <v>38662.666666666664</v>
      </c>
      <c r="R173" s="105">
        <v>1</v>
      </c>
      <c r="S173" s="107">
        <f t="shared" si="67"/>
        <v>38662.666666666664</v>
      </c>
      <c r="T173" s="105"/>
      <c r="U173" s="107">
        <f t="shared" si="68"/>
        <v>119209.88888888595</v>
      </c>
      <c r="V173" s="107">
        <f t="shared" si="69"/>
        <v>119209.88888888595</v>
      </c>
      <c r="W173" s="105">
        <v>1</v>
      </c>
      <c r="X173" s="107">
        <f t="shared" si="70"/>
        <v>119209.88888888595</v>
      </c>
      <c r="Y173" s="107">
        <f t="shared" si="71"/>
        <v>157872.55555555262</v>
      </c>
      <c r="Z173" s="107">
        <f t="shared" si="72"/>
        <v>441398.77777778072</v>
      </c>
      <c r="AA173" s="107">
        <f t="shared" si="73"/>
        <v>2013.4166666666667</v>
      </c>
      <c r="AB173" s="107">
        <f t="shared" si="74"/>
        <v>2017.5</v>
      </c>
      <c r="AC173" s="107">
        <f t="shared" si="75"/>
        <v>2028.4166666666667</v>
      </c>
      <c r="AD173" s="108">
        <f t="shared" si="76"/>
        <v>2016.5</v>
      </c>
      <c r="AE173" s="108">
        <f t="shared" si="77"/>
        <v>-8.3333333333333329E-2</v>
      </c>
      <c r="AF173" s="108">
        <f t="shared" si="78"/>
        <v>2028.4166666666667</v>
      </c>
      <c r="AG173" s="108">
        <f t="shared" si="79"/>
        <v>2016.5</v>
      </c>
      <c r="AH173" s="108">
        <f t="shared" si="80"/>
        <v>-8.3333333333333329E-2</v>
      </c>
    </row>
    <row r="174" spans="1:34" x14ac:dyDescent="0.25">
      <c r="A174">
        <v>186</v>
      </c>
      <c r="B174" t="s">
        <v>574</v>
      </c>
      <c r="C174">
        <v>2013</v>
      </c>
      <c r="D174">
        <v>6</v>
      </c>
      <c r="E174" s="75"/>
      <c r="F174" s="34" t="s">
        <v>436</v>
      </c>
      <c r="G174">
        <v>15</v>
      </c>
      <c r="H174">
        <f t="shared" si="61"/>
        <v>2028</v>
      </c>
      <c r="K174" s="32">
        <v>37410.6</v>
      </c>
      <c r="L174" s="32"/>
      <c r="M174" s="32">
        <f t="shared" si="62"/>
        <v>37410.6</v>
      </c>
      <c r="N174" s="107">
        <f t="shared" si="63"/>
        <v>207.83666666666667</v>
      </c>
      <c r="O174" s="107">
        <f t="shared" si="64"/>
        <v>2494.04</v>
      </c>
      <c r="P174" s="107">
        <f t="shared" si="65"/>
        <v>0</v>
      </c>
      <c r="Q174" s="107">
        <f t="shared" si="66"/>
        <v>2494.04</v>
      </c>
      <c r="R174" s="105">
        <v>1</v>
      </c>
      <c r="S174" s="107">
        <f t="shared" si="67"/>
        <v>2494.04</v>
      </c>
      <c r="T174" s="105"/>
      <c r="U174" s="107">
        <f t="shared" si="68"/>
        <v>7689.9566666664778</v>
      </c>
      <c r="V174" s="107">
        <f t="shared" si="69"/>
        <v>7689.9566666664778</v>
      </c>
      <c r="W174" s="105">
        <v>1</v>
      </c>
      <c r="X174" s="107">
        <f t="shared" si="70"/>
        <v>7689.9566666664778</v>
      </c>
      <c r="Y174" s="107">
        <f t="shared" si="71"/>
        <v>10183.996666666477</v>
      </c>
      <c r="Z174" s="107">
        <f t="shared" si="72"/>
        <v>28473.623333333522</v>
      </c>
      <c r="AA174" s="107">
        <f t="shared" si="73"/>
        <v>2013.4166666666667</v>
      </c>
      <c r="AB174" s="107">
        <f t="shared" si="74"/>
        <v>2017.5</v>
      </c>
      <c r="AC174" s="107">
        <f t="shared" si="75"/>
        <v>2028.4166666666667</v>
      </c>
      <c r="AD174" s="108">
        <f t="shared" si="76"/>
        <v>2016.5</v>
      </c>
      <c r="AE174" s="108">
        <f t="shared" si="77"/>
        <v>-8.3333333333333329E-2</v>
      </c>
      <c r="AF174" s="108">
        <f t="shared" si="78"/>
        <v>2028.4166666666667</v>
      </c>
      <c r="AG174" s="108">
        <f t="shared" si="79"/>
        <v>2016.5</v>
      </c>
      <c r="AH174" s="108">
        <f t="shared" si="80"/>
        <v>-8.3333333333333329E-2</v>
      </c>
    </row>
    <row r="175" spans="1:34" x14ac:dyDescent="0.25">
      <c r="A175">
        <v>187</v>
      </c>
      <c r="B175" t="s">
        <v>575</v>
      </c>
      <c r="C175">
        <v>2013</v>
      </c>
      <c r="D175">
        <v>6</v>
      </c>
      <c r="E175" s="75"/>
      <c r="F175" s="34" t="s">
        <v>436</v>
      </c>
      <c r="G175">
        <v>5</v>
      </c>
      <c r="H175">
        <f t="shared" si="61"/>
        <v>2018</v>
      </c>
      <c r="K175" s="32">
        <v>520.42999999999995</v>
      </c>
      <c r="L175" s="32"/>
      <c r="M175" s="32">
        <f t="shared" si="62"/>
        <v>520.42999999999995</v>
      </c>
      <c r="N175" s="107">
        <f t="shared" si="63"/>
        <v>8.6738333333333326</v>
      </c>
      <c r="O175" s="107">
        <f t="shared" si="64"/>
        <v>104.08599999999998</v>
      </c>
      <c r="P175" s="107">
        <f t="shared" si="65"/>
        <v>0</v>
      </c>
      <c r="Q175" s="107">
        <f t="shared" si="66"/>
        <v>104.08599999999998</v>
      </c>
      <c r="R175" s="105">
        <v>1</v>
      </c>
      <c r="S175" s="107">
        <f t="shared" si="67"/>
        <v>104.08599999999998</v>
      </c>
      <c r="T175" s="105"/>
      <c r="U175" s="107">
        <f t="shared" si="68"/>
        <v>320.93183333332541</v>
      </c>
      <c r="V175" s="107">
        <f t="shared" si="69"/>
        <v>320.93183333332541</v>
      </c>
      <c r="W175" s="105">
        <v>1</v>
      </c>
      <c r="X175" s="107">
        <f t="shared" si="70"/>
        <v>320.93183333332541</v>
      </c>
      <c r="Y175" s="107">
        <f t="shared" si="71"/>
        <v>425.01783333332537</v>
      </c>
      <c r="Z175" s="107">
        <f t="shared" si="72"/>
        <v>147.45516666667456</v>
      </c>
      <c r="AA175" s="107">
        <f t="shared" si="73"/>
        <v>2013.4166666666667</v>
      </c>
      <c r="AB175" s="107">
        <f t="shared" si="74"/>
        <v>2017.5</v>
      </c>
      <c r="AC175" s="107">
        <f t="shared" si="75"/>
        <v>2018.4166666666667</v>
      </c>
      <c r="AD175" s="108">
        <f t="shared" si="76"/>
        <v>2016.5</v>
      </c>
      <c r="AE175" s="108">
        <f t="shared" si="77"/>
        <v>-8.3333333333333329E-2</v>
      </c>
      <c r="AF175" s="108">
        <f t="shared" si="78"/>
        <v>2018.4166666666667</v>
      </c>
      <c r="AG175" s="108">
        <f t="shared" si="79"/>
        <v>2016.5</v>
      </c>
      <c r="AH175" s="108">
        <f t="shared" si="80"/>
        <v>-8.3333333333333329E-2</v>
      </c>
    </row>
    <row r="176" spans="1:34" x14ac:dyDescent="0.25">
      <c r="A176">
        <v>188</v>
      </c>
      <c r="B176" t="s">
        <v>576</v>
      </c>
      <c r="C176">
        <v>2013</v>
      </c>
      <c r="D176">
        <v>6</v>
      </c>
      <c r="E176" s="75"/>
      <c r="F176" s="34" t="s">
        <v>436</v>
      </c>
      <c r="G176">
        <v>5</v>
      </c>
      <c r="H176">
        <f t="shared" si="61"/>
        <v>2018</v>
      </c>
      <c r="K176" s="32">
        <v>22129.78</v>
      </c>
      <c r="L176" s="32"/>
      <c r="M176" s="32">
        <f t="shared" si="62"/>
        <v>22129.78</v>
      </c>
      <c r="N176" s="107">
        <f t="shared" si="63"/>
        <v>368.8296666666667</v>
      </c>
      <c r="O176" s="107">
        <f t="shared" si="64"/>
        <v>4425.9560000000001</v>
      </c>
      <c r="P176" s="107">
        <f t="shared" si="65"/>
        <v>0</v>
      </c>
      <c r="Q176" s="107">
        <f t="shared" si="66"/>
        <v>4425.9560000000001</v>
      </c>
      <c r="R176" s="105">
        <v>1</v>
      </c>
      <c r="S176" s="107">
        <f t="shared" si="67"/>
        <v>4425.9560000000001</v>
      </c>
      <c r="T176" s="105"/>
      <c r="U176" s="107">
        <f t="shared" si="68"/>
        <v>13646.697666666332</v>
      </c>
      <c r="V176" s="107">
        <f t="shared" si="69"/>
        <v>13646.697666666332</v>
      </c>
      <c r="W176" s="105">
        <v>1</v>
      </c>
      <c r="X176" s="107">
        <f t="shared" si="70"/>
        <v>13646.697666666332</v>
      </c>
      <c r="Y176" s="107">
        <f t="shared" si="71"/>
        <v>18072.653666666331</v>
      </c>
      <c r="Z176" s="107">
        <f t="shared" si="72"/>
        <v>6270.1043333336675</v>
      </c>
      <c r="AA176" s="107">
        <f t="shared" si="73"/>
        <v>2013.4166666666667</v>
      </c>
      <c r="AB176" s="107">
        <f t="shared" si="74"/>
        <v>2017.5</v>
      </c>
      <c r="AC176" s="107">
        <f t="shared" si="75"/>
        <v>2018.4166666666667</v>
      </c>
      <c r="AD176" s="108">
        <f t="shared" si="76"/>
        <v>2016.5</v>
      </c>
      <c r="AE176" s="108">
        <f t="shared" si="77"/>
        <v>-8.3333333333333329E-2</v>
      </c>
      <c r="AF176" s="108">
        <f t="shared" si="78"/>
        <v>2018.4166666666667</v>
      </c>
      <c r="AG176" s="108">
        <f t="shared" si="79"/>
        <v>2016.5</v>
      </c>
      <c r="AH176" s="108">
        <f t="shared" si="80"/>
        <v>-8.3333333333333329E-2</v>
      </c>
    </row>
    <row r="177" spans="1:34" x14ac:dyDescent="0.25">
      <c r="A177">
        <v>189</v>
      </c>
      <c r="B177" t="s">
        <v>577</v>
      </c>
      <c r="C177">
        <v>2013</v>
      </c>
      <c r="D177">
        <v>6</v>
      </c>
      <c r="E177" s="75"/>
      <c r="F177" s="34" t="s">
        <v>436</v>
      </c>
      <c r="G177">
        <v>15</v>
      </c>
      <c r="H177">
        <f t="shared" si="61"/>
        <v>2028</v>
      </c>
      <c r="K177" s="32">
        <v>17020.43</v>
      </c>
      <c r="L177" s="32"/>
      <c r="M177" s="32">
        <f t="shared" si="62"/>
        <v>17020.43</v>
      </c>
      <c r="N177" s="107">
        <f t="shared" si="63"/>
        <v>94.557944444444445</v>
      </c>
      <c r="O177" s="107">
        <f t="shared" si="64"/>
        <v>1134.6953333333333</v>
      </c>
      <c r="P177" s="107">
        <f t="shared" si="65"/>
        <v>0</v>
      </c>
      <c r="Q177" s="107">
        <f t="shared" si="66"/>
        <v>1134.6953333333333</v>
      </c>
      <c r="R177" s="105">
        <v>1</v>
      </c>
      <c r="S177" s="107">
        <f t="shared" si="67"/>
        <v>1134.6953333333333</v>
      </c>
      <c r="T177" s="105"/>
      <c r="U177" s="107">
        <f t="shared" si="68"/>
        <v>3498.6439444443586</v>
      </c>
      <c r="V177" s="107">
        <f t="shared" si="69"/>
        <v>3498.6439444443586</v>
      </c>
      <c r="W177" s="105">
        <v>1</v>
      </c>
      <c r="X177" s="107">
        <f t="shared" si="70"/>
        <v>3498.6439444443586</v>
      </c>
      <c r="Y177" s="107">
        <f t="shared" si="71"/>
        <v>4633.3392777776917</v>
      </c>
      <c r="Z177" s="107">
        <f t="shared" si="72"/>
        <v>12954.438388888975</v>
      </c>
      <c r="AA177" s="107">
        <f t="shared" si="73"/>
        <v>2013.4166666666667</v>
      </c>
      <c r="AB177" s="107">
        <f t="shared" si="74"/>
        <v>2017.5</v>
      </c>
      <c r="AC177" s="107">
        <f t="shared" si="75"/>
        <v>2028.4166666666667</v>
      </c>
      <c r="AD177" s="108">
        <f t="shared" si="76"/>
        <v>2016.5</v>
      </c>
      <c r="AE177" s="108">
        <f t="shared" si="77"/>
        <v>-8.3333333333333329E-2</v>
      </c>
      <c r="AF177" s="108">
        <f t="shared" si="78"/>
        <v>2028.4166666666667</v>
      </c>
      <c r="AG177" s="108">
        <f t="shared" si="79"/>
        <v>2016.5</v>
      </c>
      <c r="AH177" s="108">
        <f t="shared" si="80"/>
        <v>-8.3333333333333329E-2</v>
      </c>
    </row>
    <row r="178" spans="1:34" x14ac:dyDescent="0.25">
      <c r="A178">
        <v>190</v>
      </c>
      <c r="B178" t="s">
        <v>578</v>
      </c>
      <c r="C178">
        <v>2013</v>
      </c>
      <c r="D178">
        <v>6</v>
      </c>
      <c r="E178" s="75"/>
      <c r="F178" s="34" t="s">
        <v>436</v>
      </c>
      <c r="G178">
        <v>5</v>
      </c>
      <c r="H178">
        <f t="shared" si="61"/>
        <v>2018</v>
      </c>
      <c r="K178" s="32">
        <v>909.91</v>
      </c>
      <c r="L178" s="32"/>
      <c r="M178" s="32">
        <f t="shared" si="62"/>
        <v>909.91</v>
      </c>
      <c r="N178" s="107">
        <f t="shared" si="63"/>
        <v>15.165166666666666</v>
      </c>
      <c r="O178" s="107">
        <f t="shared" si="64"/>
        <v>181.982</v>
      </c>
      <c r="P178" s="107">
        <f t="shared" si="65"/>
        <v>0</v>
      </c>
      <c r="Q178" s="107">
        <f t="shared" si="66"/>
        <v>181.982</v>
      </c>
      <c r="R178" s="105">
        <v>1</v>
      </c>
      <c r="S178" s="107">
        <f t="shared" si="67"/>
        <v>181.982</v>
      </c>
      <c r="T178" s="105"/>
      <c r="U178" s="107">
        <f t="shared" si="68"/>
        <v>561.11116666665282</v>
      </c>
      <c r="V178" s="107">
        <f t="shared" si="69"/>
        <v>561.11116666665282</v>
      </c>
      <c r="W178" s="105">
        <v>1</v>
      </c>
      <c r="X178" s="107">
        <f t="shared" si="70"/>
        <v>561.11116666665282</v>
      </c>
      <c r="Y178" s="107">
        <f t="shared" si="71"/>
        <v>743.09316666665279</v>
      </c>
      <c r="Z178" s="107">
        <f t="shared" si="72"/>
        <v>257.80783333334716</v>
      </c>
      <c r="AA178" s="107">
        <f t="shared" si="73"/>
        <v>2013.4166666666667</v>
      </c>
      <c r="AB178" s="107">
        <f t="shared" si="74"/>
        <v>2017.5</v>
      </c>
      <c r="AC178" s="107">
        <f t="shared" si="75"/>
        <v>2018.4166666666667</v>
      </c>
      <c r="AD178" s="108">
        <f t="shared" si="76"/>
        <v>2016.5</v>
      </c>
      <c r="AE178" s="108">
        <f t="shared" si="77"/>
        <v>-8.3333333333333329E-2</v>
      </c>
      <c r="AF178" s="108">
        <f t="shared" si="78"/>
        <v>2018.4166666666667</v>
      </c>
      <c r="AG178" s="108">
        <f t="shared" si="79"/>
        <v>2016.5</v>
      </c>
      <c r="AH178" s="108">
        <f t="shared" si="80"/>
        <v>-8.3333333333333329E-2</v>
      </c>
    </row>
    <row r="179" spans="1:34" x14ac:dyDescent="0.25">
      <c r="A179">
        <v>191</v>
      </c>
      <c r="B179" t="s">
        <v>579</v>
      </c>
      <c r="C179">
        <v>2013</v>
      </c>
      <c r="D179">
        <v>6</v>
      </c>
      <c r="E179" s="75"/>
      <c r="F179" s="34" t="s">
        <v>436</v>
      </c>
      <c r="G179">
        <v>5</v>
      </c>
      <c r="H179">
        <f t="shared" si="61"/>
        <v>2018</v>
      </c>
      <c r="K179" s="32">
        <v>4046.84</v>
      </c>
      <c r="L179" s="32"/>
      <c r="M179" s="32">
        <f t="shared" si="62"/>
        <v>4046.84</v>
      </c>
      <c r="N179" s="107">
        <f t="shared" si="63"/>
        <v>67.447333333333333</v>
      </c>
      <c r="O179" s="107">
        <f t="shared" si="64"/>
        <v>809.36799999999994</v>
      </c>
      <c r="P179" s="107">
        <f t="shared" si="65"/>
        <v>0</v>
      </c>
      <c r="Q179" s="107">
        <f t="shared" si="66"/>
        <v>809.36799999999994</v>
      </c>
      <c r="R179" s="105">
        <v>1</v>
      </c>
      <c r="S179" s="107">
        <f t="shared" si="67"/>
        <v>809.36799999999994</v>
      </c>
      <c r="T179" s="105"/>
      <c r="U179" s="107">
        <f t="shared" si="68"/>
        <v>2495.5513333332719</v>
      </c>
      <c r="V179" s="107">
        <f t="shared" si="69"/>
        <v>2495.5513333332719</v>
      </c>
      <c r="W179" s="105">
        <v>1</v>
      </c>
      <c r="X179" s="107">
        <f t="shared" si="70"/>
        <v>2495.5513333332719</v>
      </c>
      <c r="Y179" s="107">
        <f t="shared" si="71"/>
        <v>3304.9193333332719</v>
      </c>
      <c r="Z179" s="107">
        <f t="shared" si="72"/>
        <v>1146.6046666667282</v>
      </c>
      <c r="AA179" s="107">
        <f t="shared" si="73"/>
        <v>2013.4166666666667</v>
      </c>
      <c r="AB179" s="107">
        <f t="shared" si="74"/>
        <v>2017.5</v>
      </c>
      <c r="AC179" s="107">
        <f t="shared" si="75"/>
        <v>2018.4166666666667</v>
      </c>
      <c r="AD179" s="108">
        <f t="shared" si="76"/>
        <v>2016.5</v>
      </c>
      <c r="AE179" s="108">
        <f t="shared" si="77"/>
        <v>-8.3333333333333329E-2</v>
      </c>
      <c r="AF179" s="108">
        <f t="shared" si="78"/>
        <v>2018.4166666666667</v>
      </c>
      <c r="AG179" s="108">
        <f t="shared" si="79"/>
        <v>2016.5</v>
      </c>
      <c r="AH179" s="108">
        <f t="shared" si="80"/>
        <v>-8.3333333333333329E-2</v>
      </c>
    </row>
    <row r="180" spans="1:34" x14ac:dyDescent="0.25">
      <c r="A180">
        <v>192</v>
      </c>
      <c r="B180" t="s">
        <v>580</v>
      </c>
      <c r="C180">
        <v>2013</v>
      </c>
      <c r="D180">
        <v>6</v>
      </c>
      <c r="E180" s="75"/>
      <c r="F180" s="34" t="s">
        <v>436</v>
      </c>
      <c r="G180">
        <v>15</v>
      </c>
      <c r="H180">
        <f t="shared" si="61"/>
        <v>2028</v>
      </c>
      <c r="K180" s="32">
        <v>1823.09</v>
      </c>
      <c r="L180" s="32"/>
      <c r="M180" s="32">
        <f t="shared" si="62"/>
        <v>1823.09</v>
      </c>
      <c r="N180" s="107">
        <f t="shared" si="63"/>
        <v>10.128277777777777</v>
      </c>
      <c r="O180" s="107">
        <f t="shared" si="64"/>
        <v>121.53933333333333</v>
      </c>
      <c r="P180" s="107">
        <f t="shared" si="65"/>
        <v>0</v>
      </c>
      <c r="Q180" s="107">
        <f t="shared" si="66"/>
        <v>121.53933333333333</v>
      </c>
      <c r="R180" s="105">
        <v>1</v>
      </c>
      <c r="S180" s="107">
        <f t="shared" si="67"/>
        <v>121.53933333333333</v>
      </c>
      <c r="T180" s="105"/>
      <c r="U180" s="107">
        <f t="shared" si="68"/>
        <v>374.74627777776851</v>
      </c>
      <c r="V180" s="107">
        <f t="shared" si="69"/>
        <v>374.74627777776851</v>
      </c>
      <c r="W180" s="105">
        <v>1</v>
      </c>
      <c r="X180" s="107">
        <f t="shared" si="70"/>
        <v>374.74627777776851</v>
      </c>
      <c r="Y180" s="107">
        <f t="shared" si="71"/>
        <v>496.28561111110184</v>
      </c>
      <c r="Z180" s="107">
        <f t="shared" si="72"/>
        <v>1387.5740555555649</v>
      </c>
      <c r="AA180" s="107">
        <f t="shared" si="73"/>
        <v>2013.4166666666667</v>
      </c>
      <c r="AB180" s="107">
        <f t="shared" si="74"/>
        <v>2017.5</v>
      </c>
      <c r="AC180" s="107">
        <f t="shared" si="75"/>
        <v>2028.4166666666667</v>
      </c>
      <c r="AD180" s="108">
        <f t="shared" si="76"/>
        <v>2016.5</v>
      </c>
      <c r="AE180" s="108">
        <f t="shared" si="77"/>
        <v>-8.3333333333333329E-2</v>
      </c>
      <c r="AF180" s="108">
        <f t="shared" si="78"/>
        <v>2028.4166666666667</v>
      </c>
      <c r="AG180" s="108">
        <f t="shared" si="79"/>
        <v>2016.5</v>
      </c>
      <c r="AH180" s="108">
        <f t="shared" si="80"/>
        <v>-8.3333333333333329E-2</v>
      </c>
    </row>
    <row r="181" spans="1:34" x14ac:dyDescent="0.25">
      <c r="A181">
        <v>193</v>
      </c>
      <c r="B181" t="s">
        <v>581</v>
      </c>
      <c r="C181">
        <v>2013</v>
      </c>
      <c r="D181">
        <v>6</v>
      </c>
      <c r="E181" s="75"/>
      <c r="F181" s="34" t="s">
        <v>436</v>
      </c>
      <c r="G181">
        <v>5</v>
      </c>
      <c r="H181">
        <f t="shared" si="61"/>
        <v>2018</v>
      </c>
      <c r="K181" s="32">
        <v>16668.29</v>
      </c>
      <c r="L181" s="32"/>
      <c r="M181" s="32">
        <f t="shared" si="62"/>
        <v>16668.29</v>
      </c>
      <c r="N181" s="107">
        <f t="shared" si="63"/>
        <v>277.80483333333336</v>
      </c>
      <c r="O181" s="107">
        <f t="shared" si="64"/>
        <v>3333.6580000000004</v>
      </c>
      <c r="P181" s="107">
        <f t="shared" si="65"/>
        <v>0</v>
      </c>
      <c r="Q181" s="107">
        <f t="shared" si="66"/>
        <v>3333.6580000000004</v>
      </c>
      <c r="R181" s="105">
        <v>1</v>
      </c>
      <c r="S181" s="107">
        <f t="shared" si="67"/>
        <v>3333.6580000000004</v>
      </c>
      <c r="T181" s="105"/>
      <c r="U181" s="107">
        <f t="shared" si="68"/>
        <v>10278.778833333081</v>
      </c>
      <c r="V181" s="107">
        <f t="shared" si="69"/>
        <v>10278.778833333081</v>
      </c>
      <c r="W181" s="105">
        <v>1</v>
      </c>
      <c r="X181" s="107">
        <f t="shared" si="70"/>
        <v>10278.778833333081</v>
      </c>
      <c r="Y181" s="107">
        <f t="shared" si="71"/>
        <v>13612.436833333082</v>
      </c>
      <c r="Z181" s="107">
        <f t="shared" si="72"/>
        <v>4722.6821666669193</v>
      </c>
      <c r="AA181" s="107">
        <f t="shared" si="73"/>
        <v>2013.4166666666667</v>
      </c>
      <c r="AB181" s="107">
        <f t="shared" si="74"/>
        <v>2017.5</v>
      </c>
      <c r="AC181" s="107">
        <f t="shared" si="75"/>
        <v>2018.4166666666667</v>
      </c>
      <c r="AD181" s="108">
        <f t="shared" si="76"/>
        <v>2016.5</v>
      </c>
      <c r="AE181" s="108">
        <f t="shared" si="77"/>
        <v>-8.3333333333333329E-2</v>
      </c>
      <c r="AF181" s="108">
        <f t="shared" si="78"/>
        <v>2018.4166666666667</v>
      </c>
      <c r="AG181" s="108">
        <f t="shared" si="79"/>
        <v>2016.5</v>
      </c>
      <c r="AH181" s="108">
        <f t="shared" si="80"/>
        <v>-8.3333333333333329E-2</v>
      </c>
    </row>
    <row r="182" spans="1:34" x14ac:dyDescent="0.25">
      <c r="A182">
        <v>194</v>
      </c>
      <c r="B182" t="s">
        <v>582</v>
      </c>
      <c r="C182">
        <v>2013</v>
      </c>
      <c r="D182">
        <v>6</v>
      </c>
      <c r="E182" s="75"/>
      <c r="F182" s="34" t="s">
        <v>436</v>
      </c>
      <c r="G182">
        <v>5</v>
      </c>
      <c r="H182">
        <f t="shared" si="61"/>
        <v>2018</v>
      </c>
      <c r="K182" s="32">
        <v>1045.79</v>
      </c>
      <c r="L182" s="32"/>
      <c r="M182" s="32">
        <f t="shared" si="62"/>
        <v>1045.79</v>
      </c>
      <c r="N182" s="107">
        <f t="shared" si="63"/>
        <v>17.429833333333331</v>
      </c>
      <c r="O182" s="107">
        <f t="shared" si="64"/>
        <v>209.15799999999996</v>
      </c>
      <c r="P182" s="107">
        <f t="shared" si="65"/>
        <v>0</v>
      </c>
      <c r="Q182" s="107">
        <f t="shared" si="66"/>
        <v>209.15799999999996</v>
      </c>
      <c r="R182" s="105">
        <v>1</v>
      </c>
      <c r="S182" s="107">
        <f t="shared" si="67"/>
        <v>209.15799999999996</v>
      </c>
      <c r="T182" s="105"/>
      <c r="U182" s="107">
        <f t="shared" si="68"/>
        <v>644.90383333331738</v>
      </c>
      <c r="V182" s="107">
        <f t="shared" si="69"/>
        <v>644.90383333331738</v>
      </c>
      <c r="W182" s="105">
        <v>1</v>
      </c>
      <c r="X182" s="107">
        <f t="shared" si="70"/>
        <v>644.90383333331738</v>
      </c>
      <c r="Y182" s="107">
        <f t="shared" si="71"/>
        <v>854.06183333331728</v>
      </c>
      <c r="Z182" s="107">
        <f t="shared" si="72"/>
        <v>296.30716666668263</v>
      </c>
      <c r="AA182" s="107">
        <f t="shared" si="73"/>
        <v>2013.4166666666667</v>
      </c>
      <c r="AB182" s="107">
        <f t="shared" si="74"/>
        <v>2017.5</v>
      </c>
      <c r="AC182" s="107">
        <f t="shared" si="75"/>
        <v>2018.4166666666667</v>
      </c>
      <c r="AD182" s="108">
        <f t="shared" si="76"/>
        <v>2016.5</v>
      </c>
      <c r="AE182" s="108">
        <f t="shared" si="77"/>
        <v>-8.3333333333333329E-2</v>
      </c>
      <c r="AF182" s="108">
        <f t="shared" si="78"/>
        <v>2018.4166666666667</v>
      </c>
      <c r="AG182" s="108">
        <f t="shared" si="79"/>
        <v>2016.5</v>
      </c>
      <c r="AH182" s="108">
        <f t="shared" si="80"/>
        <v>-8.3333333333333329E-2</v>
      </c>
    </row>
    <row r="183" spans="1:34" x14ac:dyDescent="0.25">
      <c r="A183">
        <v>195</v>
      </c>
      <c r="B183" t="s">
        <v>583</v>
      </c>
      <c r="C183">
        <v>2013</v>
      </c>
      <c r="D183">
        <v>6</v>
      </c>
      <c r="E183" s="75"/>
      <c r="F183" s="34" t="s">
        <v>436</v>
      </c>
      <c r="G183">
        <v>15</v>
      </c>
      <c r="H183">
        <f t="shared" si="61"/>
        <v>2028</v>
      </c>
      <c r="K183" s="32">
        <v>19524.55</v>
      </c>
      <c r="L183" s="32"/>
      <c r="M183" s="32">
        <f t="shared" si="62"/>
        <v>19524.55</v>
      </c>
      <c r="N183" s="107">
        <f t="shared" si="63"/>
        <v>108.46972222222222</v>
      </c>
      <c r="O183" s="107">
        <f t="shared" si="64"/>
        <v>1301.6366666666665</v>
      </c>
      <c r="P183" s="107">
        <f t="shared" si="65"/>
        <v>0</v>
      </c>
      <c r="Q183" s="107">
        <f t="shared" si="66"/>
        <v>1301.6366666666665</v>
      </c>
      <c r="R183" s="105">
        <v>1</v>
      </c>
      <c r="S183" s="107">
        <f t="shared" si="67"/>
        <v>1301.6366666666665</v>
      </c>
      <c r="T183" s="105"/>
      <c r="U183" s="107">
        <f t="shared" si="68"/>
        <v>4013.3797222221233</v>
      </c>
      <c r="V183" s="107">
        <f t="shared" si="69"/>
        <v>4013.3797222221233</v>
      </c>
      <c r="W183" s="105">
        <v>1</v>
      </c>
      <c r="X183" s="107">
        <f t="shared" si="70"/>
        <v>4013.3797222221233</v>
      </c>
      <c r="Y183" s="107">
        <f t="shared" si="71"/>
        <v>5315.0163888887901</v>
      </c>
      <c r="Z183" s="107">
        <f t="shared" si="72"/>
        <v>14860.351944444541</v>
      </c>
      <c r="AA183" s="107">
        <f t="shared" si="73"/>
        <v>2013.4166666666667</v>
      </c>
      <c r="AB183" s="107">
        <f t="shared" si="74"/>
        <v>2017.5</v>
      </c>
      <c r="AC183" s="107">
        <f t="shared" si="75"/>
        <v>2028.4166666666667</v>
      </c>
      <c r="AD183" s="108">
        <f t="shared" si="76"/>
        <v>2016.5</v>
      </c>
      <c r="AE183" s="108">
        <f t="shared" si="77"/>
        <v>-8.3333333333333329E-2</v>
      </c>
      <c r="AF183" s="108">
        <f t="shared" si="78"/>
        <v>2028.4166666666667</v>
      </c>
      <c r="AG183" s="108">
        <f t="shared" si="79"/>
        <v>2016.5</v>
      </c>
      <c r="AH183" s="108">
        <f t="shared" si="80"/>
        <v>-8.3333333333333329E-2</v>
      </c>
    </row>
    <row r="184" spans="1:34" x14ac:dyDescent="0.25">
      <c r="A184">
        <v>196</v>
      </c>
      <c r="B184" t="s">
        <v>584</v>
      </c>
      <c r="C184">
        <v>2013</v>
      </c>
      <c r="D184">
        <v>6</v>
      </c>
      <c r="E184" s="75"/>
      <c r="F184" s="34" t="s">
        <v>436</v>
      </c>
      <c r="G184">
        <v>15</v>
      </c>
      <c r="H184">
        <f t="shared" si="61"/>
        <v>2028</v>
      </c>
      <c r="K184" s="32">
        <v>4182.76</v>
      </c>
      <c r="L184" s="32"/>
      <c r="M184" s="32">
        <f t="shared" si="62"/>
        <v>4182.76</v>
      </c>
      <c r="N184" s="107">
        <f t="shared" si="63"/>
        <v>23.237555555555556</v>
      </c>
      <c r="O184" s="107">
        <f t="shared" si="64"/>
        <v>278.85066666666665</v>
      </c>
      <c r="P184" s="107">
        <f t="shared" si="65"/>
        <v>0</v>
      </c>
      <c r="Q184" s="107">
        <f t="shared" si="66"/>
        <v>278.85066666666665</v>
      </c>
      <c r="R184" s="105">
        <v>1</v>
      </c>
      <c r="S184" s="107">
        <f t="shared" si="67"/>
        <v>278.85066666666665</v>
      </c>
      <c r="T184" s="105"/>
      <c r="U184" s="107">
        <f t="shared" si="68"/>
        <v>859.78955555553443</v>
      </c>
      <c r="V184" s="107">
        <f t="shared" si="69"/>
        <v>859.78955555553443</v>
      </c>
      <c r="W184" s="105">
        <v>1</v>
      </c>
      <c r="X184" s="107">
        <f t="shared" si="70"/>
        <v>859.78955555553443</v>
      </c>
      <c r="Y184" s="107">
        <f t="shared" si="71"/>
        <v>1138.6402222222011</v>
      </c>
      <c r="Z184" s="107">
        <f t="shared" si="72"/>
        <v>3183.5451111111324</v>
      </c>
      <c r="AA184" s="107">
        <f t="shared" si="73"/>
        <v>2013.4166666666667</v>
      </c>
      <c r="AB184" s="107">
        <f t="shared" si="74"/>
        <v>2017.5</v>
      </c>
      <c r="AC184" s="107">
        <f t="shared" si="75"/>
        <v>2028.4166666666667</v>
      </c>
      <c r="AD184" s="108">
        <f t="shared" si="76"/>
        <v>2016.5</v>
      </c>
      <c r="AE184" s="108">
        <f t="shared" si="77"/>
        <v>-8.3333333333333329E-2</v>
      </c>
      <c r="AF184" s="108">
        <f t="shared" si="78"/>
        <v>2028.4166666666667</v>
      </c>
      <c r="AG184" s="108">
        <f t="shared" si="79"/>
        <v>2016.5</v>
      </c>
      <c r="AH184" s="108">
        <f t="shared" si="80"/>
        <v>-8.3333333333333329E-2</v>
      </c>
    </row>
    <row r="185" spans="1:34" x14ac:dyDescent="0.25">
      <c r="A185">
        <v>197</v>
      </c>
      <c r="B185" t="s">
        <v>585</v>
      </c>
      <c r="C185">
        <v>2013</v>
      </c>
      <c r="D185">
        <v>6</v>
      </c>
      <c r="E185" s="75"/>
      <c r="F185" s="34" t="s">
        <v>436</v>
      </c>
      <c r="G185">
        <v>15</v>
      </c>
      <c r="H185">
        <f t="shared" si="61"/>
        <v>2028</v>
      </c>
      <c r="K185" s="32">
        <v>26837.200000000001</v>
      </c>
      <c r="L185" s="32"/>
      <c r="M185" s="32">
        <f t="shared" si="62"/>
        <v>26837.200000000001</v>
      </c>
      <c r="N185" s="107">
        <f t="shared" si="63"/>
        <v>149.09555555555556</v>
      </c>
      <c r="O185" s="107">
        <f t="shared" si="64"/>
        <v>1789.1466666666668</v>
      </c>
      <c r="P185" s="107">
        <f t="shared" si="65"/>
        <v>0</v>
      </c>
      <c r="Q185" s="107">
        <f t="shared" si="66"/>
        <v>1789.1466666666668</v>
      </c>
      <c r="R185" s="105">
        <v>1</v>
      </c>
      <c r="S185" s="107">
        <f t="shared" si="67"/>
        <v>1789.1466666666668</v>
      </c>
      <c r="T185" s="105"/>
      <c r="U185" s="107">
        <f t="shared" si="68"/>
        <v>5516.5355555554206</v>
      </c>
      <c r="V185" s="107">
        <f t="shared" si="69"/>
        <v>5516.5355555554206</v>
      </c>
      <c r="W185" s="105">
        <v>1</v>
      </c>
      <c r="X185" s="107">
        <f t="shared" si="70"/>
        <v>5516.5355555554206</v>
      </c>
      <c r="Y185" s="107">
        <f t="shared" si="71"/>
        <v>7305.6822222220871</v>
      </c>
      <c r="Z185" s="107">
        <f t="shared" si="72"/>
        <v>20426.091111111247</v>
      </c>
      <c r="AA185" s="107">
        <f t="shared" si="73"/>
        <v>2013.4166666666667</v>
      </c>
      <c r="AB185" s="107">
        <f t="shared" si="74"/>
        <v>2017.5</v>
      </c>
      <c r="AC185" s="107">
        <f t="shared" si="75"/>
        <v>2028.4166666666667</v>
      </c>
      <c r="AD185" s="108">
        <f t="shared" si="76"/>
        <v>2016.5</v>
      </c>
      <c r="AE185" s="108">
        <f t="shared" si="77"/>
        <v>-8.3333333333333329E-2</v>
      </c>
      <c r="AF185" s="108">
        <f t="shared" si="78"/>
        <v>2028.4166666666667</v>
      </c>
      <c r="AG185" s="108">
        <f t="shared" si="79"/>
        <v>2016.5</v>
      </c>
      <c r="AH185" s="108">
        <f t="shared" si="80"/>
        <v>-8.3333333333333329E-2</v>
      </c>
    </row>
    <row r="186" spans="1:34" x14ac:dyDescent="0.25">
      <c r="A186">
        <v>198</v>
      </c>
      <c r="B186" t="s">
        <v>586</v>
      </c>
      <c r="C186">
        <v>2013</v>
      </c>
      <c r="D186">
        <v>6</v>
      </c>
      <c r="E186" s="75"/>
      <c r="F186" s="34" t="s">
        <v>436</v>
      </c>
      <c r="G186">
        <v>15</v>
      </c>
      <c r="H186">
        <f t="shared" si="61"/>
        <v>2028</v>
      </c>
      <c r="K186" s="32">
        <v>2738.2</v>
      </c>
      <c r="L186" s="32"/>
      <c r="M186" s="32">
        <f t="shared" si="62"/>
        <v>2738.2</v>
      </c>
      <c r="N186" s="107">
        <f t="shared" si="63"/>
        <v>15.212222222222222</v>
      </c>
      <c r="O186" s="107">
        <f t="shared" si="64"/>
        <v>182.54666666666665</v>
      </c>
      <c r="P186" s="107">
        <f t="shared" si="65"/>
        <v>0</v>
      </c>
      <c r="Q186" s="107">
        <f t="shared" si="66"/>
        <v>182.54666666666665</v>
      </c>
      <c r="R186" s="105">
        <v>1</v>
      </c>
      <c r="S186" s="107">
        <f t="shared" si="67"/>
        <v>182.54666666666665</v>
      </c>
      <c r="T186" s="105"/>
      <c r="U186" s="107">
        <f t="shared" si="68"/>
        <v>562.85222222220841</v>
      </c>
      <c r="V186" s="107">
        <f t="shared" si="69"/>
        <v>562.85222222220841</v>
      </c>
      <c r="W186" s="105">
        <v>1</v>
      </c>
      <c r="X186" s="107">
        <f t="shared" si="70"/>
        <v>562.85222222220841</v>
      </c>
      <c r="Y186" s="107">
        <f t="shared" si="71"/>
        <v>745.39888888887504</v>
      </c>
      <c r="Z186" s="107">
        <f t="shared" si="72"/>
        <v>2084.0744444444581</v>
      </c>
      <c r="AA186" s="107">
        <f t="shared" si="73"/>
        <v>2013.4166666666667</v>
      </c>
      <c r="AB186" s="107">
        <f t="shared" si="74"/>
        <v>2017.5</v>
      </c>
      <c r="AC186" s="107">
        <f t="shared" si="75"/>
        <v>2028.4166666666667</v>
      </c>
      <c r="AD186" s="108">
        <f t="shared" si="76"/>
        <v>2016.5</v>
      </c>
      <c r="AE186" s="108">
        <f t="shared" si="77"/>
        <v>-8.3333333333333329E-2</v>
      </c>
      <c r="AF186" s="108">
        <f t="shared" si="78"/>
        <v>2028.4166666666667</v>
      </c>
      <c r="AG186" s="108">
        <f t="shared" si="79"/>
        <v>2016.5</v>
      </c>
      <c r="AH186" s="108">
        <f t="shared" si="80"/>
        <v>-8.3333333333333329E-2</v>
      </c>
    </row>
    <row r="187" spans="1:34" x14ac:dyDescent="0.25">
      <c r="A187">
        <v>199</v>
      </c>
      <c r="B187" t="s">
        <v>587</v>
      </c>
      <c r="C187">
        <v>2013</v>
      </c>
      <c r="D187">
        <v>6</v>
      </c>
      <c r="E187" s="75"/>
      <c r="F187" s="34" t="s">
        <v>436</v>
      </c>
      <c r="G187">
        <v>15</v>
      </c>
      <c r="H187">
        <f t="shared" si="61"/>
        <v>2028</v>
      </c>
      <c r="K187" s="32">
        <v>1359.99</v>
      </c>
      <c r="L187" s="32"/>
      <c r="M187" s="32">
        <f t="shared" si="62"/>
        <v>1359.99</v>
      </c>
      <c r="N187" s="107">
        <f t="shared" si="63"/>
        <v>7.5554999999999994</v>
      </c>
      <c r="O187" s="107">
        <f t="shared" si="64"/>
        <v>90.665999999999997</v>
      </c>
      <c r="P187" s="107">
        <f t="shared" si="65"/>
        <v>0</v>
      </c>
      <c r="Q187" s="107">
        <f t="shared" si="66"/>
        <v>90.665999999999997</v>
      </c>
      <c r="R187" s="105">
        <v>1</v>
      </c>
      <c r="S187" s="107">
        <f t="shared" si="67"/>
        <v>90.665999999999997</v>
      </c>
      <c r="T187" s="105"/>
      <c r="U187" s="107">
        <f t="shared" si="68"/>
        <v>279.55349999999311</v>
      </c>
      <c r="V187" s="107">
        <f t="shared" si="69"/>
        <v>279.55349999999311</v>
      </c>
      <c r="W187" s="105">
        <v>1</v>
      </c>
      <c r="X187" s="107">
        <f t="shared" si="70"/>
        <v>279.55349999999311</v>
      </c>
      <c r="Y187" s="107">
        <f t="shared" si="71"/>
        <v>370.2194999999931</v>
      </c>
      <c r="Z187" s="107">
        <f t="shared" si="72"/>
        <v>1035.103500000007</v>
      </c>
      <c r="AA187" s="107">
        <f t="shared" si="73"/>
        <v>2013.4166666666667</v>
      </c>
      <c r="AB187" s="107">
        <f t="shared" si="74"/>
        <v>2017.5</v>
      </c>
      <c r="AC187" s="107">
        <f t="shared" si="75"/>
        <v>2028.4166666666667</v>
      </c>
      <c r="AD187" s="108">
        <f t="shared" si="76"/>
        <v>2016.5</v>
      </c>
      <c r="AE187" s="108">
        <f t="shared" si="77"/>
        <v>-8.3333333333333329E-2</v>
      </c>
      <c r="AF187" s="108">
        <f t="shared" si="78"/>
        <v>2028.4166666666667</v>
      </c>
      <c r="AG187" s="108">
        <f t="shared" si="79"/>
        <v>2016.5</v>
      </c>
      <c r="AH187" s="108">
        <f t="shared" si="80"/>
        <v>-8.3333333333333329E-2</v>
      </c>
    </row>
    <row r="188" spans="1:34" x14ac:dyDescent="0.25">
      <c r="A188">
        <v>200</v>
      </c>
      <c r="B188" t="s">
        <v>588</v>
      </c>
      <c r="C188">
        <v>2013</v>
      </c>
      <c r="D188">
        <v>6</v>
      </c>
      <c r="E188" s="75"/>
      <c r="F188" s="34" t="s">
        <v>436</v>
      </c>
      <c r="G188">
        <v>15</v>
      </c>
      <c r="H188">
        <f t="shared" si="61"/>
        <v>2028</v>
      </c>
      <c r="K188" s="32">
        <v>58200</v>
      </c>
      <c r="L188" s="32"/>
      <c r="M188" s="32">
        <f t="shared" si="62"/>
        <v>58200</v>
      </c>
      <c r="N188" s="107">
        <f t="shared" si="63"/>
        <v>323.33333333333331</v>
      </c>
      <c r="O188" s="107">
        <f t="shared" si="64"/>
        <v>3880</v>
      </c>
      <c r="P188" s="107">
        <f t="shared" si="65"/>
        <v>0</v>
      </c>
      <c r="Q188" s="107">
        <f t="shared" si="66"/>
        <v>3880</v>
      </c>
      <c r="R188" s="105">
        <v>1</v>
      </c>
      <c r="S188" s="107">
        <f t="shared" si="67"/>
        <v>3880</v>
      </c>
      <c r="T188" s="105"/>
      <c r="U188" s="107">
        <f t="shared" si="68"/>
        <v>11963.333333333039</v>
      </c>
      <c r="V188" s="107">
        <f t="shared" si="69"/>
        <v>11963.333333333039</v>
      </c>
      <c r="W188" s="105">
        <v>1</v>
      </c>
      <c r="X188" s="107">
        <f t="shared" si="70"/>
        <v>11963.333333333039</v>
      </c>
      <c r="Y188" s="107">
        <f t="shared" si="71"/>
        <v>15843.333333333039</v>
      </c>
      <c r="Z188" s="107">
        <f t="shared" si="72"/>
        <v>44296.666666666963</v>
      </c>
      <c r="AA188" s="107">
        <f t="shared" si="73"/>
        <v>2013.4166666666667</v>
      </c>
      <c r="AB188" s="107">
        <f t="shared" si="74"/>
        <v>2017.5</v>
      </c>
      <c r="AC188" s="107">
        <f t="shared" si="75"/>
        <v>2028.4166666666667</v>
      </c>
      <c r="AD188" s="108">
        <f t="shared" si="76"/>
        <v>2016.5</v>
      </c>
      <c r="AE188" s="108">
        <f t="shared" si="77"/>
        <v>-8.3333333333333329E-2</v>
      </c>
      <c r="AF188" s="108">
        <f t="shared" si="78"/>
        <v>2028.4166666666667</v>
      </c>
      <c r="AG188" s="108">
        <f t="shared" si="79"/>
        <v>2016.5</v>
      </c>
      <c r="AH188" s="108">
        <f t="shared" si="80"/>
        <v>-8.3333333333333329E-2</v>
      </c>
    </row>
    <row r="189" spans="1:34" x14ac:dyDescent="0.25">
      <c r="A189">
        <v>201</v>
      </c>
      <c r="B189" t="s">
        <v>589</v>
      </c>
      <c r="C189">
        <v>2013</v>
      </c>
      <c r="D189">
        <v>6</v>
      </c>
      <c r="E189" s="75"/>
      <c r="F189" s="34" t="s">
        <v>436</v>
      </c>
      <c r="G189">
        <v>15</v>
      </c>
      <c r="H189">
        <f t="shared" si="61"/>
        <v>2028</v>
      </c>
      <c r="K189" s="32">
        <v>3573.27</v>
      </c>
      <c r="L189" s="32"/>
      <c r="M189" s="32">
        <f t="shared" si="62"/>
        <v>3573.27</v>
      </c>
      <c r="N189" s="107">
        <f t="shared" si="63"/>
        <v>19.851499999999998</v>
      </c>
      <c r="O189" s="107">
        <f t="shared" si="64"/>
        <v>238.21799999999996</v>
      </c>
      <c r="P189" s="107">
        <f t="shared" si="65"/>
        <v>0</v>
      </c>
      <c r="Q189" s="107">
        <f t="shared" si="66"/>
        <v>238.21799999999996</v>
      </c>
      <c r="R189" s="105">
        <v>1</v>
      </c>
      <c r="S189" s="107">
        <f t="shared" si="67"/>
        <v>238.21799999999996</v>
      </c>
      <c r="T189" s="105"/>
      <c r="U189" s="107">
        <f t="shared" si="68"/>
        <v>734.50549999998191</v>
      </c>
      <c r="V189" s="107">
        <f t="shared" si="69"/>
        <v>734.50549999998191</v>
      </c>
      <c r="W189" s="105">
        <v>1</v>
      </c>
      <c r="X189" s="107">
        <f t="shared" si="70"/>
        <v>734.50549999998191</v>
      </c>
      <c r="Y189" s="107">
        <f t="shared" si="71"/>
        <v>972.72349999998187</v>
      </c>
      <c r="Z189" s="107">
        <f t="shared" si="72"/>
        <v>2719.655500000018</v>
      </c>
      <c r="AA189" s="107">
        <f t="shared" si="73"/>
        <v>2013.4166666666667</v>
      </c>
      <c r="AB189" s="107">
        <f t="shared" si="74"/>
        <v>2017.5</v>
      </c>
      <c r="AC189" s="107">
        <f t="shared" si="75"/>
        <v>2028.4166666666667</v>
      </c>
      <c r="AD189" s="108">
        <f t="shared" si="76"/>
        <v>2016.5</v>
      </c>
      <c r="AE189" s="108">
        <f t="shared" si="77"/>
        <v>-8.3333333333333329E-2</v>
      </c>
      <c r="AF189" s="108">
        <f t="shared" si="78"/>
        <v>2028.4166666666667</v>
      </c>
      <c r="AG189" s="108">
        <f t="shared" si="79"/>
        <v>2016.5</v>
      </c>
      <c r="AH189" s="108">
        <f t="shared" si="80"/>
        <v>-8.3333333333333329E-2</v>
      </c>
    </row>
    <row r="190" spans="1:34" x14ac:dyDescent="0.25">
      <c r="A190">
        <v>202</v>
      </c>
      <c r="B190" t="s">
        <v>590</v>
      </c>
      <c r="C190">
        <v>2013</v>
      </c>
      <c r="D190">
        <v>6</v>
      </c>
      <c r="E190" s="75"/>
      <c r="F190" s="34" t="s">
        <v>436</v>
      </c>
      <c r="G190">
        <v>15</v>
      </c>
      <c r="H190">
        <f t="shared" si="61"/>
        <v>2028</v>
      </c>
      <c r="K190" s="32">
        <v>10251.969999999999</v>
      </c>
      <c r="L190" s="32"/>
      <c r="M190" s="32">
        <f t="shared" si="62"/>
        <v>10251.969999999999</v>
      </c>
      <c r="N190" s="107">
        <f t="shared" si="63"/>
        <v>56.955388888888884</v>
      </c>
      <c r="O190" s="107">
        <f t="shared" si="64"/>
        <v>683.46466666666663</v>
      </c>
      <c r="P190" s="107">
        <f t="shared" si="65"/>
        <v>0</v>
      </c>
      <c r="Q190" s="107">
        <f t="shared" si="66"/>
        <v>683.46466666666663</v>
      </c>
      <c r="R190" s="105">
        <v>1</v>
      </c>
      <c r="S190" s="107">
        <f t="shared" si="67"/>
        <v>683.46466666666663</v>
      </c>
      <c r="T190" s="105"/>
      <c r="U190" s="107">
        <f t="shared" si="68"/>
        <v>2107.349388888837</v>
      </c>
      <c r="V190" s="107">
        <f t="shared" si="69"/>
        <v>2107.349388888837</v>
      </c>
      <c r="W190" s="105">
        <v>1</v>
      </c>
      <c r="X190" s="107">
        <f t="shared" si="70"/>
        <v>2107.349388888837</v>
      </c>
      <c r="Y190" s="107">
        <f t="shared" si="71"/>
        <v>2790.8140555555037</v>
      </c>
      <c r="Z190" s="107">
        <f t="shared" si="72"/>
        <v>7802.888277777829</v>
      </c>
      <c r="AA190" s="107">
        <f t="shared" si="73"/>
        <v>2013.4166666666667</v>
      </c>
      <c r="AB190" s="107">
        <f t="shared" si="74"/>
        <v>2017.5</v>
      </c>
      <c r="AC190" s="107">
        <f t="shared" si="75"/>
        <v>2028.4166666666667</v>
      </c>
      <c r="AD190" s="108">
        <f t="shared" si="76"/>
        <v>2016.5</v>
      </c>
      <c r="AE190" s="108">
        <f t="shared" si="77"/>
        <v>-8.3333333333333329E-2</v>
      </c>
      <c r="AF190" s="108">
        <f t="shared" si="78"/>
        <v>2028.4166666666667</v>
      </c>
      <c r="AG190" s="108">
        <f t="shared" si="79"/>
        <v>2016.5</v>
      </c>
      <c r="AH190" s="108">
        <f t="shared" si="80"/>
        <v>-8.3333333333333329E-2</v>
      </c>
    </row>
    <row r="191" spans="1:34" x14ac:dyDescent="0.25">
      <c r="A191">
        <v>203</v>
      </c>
      <c r="B191" t="s">
        <v>591</v>
      </c>
      <c r="C191">
        <v>2013</v>
      </c>
      <c r="D191">
        <v>6</v>
      </c>
      <c r="E191" s="75"/>
      <c r="F191" s="34" t="s">
        <v>436</v>
      </c>
      <c r="G191">
        <v>10</v>
      </c>
      <c r="H191">
        <f t="shared" si="61"/>
        <v>2023</v>
      </c>
      <c r="K191" s="32">
        <v>1500</v>
      </c>
      <c r="L191" s="32"/>
      <c r="M191" s="32">
        <f t="shared" si="62"/>
        <v>1500</v>
      </c>
      <c r="N191" s="107">
        <f t="shared" si="63"/>
        <v>12.5</v>
      </c>
      <c r="O191" s="107">
        <f t="shared" si="64"/>
        <v>150</v>
      </c>
      <c r="P191" s="107">
        <f t="shared" si="65"/>
        <v>0</v>
      </c>
      <c r="Q191" s="107">
        <f t="shared" si="66"/>
        <v>150</v>
      </c>
      <c r="R191" s="105">
        <v>1</v>
      </c>
      <c r="S191" s="107">
        <f t="shared" si="67"/>
        <v>150</v>
      </c>
      <c r="T191" s="105"/>
      <c r="U191" s="107">
        <f t="shared" si="68"/>
        <v>462.49999999998863</v>
      </c>
      <c r="V191" s="107">
        <f t="shared" si="69"/>
        <v>462.49999999998863</v>
      </c>
      <c r="W191" s="105">
        <v>1</v>
      </c>
      <c r="X191" s="107">
        <f t="shared" si="70"/>
        <v>462.49999999998863</v>
      </c>
      <c r="Y191" s="107">
        <f t="shared" si="71"/>
        <v>612.49999999998863</v>
      </c>
      <c r="Z191" s="107">
        <f t="shared" si="72"/>
        <v>962.50000000001137</v>
      </c>
      <c r="AA191" s="107">
        <f t="shared" si="73"/>
        <v>2013.4166666666667</v>
      </c>
      <c r="AB191" s="107">
        <f t="shared" si="74"/>
        <v>2017.5</v>
      </c>
      <c r="AC191" s="107">
        <f t="shared" si="75"/>
        <v>2023.4166666666667</v>
      </c>
      <c r="AD191" s="108">
        <f t="shared" si="76"/>
        <v>2016.5</v>
      </c>
      <c r="AE191" s="108">
        <f t="shared" si="77"/>
        <v>-8.3333333333333329E-2</v>
      </c>
      <c r="AF191" s="108">
        <f t="shared" si="78"/>
        <v>2023.4166666666667</v>
      </c>
      <c r="AG191" s="108">
        <f t="shared" si="79"/>
        <v>2016.5</v>
      </c>
      <c r="AH191" s="108">
        <f t="shared" si="80"/>
        <v>-8.3333333333333329E-2</v>
      </c>
    </row>
    <row r="192" spans="1:34" x14ac:dyDescent="0.25">
      <c r="A192">
        <v>204</v>
      </c>
      <c r="B192" t="s">
        <v>592</v>
      </c>
      <c r="C192">
        <v>2013</v>
      </c>
      <c r="D192">
        <v>6</v>
      </c>
      <c r="E192" s="75"/>
      <c r="F192" s="34" t="s">
        <v>436</v>
      </c>
      <c r="G192">
        <v>5</v>
      </c>
      <c r="H192">
        <f t="shared" si="61"/>
        <v>2018</v>
      </c>
      <c r="K192" s="32">
        <v>437.94</v>
      </c>
      <c r="L192" s="32"/>
      <c r="M192" s="32">
        <f t="shared" si="62"/>
        <v>437.94</v>
      </c>
      <c r="N192" s="107">
        <f t="shared" si="63"/>
        <v>7.2989999999999995</v>
      </c>
      <c r="O192" s="107">
        <f t="shared" si="64"/>
        <v>87.587999999999994</v>
      </c>
      <c r="P192" s="107">
        <f t="shared" si="65"/>
        <v>0</v>
      </c>
      <c r="Q192" s="107">
        <f t="shared" si="66"/>
        <v>87.587999999999994</v>
      </c>
      <c r="R192" s="105">
        <v>1</v>
      </c>
      <c r="S192" s="107">
        <f t="shared" si="67"/>
        <v>87.587999999999994</v>
      </c>
      <c r="T192" s="105"/>
      <c r="U192" s="107">
        <f t="shared" si="68"/>
        <v>270.06299999999334</v>
      </c>
      <c r="V192" s="107">
        <f t="shared" si="69"/>
        <v>270.06299999999334</v>
      </c>
      <c r="W192" s="105">
        <v>1</v>
      </c>
      <c r="X192" s="107">
        <f t="shared" si="70"/>
        <v>270.06299999999334</v>
      </c>
      <c r="Y192" s="107">
        <f t="shared" si="71"/>
        <v>357.65099999999336</v>
      </c>
      <c r="Z192" s="107">
        <f t="shared" si="72"/>
        <v>124.08300000000665</v>
      </c>
      <c r="AA192" s="107">
        <f t="shared" si="73"/>
        <v>2013.4166666666667</v>
      </c>
      <c r="AB192" s="107">
        <f t="shared" si="74"/>
        <v>2017.5</v>
      </c>
      <c r="AC192" s="107">
        <f t="shared" si="75"/>
        <v>2018.4166666666667</v>
      </c>
      <c r="AD192" s="108">
        <f t="shared" si="76"/>
        <v>2016.5</v>
      </c>
      <c r="AE192" s="108">
        <f t="shared" si="77"/>
        <v>-8.3333333333333329E-2</v>
      </c>
      <c r="AF192" s="108">
        <f t="shared" si="78"/>
        <v>2018.4166666666667</v>
      </c>
      <c r="AG192" s="108">
        <f t="shared" si="79"/>
        <v>2016.5</v>
      </c>
      <c r="AH192" s="108">
        <f t="shared" si="80"/>
        <v>-8.3333333333333329E-2</v>
      </c>
    </row>
    <row r="193" spans="1:34" x14ac:dyDescent="0.25">
      <c r="A193">
        <v>208</v>
      </c>
      <c r="B193" t="s">
        <v>593</v>
      </c>
      <c r="C193">
        <v>2014</v>
      </c>
      <c r="D193">
        <v>12</v>
      </c>
      <c r="E193" s="75"/>
      <c r="F193" s="34" t="s">
        <v>436</v>
      </c>
      <c r="G193">
        <v>5</v>
      </c>
      <c r="H193">
        <f t="shared" si="61"/>
        <v>2019</v>
      </c>
      <c r="K193" s="32">
        <v>56144.22</v>
      </c>
      <c r="L193" s="32"/>
      <c r="M193" s="32">
        <f t="shared" si="62"/>
        <v>56144.22</v>
      </c>
      <c r="N193" s="107">
        <f t="shared" si="63"/>
        <v>935.73700000000008</v>
      </c>
      <c r="O193" s="107">
        <f t="shared" si="64"/>
        <v>11228.844000000001</v>
      </c>
      <c r="P193" s="107">
        <f t="shared" si="65"/>
        <v>0</v>
      </c>
      <c r="Q193" s="107">
        <f t="shared" si="66"/>
        <v>11228.844000000001</v>
      </c>
      <c r="R193" s="105">
        <v>1</v>
      </c>
      <c r="S193" s="107">
        <f t="shared" si="67"/>
        <v>11228.844000000001</v>
      </c>
      <c r="T193" s="105"/>
      <c r="U193" s="107">
        <f t="shared" si="68"/>
        <v>17779.002999999149</v>
      </c>
      <c r="V193" s="107">
        <f t="shared" si="69"/>
        <v>17779.002999999149</v>
      </c>
      <c r="W193" s="105">
        <v>1</v>
      </c>
      <c r="X193" s="107">
        <f t="shared" si="70"/>
        <v>17779.002999999149</v>
      </c>
      <c r="Y193" s="107">
        <f t="shared" si="71"/>
        <v>29007.84699999915</v>
      </c>
      <c r="Z193" s="107">
        <f t="shared" si="72"/>
        <v>32750.79500000085</v>
      </c>
      <c r="AA193" s="107">
        <f t="shared" si="73"/>
        <v>2014.9166666666667</v>
      </c>
      <c r="AB193" s="107">
        <f t="shared" si="74"/>
        <v>2017.5</v>
      </c>
      <c r="AC193" s="107">
        <f t="shared" si="75"/>
        <v>2019.9166666666667</v>
      </c>
      <c r="AD193" s="108">
        <f t="shared" si="76"/>
        <v>2016.5</v>
      </c>
      <c r="AE193" s="108">
        <f t="shared" si="77"/>
        <v>-8.3333333333333329E-2</v>
      </c>
      <c r="AF193" s="108">
        <f t="shared" si="78"/>
        <v>2019.9166666666667</v>
      </c>
      <c r="AG193" s="108">
        <f t="shared" si="79"/>
        <v>2016.5</v>
      </c>
      <c r="AH193" s="108">
        <f t="shared" si="80"/>
        <v>-8.3333333333333329E-2</v>
      </c>
    </row>
    <row r="194" spans="1:34" x14ac:dyDescent="0.25">
      <c r="A194">
        <v>209</v>
      </c>
      <c r="B194" t="s">
        <v>594</v>
      </c>
      <c r="C194">
        <v>2014</v>
      </c>
      <c r="D194">
        <v>11</v>
      </c>
      <c r="E194" s="75"/>
      <c r="F194" s="34" t="s">
        <v>436</v>
      </c>
      <c r="G194">
        <v>100</v>
      </c>
      <c r="H194">
        <f t="shared" si="61"/>
        <v>2114</v>
      </c>
      <c r="K194" s="32">
        <v>77600</v>
      </c>
      <c r="L194" s="32"/>
      <c r="M194" s="32">
        <f t="shared" si="62"/>
        <v>77600</v>
      </c>
      <c r="N194" s="107">
        <f t="shared" si="63"/>
        <v>64.666666666666671</v>
      </c>
      <c r="O194" s="107">
        <f t="shared" si="64"/>
        <v>776</v>
      </c>
      <c r="P194" s="107">
        <f t="shared" si="65"/>
        <v>0</v>
      </c>
      <c r="Q194" s="107">
        <f t="shared" si="66"/>
        <v>776</v>
      </c>
      <c r="R194" s="105">
        <v>1</v>
      </c>
      <c r="S194" s="107">
        <f t="shared" si="67"/>
        <v>776</v>
      </c>
      <c r="T194" s="105"/>
      <c r="U194" s="107">
        <f t="shared" si="68"/>
        <v>1293.3333333333921</v>
      </c>
      <c r="V194" s="107">
        <f t="shared" si="69"/>
        <v>1293.3333333333921</v>
      </c>
      <c r="W194" s="105">
        <v>1</v>
      </c>
      <c r="X194" s="107">
        <f t="shared" si="70"/>
        <v>1293.3333333333921</v>
      </c>
      <c r="Y194" s="107">
        <f t="shared" si="71"/>
        <v>2069.3333333333921</v>
      </c>
      <c r="Z194" s="107">
        <f t="shared" si="72"/>
        <v>75918.666666666613</v>
      </c>
      <c r="AA194" s="107">
        <f t="shared" si="73"/>
        <v>2014.8333333333333</v>
      </c>
      <c r="AB194" s="107">
        <f t="shared" si="74"/>
        <v>2017.5</v>
      </c>
      <c r="AC194" s="107">
        <f t="shared" si="75"/>
        <v>2114.8333333333335</v>
      </c>
      <c r="AD194" s="108">
        <f t="shared" si="76"/>
        <v>2016.5</v>
      </c>
      <c r="AE194" s="108">
        <f t="shared" si="77"/>
        <v>-8.3333333333333329E-2</v>
      </c>
      <c r="AF194" s="108">
        <f t="shared" si="78"/>
        <v>2114.8333333333335</v>
      </c>
      <c r="AG194" s="108">
        <f t="shared" si="79"/>
        <v>2016.5</v>
      </c>
      <c r="AH194" s="108">
        <f t="shared" si="80"/>
        <v>-8.3333333333333329E-2</v>
      </c>
    </row>
    <row r="195" spans="1:34" x14ac:dyDescent="0.25">
      <c r="A195">
        <v>210</v>
      </c>
      <c r="B195" t="s">
        <v>595</v>
      </c>
      <c r="C195">
        <v>2014</v>
      </c>
      <c r="D195">
        <v>9</v>
      </c>
      <c r="E195" s="75"/>
      <c r="F195" s="34" t="s">
        <v>436</v>
      </c>
      <c r="G195">
        <v>15</v>
      </c>
      <c r="H195">
        <f t="shared" si="61"/>
        <v>2029</v>
      </c>
      <c r="K195" s="32">
        <v>120911.33</v>
      </c>
      <c r="L195" s="32"/>
      <c r="M195" s="32">
        <f t="shared" si="62"/>
        <v>120911.33</v>
      </c>
      <c r="N195" s="107">
        <f t="shared" si="63"/>
        <v>671.72961111111113</v>
      </c>
      <c r="O195" s="107">
        <f t="shared" si="64"/>
        <v>8060.7553333333335</v>
      </c>
      <c r="P195" s="107">
        <f t="shared" si="65"/>
        <v>0</v>
      </c>
      <c r="Q195" s="107">
        <f t="shared" si="66"/>
        <v>8060.7553333333335</v>
      </c>
      <c r="R195" s="105">
        <v>1</v>
      </c>
      <c r="S195" s="107">
        <f t="shared" si="67"/>
        <v>8060.7553333333335</v>
      </c>
      <c r="T195" s="105"/>
      <c r="U195" s="107">
        <f t="shared" si="68"/>
        <v>14778.051444443834</v>
      </c>
      <c r="V195" s="107">
        <f t="shared" si="69"/>
        <v>14778.051444443834</v>
      </c>
      <c r="W195" s="105">
        <v>1</v>
      </c>
      <c r="X195" s="107">
        <f t="shared" si="70"/>
        <v>14778.051444443834</v>
      </c>
      <c r="Y195" s="107">
        <f t="shared" si="71"/>
        <v>22838.806777777168</v>
      </c>
      <c r="Z195" s="107">
        <f t="shared" si="72"/>
        <v>102102.9008888895</v>
      </c>
      <c r="AA195" s="107">
        <f t="shared" si="73"/>
        <v>2014.6666666666667</v>
      </c>
      <c r="AB195" s="107">
        <f t="shared" si="74"/>
        <v>2017.5</v>
      </c>
      <c r="AC195" s="107">
        <f t="shared" si="75"/>
        <v>2029.6666666666667</v>
      </c>
      <c r="AD195" s="108">
        <f t="shared" si="76"/>
        <v>2016.5</v>
      </c>
      <c r="AE195" s="108">
        <f t="shared" si="77"/>
        <v>-8.3333333333333329E-2</v>
      </c>
      <c r="AF195" s="108">
        <f t="shared" si="78"/>
        <v>2029.6666666666667</v>
      </c>
      <c r="AG195" s="108">
        <f t="shared" si="79"/>
        <v>2016.5</v>
      </c>
      <c r="AH195" s="108">
        <f t="shared" si="80"/>
        <v>-8.3333333333333329E-2</v>
      </c>
    </row>
    <row r="196" spans="1:34" x14ac:dyDescent="0.25">
      <c r="A196">
        <v>211</v>
      </c>
      <c r="B196" t="s">
        <v>762</v>
      </c>
      <c r="C196">
        <v>2014</v>
      </c>
      <c r="D196">
        <v>12</v>
      </c>
      <c r="E196" s="75"/>
      <c r="F196" s="34" t="s">
        <v>436</v>
      </c>
      <c r="G196">
        <v>15</v>
      </c>
      <c r="H196">
        <f t="shared" si="61"/>
        <v>2029</v>
      </c>
      <c r="K196" s="32">
        <v>227000</v>
      </c>
      <c r="L196" s="32"/>
      <c r="M196" s="32">
        <f t="shared" si="62"/>
        <v>227000</v>
      </c>
      <c r="N196" s="107">
        <f t="shared" si="63"/>
        <v>1261.1111111111111</v>
      </c>
      <c r="O196" s="107">
        <f t="shared" si="64"/>
        <v>15133.333333333332</v>
      </c>
      <c r="P196" s="107">
        <f t="shared" si="65"/>
        <v>0</v>
      </c>
      <c r="Q196" s="107">
        <f t="shared" si="66"/>
        <v>15133.333333333332</v>
      </c>
      <c r="R196" s="105">
        <v>1</v>
      </c>
      <c r="S196" s="107">
        <f t="shared" si="67"/>
        <v>15133.333333333332</v>
      </c>
      <c r="T196" s="105"/>
      <c r="U196" s="107">
        <f t="shared" si="68"/>
        <v>23961.111111109964</v>
      </c>
      <c r="V196" s="107">
        <f t="shared" si="69"/>
        <v>23961.111111109964</v>
      </c>
      <c r="W196" s="105">
        <v>1</v>
      </c>
      <c r="X196" s="107">
        <f t="shared" si="70"/>
        <v>23961.111111109964</v>
      </c>
      <c r="Y196" s="107">
        <f t="shared" si="71"/>
        <v>39094.444444443296</v>
      </c>
      <c r="Z196" s="107">
        <f t="shared" si="72"/>
        <v>195472.22222222335</v>
      </c>
      <c r="AA196" s="107">
        <f t="shared" si="73"/>
        <v>2014.9166666666667</v>
      </c>
      <c r="AB196" s="107">
        <f t="shared" si="74"/>
        <v>2017.5</v>
      </c>
      <c r="AC196" s="107">
        <f t="shared" si="75"/>
        <v>2029.9166666666667</v>
      </c>
      <c r="AD196" s="108">
        <f t="shared" si="76"/>
        <v>2016.5</v>
      </c>
      <c r="AE196" s="108">
        <f t="shared" si="77"/>
        <v>-8.3333333333333329E-2</v>
      </c>
      <c r="AF196" s="108">
        <f t="shared" si="78"/>
        <v>2029.9166666666667</v>
      </c>
      <c r="AG196" s="108">
        <f t="shared" si="79"/>
        <v>2016.5</v>
      </c>
      <c r="AH196" s="108">
        <f t="shared" si="80"/>
        <v>-8.3333333333333329E-2</v>
      </c>
    </row>
    <row r="197" spans="1:34" x14ac:dyDescent="0.25">
      <c r="A197">
        <v>212</v>
      </c>
      <c r="B197" t="s">
        <v>596</v>
      </c>
      <c r="C197">
        <v>2014</v>
      </c>
      <c r="D197">
        <v>12</v>
      </c>
      <c r="E197" s="75"/>
      <c r="F197" s="34" t="s">
        <v>436</v>
      </c>
      <c r="G197">
        <v>15</v>
      </c>
      <c r="H197">
        <f t="shared" si="61"/>
        <v>2029</v>
      </c>
      <c r="K197" s="32">
        <v>71613.960000000006</v>
      </c>
      <c r="L197" s="32"/>
      <c r="M197" s="32">
        <f t="shared" si="62"/>
        <v>71613.960000000006</v>
      </c>
      <c r="N197" s="107">
        <f t="shared" si="63"/>
        <v>397.85533333333336</v>
      </c>
      <c r="O197" s="107">
        <f t="shared" si="64"/>
        <v>4774.2640000000001</v>
      </c>
      <c r="P197" s="107">
        <f t="shared" si="65"/>
        <v>0</v>
      </c>
      <c r="Q197" s="107">
        <f t="shared" si="66"/>
        <v>4774.2640000000001</v>
      </c>
      <c r="R197" s="105">
        <v>1</v>
      </c>
      <c r="S197" s="107">
        <f t="shared" si="67"/>
        <v>4774.2640000000001</v>
      </c>
      <c r="T197" s="105"/>
      <c r="U197" s="107">
        <f t="shared" si="68"/>
        <v>7559.2513333329716</v>
      </c>
      <c r="V197" s="107">
        <f t="shared" si="69"/>
        <v>7559.2513333329716</v>
      </c>
      <c r="W197" s="105">
        <v>1</v>
      </c>
      <c r="X197" s="107">
        <f t="shared" si="70"/>
        <v>7559.2513333329716</v>
      </c>
      <c r="Y197" s="107">
        <f t="shared" si="71"/>
        <v>12333.515333332973</v>
      </c>
      <c r="Z197" s="107">
        <f t="shared" si="72"/>
        <v>61667.576666667039</v>
      </c>
      <c r="AA197" s="107">
        <f t="shared" si="73"/>
        <v>2014.9166666666667</v>
      </c>
      <c r="AB197" s="107">
        <f t="shared" si="74"/>
        <v>2017.5</v>
      </c>
      <c r="AC197" s="107">
        <f t="shared" si="75"/>
        <v>2029.9166666666667</v>
      </c>
      <c r="AD197" s="108">
        <f t="shared" si="76"/>
        <v>2016.5</v>
      </c>
      <c r="AE197" s="108">
        <f t="shared" si="77"/>
        <v>-8.3333333333333329E-2</v>
      </c>
      <c r="AF197" s="108">
        <f t="shared" si="78"/>
        <v>2029.9166666666667</v>
      </c>
      <c r="AG197" s="108">
        <f t="shared" si="79"/>
        <v>2016.5</v>
      </c>
      <c r="AH197" s="108">
        <f t="shared" si="80"/>
        <v>-8.3333333333333329E-2</v>
      </c>
    </row>
    <row r="198" spans="1:34" x14ac:dyDescent="0.25">
      <c r="A198">
        <v>213</v>
      </c>
      <c r="B198" t="s">
        <v>597</v>
      </c>
      <c r="C198">
        <v>2014</v>
      </c>
      <c r="D198">
        <v>12</v>
      </c>
      <c r="E198" s="75"/>
      <c r="F198" s="34" t="s">
        <v>436</v>
      </c>
      <c r="G198">
        <v>15</v>
      </c>
      <c r="H198">
        <f t="shared" si="61"/>
        <v>2029</v>
      </c>
      <c r="K198" s="32">
        <v>19068</v>
      </c>
      <c r="L198" s="32"/>
      <c r="M198" s="32">
        <f t="shared" si="62"/>
        <v>19068</v>
      </c>
      <c r="N198" s="107">
        <f t="shared" si="63"/>
        <v>105.93333333333334</v>
      </c>
      <c r="O198" s="107">
        <f t="shared" si="64"/>
        <v>1271.2</v>
      </c>
      <c r="P198" s="107">
        <f t="shared" si="65"/>
        <v>0</v>
      </c>
      <c r="Q198" s="107">
        <f t="shared" si="66"/>
        <v>1271.2</v>
      </c>
      <c r="R198" s="105">
        <v>1</v>
      </c>
      <c r="S198" s="107">
        <f t="shared" si="67"/>
        <v>1271.2</v>
      </c>
      <c r="T198" s="105"/>
      <c r="U198" s="107">
        <f t="shared" si="68"/>
        <v>2012.7333333332372</v>
      </c>
      <c r="V198" s="107">
        <f t="shared" si="69"/>
        <v>2012.7333333332372</v>
      </c>
      <c r="W198" s="105">
        <v>1</v>
      </c>
      <c r="X198" s="107">
        <f t="shared" si="70"/>
        <v>2012.7333333332372</v>
      </c>
      <c r="Y198" s="107">
        <f t="shared" si="71"/>
        <v>3283.933333333237</v>
      </c>
      <c r="Z198" s="107">
        <f t="shared" si="72"/>
        <v>16419.666666666766</v>
      </c>
      <c r="AA198" s="107">
        <f t="shared" si="73"/>
        <v>2014.9166666666667</v>
      </c>
      <c r="AB198" s="107">
        <f t="shared" si="74"/>
        <v>2017.5</v>
      </c>
      <c r="AC198" s="107">
        <f t="shared" si="75"/>
        <v>2029.9166666666667</v>
      </c>
      <c r="AD198" s="108">
        <f t="shared" si="76"/>
        <v>2016.5</v>
      </c>
      <c r="AE198" s="108">
        <f t="shared" si="77"/>
        <v>-8.3333333333333329E-2</v>
      </c>
      <c r="AF198" s="108">
        <f t="shared" si="78"/>
        <v>2029.9166666666667</v>
      </c>
      <c r="AG198" s="108">
        <f t="shared" si="79"/>
        <v>2016.5</v>
      </c>
      <c r="AH198" s="108">
        <f t="shared" si="80"/>
        <v>-8.3333333333333329E-2</v>
      </c>
    </row>
    <row r="199" spans="1:34" x14ac:dyDescent="0.25">
      <c r="A199">
        <v>214</v>
      </c>
      <c r="B199" t="s">
        <v>598</v>
      </c>
      <c r="C199">
        <v>2014</v>
      </c>
      <c r="D199">
        <v>12</v>
      </c>
      <c r="E199" s="75"/>
      <c r="F199" s="34" t="s">
        <v>436</v>
      </c>
      <c r="G199">
        <v>15</v>
      </c>
      <c r="H199">
        <f t="shared" si="61"/>
        <v>2029</v>
      </c>
      <c r="K199" s="32">
        <v>273000</v>
      </c>
      <c r="L199" s="32"/>
      <c r="M199" s="32">
        <f t="shared" si="62"/>
        <v>273000</v>
      </c>
      <c r="N199" s="107">
        <f t="shared" si="63"/>
        <v>1516.6666666666667</v>
      </c>
      <c r="O199" s="107">
        <f t="shared" si="64"/>
        <v>18200</v>
      </c>
      <c r="P199" s="107">
        <f t="shared" si="65"/>
        <v>0</v>
      </c>
      <c r="Q199" s="107">
        <f t="shared" si="66"/>
        <v>18200</v>
      </c>
      <c r="R199" s="105">
        <v>1</v>
      </c>
      <c r="S199" s="107">
        <f t="shared" si="67"/>
        <v>18200</v>
      </c>
      <c r="T199" s="105"/>
      <c r="U199" s="107">
        <f t="shared" si="68"/>
        <v>28816.666666665289</v>
      </c>
      <c r="V199" s="107">
        <f t="shared" si="69"/>
        <v>28816.666666665289</v>
      </c>
      <c r="W199" s="105">
        <v>1</v>
      </c>
      <c r="X199" s="107">
        <f t="shared" si="70"/>
        <v>28816.666666665289</v>
      </c>
      <c r="Y199" s="107">
        <f t="shared" si="71"/>
        <v>47016.666666665289</v>
      </c>
      <c r="Z199" s="107">
        <f t="shared" si="72"/>
        <v>235083.33333333471</v>
      </c>
      <c r="AA199" s="107">
        <f t="shared" si="73"/>
        <v>2014.9166666666667</v>
      </c>
      <c r="AB199" s="107">
        <f t="shared" si="74"/>
        <v>2017.5</v>
      </c>
      <c r="AC199" s="107">
        <f t="shared" si="75"/>
        <v>2029.9166666666667</v>
      </c>
      <c r="AD199" s="108">
        <f t="shared" si="76"/>
        <v>2016.5</v>
      </c>
      <c r="AE199" s="108">
        <f t="shared" si="77"/>
        <v>-8.3333333333333329E-2</v>
      </c>
      <c r="AF199" s="108">
        <f t="shared" si="78"/>
        <v>2029.9166666666667</v>
      </c>
      <c r="AG199" s="108">
        <f t="shared" si="79"/>
        <v>2016.5</v>
      </c>
      <c r="AH199" s="108">
        <f t="shared" si="80"/>
        <v>-8.3333333333333329E-2</v>
      </c>
    </row>
    <row r="200" spans="1:34" x14ac:dyDescent="0.25">
      <c r="A200">
        <v>215</v>
      </c>
      <c r="B200" t="s">
        <v>763</v>
      </c>
      <c r="C200">
        <v>2014</v>
      </c>
      <c r="D200">
        <v>12</v>
      </c>
      <c r="E200" s="75"/>
      <c r="F200" s="34" t="s">
        <v>436</v>
      </c>
      <c r="G200">
        <v>15</v>
      </c>
      <c r="H200">
        <f t="shared" si="61"/>
        <v>2029</v>
      </c>
      <c r="K200" s="32">
        <v>86126.04</v>
      </c>
      <c r="L200" s="32"/>
      <c r="M200" s="32">
        <f t="shared" si="62"/>
        <v>86126.04</v>
      </c>
      <c r="N200" s="107">
        <f t="shared" si="63"/>
        <v>478.47800000000001</v>
      </c>
      <c r="O200" s="107">
        <f t="shared" si="64"/>
        <v>5741.7359999999999</v>
      </c>
      <c r="P200" s="107">
        <f t="shared" si="65"/>
        <v>0</v>
      </c>
      <c r="Q200" s="107">
        <f t="shared" si="66"/>
        <v>5741.7359999999999</v>
      </c>
      <c r="R200" s="105">
        <v>1</v>
      </c>
      <c r="S200" s="107">
        <f t="shared" si="67"/>
        <v>5741.7359999999999</v>
      </c>
      <c r="T200" s="105"/>
      <c r="U200" s="107">
        <f t="shared" si="68"/>
        <v>9091.0819999995656</v>
      </c>
      <c r="V200" s="107">
        <f t="shared" si="69"/>
        <v>9091.0819999995656</v>
      </c>
      <c r="W200" s="105">
        <v>1</v>
      </c>
      <c r="X200" s="107">
        <f t="shared" si="70"/>
        <v>9091.0819999995656</v>
      </c>
      <c r="Y200" s="107">
        <f t="shared" si="71"/>
        <v>14832.817999999566</v>
      </c>
      <c r="Z200" s="107">
        <f t="shared" si="72"/>
        <v>74164.090000000433</v>
      </c>
      <c r="AA200" s="107">
        <f t="shared" si="73"/>
        <v>2014.9166666666667</v>
      </c>
      <c r="AB200" s="107">
        <f t="shared" si="74"/>
        <v>2017.5</v>
      </c>
      <c r="AC200" s="107">
        <f t="shared" si="75"/>
        <v>2029.9166666666667</v>
      </c>
      <c r="AD200" s="108">
        <f t="shared" si="76"/>
        <v>2016.5</v>
      </c>
      <c r="AE200" s="108">
        <f t="shared" si="77"/>
        <v>-8.3333333333333329E-2</v>
      </c>
      <c r="AF200" s="108">
        <f t="shared" si="78"/>
        <v>2029.9166666666667</v>
      </c>
      <c r="AG200" s="108">
        <f t="shared" si="79"/>
        <v>2016.5</v>
      </c>
      <c r="AH200" s="108">
        <f t="shared" si="80"/>
        <v>-8.3333333333333329E-2</v>
      </c>
    </row>
    <row r="201" spans="1:34" x14ac:dyDescent="0.25">
      <c r="A201">
        <v>216</v>
      </c>
      <c r="B201" t="s">
        <v>599</v>
      </c>
      <c r="C201">
        <v>2014</v>
      </c>
      <c r="D201">
        <v>12</v>
      </c>
      <c r="E201" s="75"/>
      <c r="F201" s="34" t="s">
        <v>436</v>
      </c>
      <c r="G201">
        <v>15</v>
      </c>
      <c r="H201">
        <f t="shared" si="61"/>
        <v>2029</v>
      </c>
      <c r="K201" s="32">
        <v>22932</v>
      </c>
      <c r="L201" s="32"/>
      <c r="M201" s="32">
        <f t="shared" si="62"/>
        <v>22932</v>
      </c>
      <c r="N201" s="107">
        <f t="shared" si="63"/>
        <v>127.39999999999999</v>
      </c>
      <c r="O201" s="107">
        <f t="shared" si="64"/>
        <v>1528.8</v>
      </c>
      <c r="P201" s="107">
        <f t="shared" si="65"/>
        <v>0</v>
      </c>
      <c r="Q201" s="107">
        <f t="shared" si="66"/>
        <v>1528.8</v>
      </c>
      <c r="R201" s="105">
        <v>1</v>
      </c>
      <c r="S201" s="107">
        <f t="shared" si="67"/>
        <v>1528.8</v>
      </c>
      <c r="T201" s="105"/>
      <c r="U201" s="107">
        <f t="shared" si="68"/>
        <v>2420.5999999998839</v>
      </c>
      <c r="V201" s="107">
        <f t="shared" si="69"/>
        <v>2420.5999999998839</v>
      </c>
      <c r="W201" s="105">
        <v>1</v>
      </c>
      <c r="X201" s="107">
        <f t="shared" si="70"/>
        <v>2420.5999999998839</v>
      </c>
      <c r="Y201" s="107">
        <f t="shared" si="71"/>
        <v>3949.3999999998841</v>
      </c>
      <c r="Z201" s="107">
        <f t="shared" si="72"/>
        <v>19747.000000000116</v>
      </c>
      <c r="AA201" s="107">
        <f t="shared" si="73"/>
        <v>2014.9166666666667</v>
      </c>
      <c r="AB201" s="107">
        <f t="shared" si="74"/>
        <v>2017.5</v>
      </c>
      <c r="AC201" s="107">
        <f t="shared" si="75"/>
        <v>2029.9166666666667</v>
      </c>
      <c r="AD201" s="108">
        <f t="shared" si="76"/>
        <v>2016.5</v>
      </c>
      <c r="AE201" s="108">
        <f t="shared" si="77"/>
        <v>-8.3333333333333329E-2</v>
      </c>
      <c r="AF201" s="108">
        <f t="shared" si="78"/>
        <v>2029.9166666666667</v>
      </c>
      <c r="AG201" s="108">
        <f t="shared" si="79"/>
        <v>2016.5</v>
      </c>
      <c r="AH201" s="108">
        <f t="shared" si="80"/>
        <v>-8.3333333333333329E-2</v>
      </c>
    </row>
    <row r="202" spans="1:34" x14ac:dyDescent="0.25">
      <c r="A202">
        <v>217</v>
      </c>
      <c r="B202" t="s">
        <v>600</v>
      </c>
      <c r="C202">
        <v>2014</v>
      </c>
      <c r="D202">
        <v>12</v>
      </c>
      <c r="E202" s="75"/>
      <c r="F202" s="34" t="s">
        <v>436</v>
      </c>
      <c r="G202">
        <v>15</v>
      </c>
      <c r="H202">
        <f t="shared" si="61"/>
        <v>2029</v>
      </c>
      <c r="K202" s="32">
        <v>11982.19</v>
      </c>
      <c r="L202" s="32"/>
      <c r="M202" s="32">
        <f t="shared" si="62"/>
        <v>11982.19</v>
      </c>
      <c r="N202" s="107">
        <f t="shared" si="63"/>
        <v>66.56772222222223</v>
      </c>
      <c r="O202" s="107">
        <f t="shared" si="64"/>
        <v>798.8126666666667</v>
      </c>
      <c r="P202" s="107">
        <f t="shared" si="65"/>
        <v>0</v>
      </c>
      <c r="Q202" s="107">
        <f t="shared" si="66"/>
        <v>798.8126666666667</v>
      </c>
      <c r="R202" s="105">
        <v>1</v>
      </c>
      <c r="S202" s="107">
        <f t="shared" si="67"/>
        <v>798.8126666666667</v>
      </c>
      <c r="T202" s="105"/>
      <c r="U202" s="107">
        <f t="shared" si="68"/>
        <v>1264.7867222221619</v>
      </c>
      <c r="V202" s="107">
        <f t="shared" si="69"/>
        <v>1264.7867222221619</v>
      </c>
      <c r="W202" s="105">
        <v>1</v>
      </c>
      <c r="X202" s="107">
        <f t="shared" si="70"/>
        <v>1264.7867222221619</v>
      </c>
      <c r="Y202" s="107">
        <f t="shared" si="71"/>
        <v>2063.5993888888288</v>
      </c>
      <c r="Z202" s="107">
        <f t="shared" si="72"/>
        <v>10317.996944444505</v>
      </c>
      <c r="AA202" s="107">
        <f t="shared" si="73"/>
        <v>2014.9166666666667</v>
      </c>
      <c r="AB202" s="107">
        <f t="shared" si="74"/>
        <v>2017.5</v>
      </c>
      <c r="AC202" s="107">
        <f t="shared" si="75"/>
        <v>2029.9166666666667</v>
      </c>
      <c r="AD202" s="108">
        <f t="shared" si="76"/>
        <v>2016.5</v>
      </c>
      <c r="AE202" s="108">
        <f t="shared" si="77"/>
        <v>-8.3333333333333329E-2</v>
      </c>
      <c r="AF202" s="108">
        <f t="shared" si="78"/>
        <v>2029.9166666666667</v>
      </c>
      <c r="AG202" s="108">
        <f t="shared" si="79"/>
        <v>2016.5</v>
      </c>
      <c r="AH202" s="108">
        <f t="shared" si="80"/>
        <v>-8.3333333333333329E-2</v>
      </c>
    </row>
    <row r="203" spans="1:34" x14ac:dyDescent="0.25">
      <c r="A203">
        <v>218</v>
      </c>
      <c r="B203" t="s">
        <v>764</v>
      </c>
      <c r="C203">
        <v>2014</v>
      </c>
      <c r="D203">
        <v>12</v>
      </c>
      <c r="E203" s="75"/>
      <c r="F203" s="34" t="s">
        <v>436</v>
      </c>
      <c r="G203">
        <v>5</v>
      </c>
      <c r="H203">
        <f t="shared" si="61"/>
        <v>2019</v>
      </c>
      <c r="K203" s="32">
        <v>2780.95</v>
      </c>
      <c r="L203" s="32"/>
      <c r="M203" s="32">
        <f t="shared" si="62"/>
        <v>2780.95</v>
      </c>
      <c r="N203" s="107">
        <f t="shared" si="63"/>
        <v>46.349166666666662</v>
      </c>
      <c r="O203" s="107">
        <f t="shared" si="64"/>
        <v>556.18999999999994</v>
      </c>
      <c r="P203" s="107">
        <f t="shared" si="65"/>
        <v>0</v>
      </c>
      <c r="Q203" s="107">
        <f t="shared" si="66"/>
        <v>556.18999999999994</v>
      </c>
      <c r="R203" s="105">
        <v>1</v>
      </c>
      <c r="S203" s="107">
        <f t="shared" si="67"/>
        <v>556.18999999999994</v>
      </c>
      <c r="T203" s="105"/>
      <c r="U203" s="107">
        <f t="shared" si="68"/>
        <v>880.63416666662442</v>
      </c>
      <c r="V203" s="107">
        <f t="shared" si="69"/>
        <v>880.63416666662442</v>
      </c>
      <c r="W203" s="105">
        <v>1</v>
      </c>
      <c r="X203" s="107">
        <f t="shared" si="70"/>
        <v>880.63416666662442</v>
      </c>
      <c r="Y203" s="107">
        <f t="shared" si="71"/>
        <v>1436.8241666666245</v>
      </c>
      <c r="Z203" s="107">
        <f t="shared" si="72"/>
        <v>1622.2208333333754</v>
      </c>
      <c r="AA203" s="107">
        <f t="shared" si="73"/>
        <v>2014.9166666666667</v>
      </c>
      <c r="AB203" s="107">
        <f t="shared" si="74"/>
        <v>2017.5</v>
      </c>
      <c r="AC203" s="107">
        <f t="shared" si="75"/>
        <v>2019.9166666666667</v>
      </c>
      <c r="AD203" s="108">
        <f t="shared" si="76"/>
        <v>2016.5</v>
      </c>
      <c r="AE203" s="108">
        <f t="shared" si="77"/>
        <v>-8.3333333333333329E-2</v>
      </c>
      <c r="AF203" s="108">
        <f t="shared" si="78"/>
        <v>2019.9166666666667</v>
      </c>
      <c r="AG203" s="108">
        <f t="shared" si="79"/>
        <v>2016.5</v>
      </c>
      <c r="AH203" s="108">
        <f t="shared" si="80"/>
        <v>-8.3333333333333329E-2</v>
      </c>
    </row>
    <row r="204" spans="1:34" x14ac:dyDescent="0.25">
      <c r="A204">
        <v>219</v>
      </c>
      <c r="B204" t="s">
        <v>601</v>
      </c>
      <c r="C204">
        <v>2014</v>
      </c>
      <c r="D204">
        <v>12</v>
      </c>
      <c r="E204" s="75"/>
      <c r="F204" s="34" t="s">
        <v>436</v>
      </c>
      <c r="G204">
        <v>15</v>
      </c>
      <c r="H204">
        <f t="shared" si="61"/>
        <v>2029</v>
      </c>
      <c r="K204" s="32">
        <v>25741.25</v>
      </c>
      <c r="L204" s="32"/>
      <c r="M204" s="32">
        <f t="shared" si="62"/>
        <v>25741.25</v>
      </c>
      <c r="N204" s="107">
        <f t="shared" si="63"/>
        <v>143.00694444444443</v>
      </c>
      <c r="O204" s="107">
        <f t="shared" si="64"/>
        <v>1716.083333333333</v>
      </c>
      <c r="P204" s="107">
        <f t="shared" si="65"/>
        <v>0</v>
      </c>
      <c r="Q204" s="107">
        <f t="shared" si="66"/>
        <v>1716.083333333333</v>
      </c>
      <c r="R204" s="105">
        <v>1</v>
      </c>
      <c r="S204" s="107">
        <f t="shared" si="67"/>
        <v>1716.083333333333</v>
      </c>
      <c r="T204" s="105"/>
      <c r="U204" s="107">
        <f t="shared" si="68"/>
        <v>2717.1319444443143</v>
      </c>
      <c r="V204" s="107">
        <f t="shared" si="69"/>
        <v>2717.1319444443143</v>
      </c>
      <c r="W204" s="105">
        <v>1</v>
      </c>
      <c r="X204" s="107">
        <f t="shared" si="70"/>
        <v>2717.1319444443143</v>
      </c>
      <c r="Y204" s="107">
        <f t="shared" si="71"/>
        <v>4433.2152777776473</v>
      </c>
      <c r="Z204" s="107">
        <f t="shared" si="72"/>
        <v>22166.076388889021</v>
      </c>
      <c r="AA204" s="107">
        <f t="shared" si="73"/>
        <v>2014.9166666666667</v>
      </c>
      <c r="AB204" s="107">
        <f t="shared" si="74"/>
        <v>2017.5</v>
      </c>
      <c r="AC204" s="107">
        <f t="shared" si="75"/>
        <v>2029.9166666666667</v>
      </c>
      <c r="AD204" s="108">
        <f t="shared" si="76"/>
        <v>2016.5</v>
      </c>
      <c r="AE204" s="108">
        <f t="shared" si="77"/>
        <v>-8.3333333333333329E-2</v>
      </c>
      <c r="AF204" s="108">
        <f t="shared" si="78"/>
        <v>2029.9166666666667</v>
      </c>
      <c r="AG204" s="108">
        <f t="shared" si="79"/>
        <v>2016.5</v>
      </c>
      <c r="AH204" s="108">
        <f t="shared" si="80"/>
        <v>-8.3333333333333329E-2</v>
      </c>
    </row>
    <row r="205" spans="1:34" x14ac:dyDescent="0.25">
      <c r="A205">
        <v>220</v>
      </c>
      <c r="B205" t="s">
        <v>765</v>
      </c>
      <c r="C205">
        <v>2014</v>
      </c>
      <c r="D205">
        <v>12</v>
      </c>
      <c r="E205" s="75"/>
      <c r="F205" s="34" t="s">
        <v>436</v>
      </c>
      <c r="G205">
        <v>5</v>
      </c>
      <c r="H205">
        <f t="shared" si="61"/>
        <v>2019</v>
      </c>
      <c r="K205" s="110">
        <v>2780.94</v>
      </c>
      <c r="L205" s="110"/>
      <c r="M205" s="110">
        <f t="shared" si="62"/>
        <v>2780.94</v>
      </c>
      <c r="N205" s="111">
        <f t="shared" si="63"/>
        <v>46.348999999999997</v>
      </c>
      <c r="O205" s="111">
        <f t="shared" si="64"/>
        <v>556.18799999999999</v>
      </c>
      <c r="P205" s="111">
        <f t="shared" si="65"/>
        <v>0</v>
      </c>
      <c r="Q205" s="111">
        <f t="shared" si="66"/>
        <v>556.18799999999999</v>
      </c>
      <c r="R205" s="112">
        <v>1</v>
      </c>
      <c r="S205" s="111">
        <f t="shared" si="67"/>
        <v>556.18799999999999</v>
      </c>
      <c r="T205" s="112"/>
      <c r="U205" s="111">
        <f t="shared" si="68"/>
        <v>880.63099999995779</v>
      </c>
      <c r="V205" s="111">
        <f t="shared" si="69"/>
        <v>880.63099999995779</v>
      </c>
      <c r="W205" s="112">
        <v>1</v>
      </c>
      <c r="X205" s="111">
        <f t="shared" si="70"/>
        <v>880.63099999995779</v>
      </c>
      <c r="Y205" s="111">
        <f t="shared" si="71"/>
        <v>1436.8189999999577</v>
      </c>
      <c r="Z205" s="111">
        <f t="shared" si="72"/>
        <v>1622.2150000000424</v>
      </c>
      <c r="AA205" s="111">
        <f t="shared" si="73"/>
        <v>2014.9166666666667</v>
      </c>
      <c r="AB205" s="111">
        <f t="shared" si="74"/>
        <v>2017.5</v>
      </c>
      <c r="AC205" s="111">
        <f t="shared" si="75"/>
        <v>2019.9166666666667</v>
      </c>
      <c r="AD205" s="113">
        <f t="shared" si="76"/>
        <v>2016.5</v>
      </c>
      <c r="AE205" s="113">
        <f t="shared" si="77"/>
        <v>-8.3333333333333329E-2</v>
      </c>
      <c r="AF205" s="113">
        <f t="shared" si="78"/>
        <v>2019.9166666666667</v>
      </c>
      <c r="AG205" s="113">
        <f t="shared" si="79"/>
        <v>2016.5</v>
      </c>
      <c r="AH205" s="113">
        <f t="shared" si="80"/>
        <v>-8.3333333333333329E-2</v>
      </c>
    </row>
    <row r="206" spans="1:34" x14ac:dyDescent="0.25">
      <c r="A206">
        <v>227</v>
      </c>
      <c r="B206" t="s">
        <v>602</v>
      </c>
      <c r="C206">
        <v>2015</v>
      </c>
      <c r="D206">
        <v>5</v>
      </c>
      <c r="E206" s="75"/>
      <c r="F206" s="34" t="s">
        <v>436</v>
      </c>
      <c r="G206">
        <v>5</v>
      </c>
      <c r="H206">
        <f t="shared" si="61"/>
        <v>2020</v>
      </c>
      <c r="K206" s="110">
        <v>25404</v>
      </c>
      <c r="L206" s="110"/>
      <c r="M206" s="110">
        <f t="shared" si="62"/>
        <v>25404</v>
      </c>
      <c r="N206" s="111">
        <f t="shared" si="63"/>
        <v>423.40000000000003</v>
      </c>
      <c r="O206" s="111">
        <f t="shared" si="64"/>
        <v>5080.8</v>
      </c>
      <c r="P206" s="111">
        <f t="shared" si="65"/>
        <v>0</v>
      </c>
      <c r="Q206" s="111">
        <f t="shared" si="66"/>
        <v>5080.8</v>
      </c>
      <c r="R206" s="112">
        <v>1</v>
      </c>
      <c r="S206" s="111">
        <f t="shared" si="67"/>
        <v>5080.8</v>
      </c>
      <c r="T206" s="112"/>
      <c r="U206" s="111">
        <f t="shared" si="68"/>
        <v>5927.600000000386</v>
      </c>
      <c r="V206" s="111">
        <f t="shared" si="69"/>
        <v>5927.600000000386</v>
      </c>
      <c r="W206" s="112">
        <v>1</v>
      </c>
      <c r="X206" s="111">
        <f t="shared" si="70"/>
        <v>5927.600000000386</v>
      </c>
      <c r="Y206" s="111">
        <f t="shared" si="71"/>
        <v>11008.400000000387</v>
      </c>
      <c r="Z206" s="111">
        <f t="shared" si="72"/>
        <v>16935.999999999614</v>
      </c>
      <c r="AA206" s="111">
        <f t="shared" si="73"/>
        <v>2015.3333333333333</v>
      </c>
      <c r="AB206" s="111">
        <f t="shared" si="74"/>
        <v>2017.5</v>
      </c>
      <c r="AC206" s="111">
        <f t="shared" si="75"/>
        <v>2020.3333333333333</v>
      </c>
      <c r="AD206" s="113">
        <f t="shared" si="76"/>
        <v>2016.5</v>
      </c>
      <c r="AE206" s="113">
        <f t="shared" si="77"/>
        <v>-8.3333333333333329E-2</v>
      </c>
      <c r="AF206" s="113">
        <f t="shared" si="78"/>
        <v>2020.3333333333333</v>
      </c>
      <c r="AG206" s="113">
        <f t="shared" si="79"/>
        <v>2016.5</v>
      </c>
      <c r="AH206" s="113">
        <f t="shared" si="80"/>
        <v>-8.3333333333333329E-2</v>
      </c>
    </row>
    <row r="207" spans="1:34" x14ac:dyDescent="0.25">
      <c r="A207">
        <v>222</v>
      </c>
      <c r="B207" t="s">
        <v>603</v>
      </c>
      <c r="C207">
        <v>2015</v>
      </c>
      <c r="D207">
        <v>5</v>
      </c>
      <c r="E207" s="75"/>
      <c r="F207" s="34" t="s">
        <v>436</v>
      </c>
      <c r="G207">
        <v>5</v>
      </c>
      <c r="H207">
        <f t="shared" si="61"/>
        <v>2020</v>
      </c>
      <c r="K207" s="110">
        <v>53584</v>
      </c>
      <c r="L207" s="110"/>
      <c r="M207" s="110">
        <f t="shared" si="62"/>
        <v>53584</v>
      </c>
      <c r="N207" s="111">
        <f t="shared" si="63"/>
        <v>893.06666666666661</v>
      </c>
      <c r="O207" s="111">
        <f t="shared" si="64"/>
        <v>10716.8</v>
      </c>
      <c r="P207" s="111">
        <f t="shared" si="65"/>
        <v>0</v>
      </c>
      <c r="Q207" s="111">
        <f t="shared" si="66"/>
        <v>10716.8</v>
      </c>
      <c r="R207" s="112">
        <v>1</v>
      </c>
      <c r="S207" s="111">
        <f t="shared" si="67"/>
        <v>10716.8</v>
      </c>
      <c r="T207" s="112"/>
      <c r="U207" s="111">
        <f t="shared" si="68"/>
        <v>12502.933333334146</v>
      </c>
      <c r="V207" s="111">
        <f t="shared" si="69"/>
        <v>12502.933333334146</v>
      </c>
      <c r="W207" s="112">
        <v>1</v>
      </c>
      <c r="X207" s="111">
        <f t="shared" si="70"/>
        <v>12502.933333334146</v>
      </c>
      <c r="Y207" s="111">
        <f t="shared" si="71"/>
        <v>23219.733333334145</v>
      </c>
      <c r="Z207" s="111">
        <f t="shared" si="72"/>
        <v>35722.666666665857</v>
      </c>
      <c r="AA207" s="111">
        <f t="shared" si="73"/>
        <v>2015.3333333333333</v>
      </c>
      <c r="AB207" s="111">
        <f t="shared" si="74"/>
        <v>2017.5</v>
      </c>
      <c r="AC207" s="111">
        <f t="shared" si="75"/>
        <v>2020.3333333333333</v>
      </c>
      <c r="AD207" s="113">
        <f t="shared" si="76"/>
        <v>2016.5</v>
      </c>
      <c r="AE207" s="113">
        <f t="shared" si="77"/>
        <v>-8.3333333333333329E-2</v>
      </c>
      <c r="AF207" s="113">
        <f t="shared" si="78"/>
        <v>2020.3333333333333</v>
      </c>
      <c r="AG207" s="113">
        <f t="shared" si="79"/>
        <v>2016.5</v>
      </c>
      <c r="AH207" s="113">
        <f t="shared" si="80"/>
        <v>-8.3333333333333329E-2</v>
      </c>
    </row>
    <row r="208" spans="1:34" x14ac:dyDescent="0.25">
      <c r="A208">
        <v>223</v>
      </c>
      <c r="B208" t="s">
        <v>604</v>
      </c>
      <c r="C208">
        <v>2015</v>
      </c>
      <c r="D208">
        <v>6</v>
      </c>
      <c r="E208" s="75"/>
      <c r="F208" s="34" t="s">
        <v>436</v>
      </c>
      <c r="G208">
        <v>5</v>
      </c>
      <c r="H208">
        <f t="shared" si="61"/>
        <v>2020</v>
      </c>
      <c r="K208" s="110">
        <v>148563</v>
      </c>
      <c r="L208" s="110"/>
      <c r="M208" s="110">
        <f t="shared" si="62"/>
        <v>148563</v>
      </c>
      <c r="N208" s="111">
        <f t="shared" si="63"/>
        <v>2476.0499999999997</v>
      </c>
      <c r="O208" s="111">
        <f t="shared" si="64"/>
        <v>29712.6</v>
      </c>
      <c r="P208" s="111">
        <f t="shared" si="65"/>
        <v>0</v>
      </c>
      <c r="Q208" s="111">
        <f t="shared" si="66"/>
        <v>29712.6</v>
      </c>
      <c r="R208" s="112">
        <v>1</v>
      </c>
      <c r="S208" s="111">
        <f t="shared" si="67"/>
        <v>29712.6</v>
      </c>
      <c r="T208" s="112"/>
      <c r="U208" s="111">
        <f t="shared" si="68"/>
        <v>32188.649999997746</v>
      </c>
      <c r="V208" s="111">
        <f t="shared" si="69"/>
        <v>32188.649999997746</v>
      </c>
      <c r="W208" s="112">
        <v>1</v>
      </c>
      <c r="X208" s="111">
        <f t="shared" si="70"/>
        <v>32188.649999997746</v>
      </c>
      <c r="Y208" s="111">
        <f t="shared" si="71"/>
        <v>61901.249999997744</v>
      </c>
      <c r="Z208" s="111">
        <f t="shared" si="72"/>
        <v>101518.05000000226</v>
      </c>
      <c r="AA208" s="111">
        <f t="shared" si="73"/>
        <v>2015.4166666666667</v>
      </c>
      <c r="AB208" s="111">
        <f t="shared" si="74"/>
        <v>2017.5</v>
      </c>
      <c r="AC208" s="111">
        <f t="shared" si="75"/>
        <v>2020.4166666666667</v>
      </c>
      <c r="AD208" s="113">
        <f t="shared" si="76"/>
        <v>2016.5</v>
      </c>
      <c r="AE208" s="113">
        <f t="shared" si="77"/>
        <v>-8.3333333333333329E-2</v>
      </c>
      <c r="AF208" s="113">
        <f t="shared" si="78"/>
        <v>2020.4166666666667</v>
      </c>
      <c r="AG208" s="113">
        <f t="shared" si="79"/>
        <v>2016.5</v>
      </c>
      <c r="AH208" s="113">
        <f t="shared" si="80"/>
        <v>-8.3333333333333329E-2</v>
      </c>
    </row>
    <row r="209" spans="1:34" x14ac:dyDescent="0.25">
      <c r="A209">
        <v>225</v>
      </c>
      <c r="B209" t="s">
        <v>601</v>
      </c>
      <c r="C209">
        <v>2015</v>
      </c>
      <c r="D209">
        <v>15</v>
      </c>
      <c r="E209" s="75"/>
      <c r="F209" s="34" t="s">
        <v>436</v>
      </c>
      <c r="G209">
        <v>5</v>
      </c>
      <c r="H209">
        <f t="shared" si="61"/>
        <v>2020</v>
      </c>
      <c r="K209" s="110">
        <v>195489</v>
      </c>
      <c r="L209" s="110"/>
      <c r="M209" s="110">
        <f t="shared" si="62"/>
        <v>195489</v>
      </c>
      <c r="N209" s="111">
        <f t="shared" si="63"/>
        <v>3258.15</v>
      </c>
      <c r="O209" s="111">
        <f t="shared" si="64"/>
        <v>39097.800000000003</v>
      </c>
      <c r="P209" s="111">
        <f t="shared" si="65"/>
        <v>0</v>
      </c>
      <c r="Q209" s="111">
        <f t="shared" si="66"/>
        <v>39097.800000000003</v>
      </c>
      <c r="R209" s="112">
        <v>1</v>
      </c>
      <c r="S209" s="111">
        <f t="shared" si="67"/>
        <v>39097.800000000003</v>
      </c>
      <c r="T209" s="112"/>
      <c r="U209" s="111">
        <f t="shared" si="68"/>
        <v>13032.599999997037</v>
      </c>
      <c r="V209" s="111">
        <f t="shared" si="69"/>
        <v>13032.599999997037</v>
      </c>
      <c r="W209" s="112">
        <v>1</v>
      </c>
      <c r="X209" s="111">
        <f t="shared" si="70"/>
        <v>13032.599999997037</v>
      </c>
      <c r="Y209" s="111">
        <f t="shared" si="71"/>
        <v>52130.39999999704</v>
      </c>
      <c r="Z209" s="111">
        <f t="shared" si="72"/>
        <v>162907.50000000297</v>
      </c>
      <c r="AA209" s="111">
        <f t="shared" si="73"/>
        <v>2016.1666666666667</v>
      </c>
      <c r="AB209" s="111">
        <f t="shared" si="74"/>
        <v>2017.5</v>
      </c>
      <c r="AC209" s="111">
        <f t="shared" si="75"/>
        <v>2021.1666666666667</v>
      </c>
      <c r="AD209" s="113">
        <f t="shared" si="76"/>
        <v>2016.5</v>
      </c>
      <c r="AE209" s="113">
        <f t="shared" si="77"/>
        <v>-8.3333333333333329E-2</v>
      </c>
      <c r="AF209" s="113">
        <f t="shared" si="78"/>
        <v>2021.1666666666667</v>
      </c>
      <c r="AG209" s="113">
        <f t="shared" si="79"/>
        <v>2016.5</v>
      </c>
      <c r="AH209" s="113">
        <f t="shared" si="80"/>
        <v>-8.3333333333333329E-2</v>
      </c>
    </row>
    <row r="210" spans="1:34" x14ac:dyDescent="0.25">
      <c r="A210">
        <v>226</v>
      </c>
      <c r="B210" t="s">
        <v>766</v>
      </c>
      <c r="C210">
        <v>2015</v>
      </c>
      <c r="D210">
        <v>12</v>
      </c>
      <c r="E210" s="75"/>
      <c r="F210" s="34" t="s">
        <v>436</v>
      </c>
      <c r="G210">
        <v>5</v>
      </c>
      <c r="H210">
        <f t="shared" si="61"/>
        <v>2020</v>
      </c>
      <c r="K210" s="110">
        <v>14309.38</v>
      </c>
      <c r="L210" s="110"/>
      <c r="M210" s="110">
        <f t="shared" si="62"/>
        <v>14309.38</v>
      </c>
      <c r="N210" s="111">
        <f t="shared" si="63"/>
        <v>238.48966666666664</v>
      </c>
      <c r="O210" s="111">
        <f t="shared" si="64"/>
        <v>2861.8759999999997</v>
      </c>
      <c r="P210" s="111">
        <f t="shared" si="65"/>
        <v>0</v>
      </c>
      <c r="Q210" s="111">
        <f t="shared" si="66"/>
        <v>2861.8759999999997</v>
      </c>
      <c r="R210" s="112">
        <v>1</v>
      </c>
      <c r="S210" s="111">
        <f t="shared" si="67"/>
        <v>2861.8759999999997</v>
      </c>
      <c r="T210" s="112"/>
      <c r="U210" s="111">
        <f t="shared" si="68"/>
        <v>1669.4276666664496</v>
      </c>
      <c r="V210" s="111">
        <f t="shared" si="69"/>
        <v>1669.4276666664496</v>
      </c>
      <c r="W210" s="112">
        <v>1</v>
      </c>
      <c r="X210" s="111">
        <f t="shared" si="70"/>
        <v>1669.4276666664496</v>
      </c>
      <c r="Y210" s="111">
        <f t="shared" si="71"/>
        <v>4531.3036666664493</v>
      </c>
      <c r="Z210" s="111">
        <f t="shared" si="72"/>
        <v>11209.014333333549</v>
      </c>
      <c r="AA210" s="111">
        <f t="shared" si="73"/>
        <v>2015.9166666666667</v>
      </c>
      <c r="AB210" s="111">
        <f t="shared" si="74"/>
        <v>2017.5</v>
      </c>
      <c r="AC210" s="111">
        <f t="shared" si="75"/>
        <v>2020.9166666666667</v>
      </c>
      <c r="AD210" s="113">
        <f t="shared" si="76"/>
        <v>2016.5</v>
      </c>
      <c r="AE210" s="113">
        <f t="shared" si="77"/>
        <v>-8.3333333333333329E-2</v>
      </c>
      <c r="AF210" s="113">
        <f t="shared" si="78"/>
        <v>2020.9166666666667</v>
      </c>
      <c r="AG210" s="113">
        <f t="shared" si="79"/>
        <v>2016.5</v>
      </c>
      <c r="AH210" s="113">
        <f t="shared" si="80"/>
        <v>-8.3333333333333329E-2</v>
      </c>
    </row>
    <row r="211" spans="1:34" x14ac:dyDescent="0.25">
      <c r="A211">
        <v>231</v>
      </c>
      <c r="B211" t="s">
        <v>605</v>
      </c>
      <c r="C211">
        <v>2015</v>
      </c>
      <c r="D211">
        <v>7</v>
      </c>
      <c r="E211" s="75"/>
      <c r="F211" s="34" t="s">
        <v>436</v>
      </c>
      <c r="G211">
        <v>5</v>
      </c>
      <c r="H211">
        <f t="shared" si="61"/>
        <v>2020</v>
      </c>
      <c r="K211" s="110">
        <v>21505</v>
      </c>
      <c r="L211" s="110"/>
      <c r="M211" s="110">
        <f t="shared" si="62"/>
        <v>21505</v>
      </c>
      <c r="N211" s="111">
        <f t="shared" si="63"/>
        <v>358.41666666666669</v>
      </c>
      <c r="O211" s="111">
        <f t="shared" si="64"/>
        <v>4301</v>
      </c>
      <c r="P211" s="111">
        <f t="shared" si="65"/>
        <v>0</v>
      </c>
      <c r="Q211" s="111">
        <f t="shared" si="66"/>
        <v>4301</v>
      </c>
      <c r="R211" s="112">
        <v>1</v>
      </c>
      <c r="S211" s="111">
        <f t="shared" si="67"/>
        <v>4301</v>
      </c>
      <c r="T211" s="112"/>
      <c r="U211" s="111">
        <f t="shared" si="68"/>
        <v>4301</v>
      </c>
      <c r="V211" s="111">
        <f t="shared" si="69"/>
        <v>4301</v>
      </c>
      <c r="W211" s="112">
        <v>1</v>
      </c>
      <c r="X211" s="111">
        <f t="shared" si="70"/>
        <v>4301</v>
      </c>
      <c r="Y211" s="111">
        <f t="shared" si="71"/>
        <v>8602</v>
      </c>
      <c r="Z211" s="111">
        <f t="shared" si="72"/>
        <v>15053.5</v>
      </c>
      <c r="AA211" s="111">
        <f t="shared" si="73"/>
        <v>2015.5</v>
      </c>
      <c r="AB211" s="111">
        <f t="shared" si="74"/>
        <v>2017.5</v>
      </c>
      <c r="AC211" s="111">
        <f t="shared" si="75"/>
        <v>2020.5</v>
      </c>
      <c r="AD211" s="113">
        <f t="shared" si="76"/>
        <v>2016.5</v>
      </c>
      <c r="AE211" s="113">
        <f t="shared" si="77"/>
        <v>-8.3333333333333329E-2</v>
      </c>
      <c r="AF211" s="113">
        <f t="shared" si="78"/>
        <v>2020.5</v>
      </c>
      <c r="AG211" s="113">
        <f t="shared" si="79"/>
        <v>2016.5</v>
      </c>
      <c r="AH211" s="113">
        <f t="shared" si="80"/>
        <v>-8.3333333333333329E-2</v>
      </c>
    </row>
    <row r="212" spans="1:34" x14ac:dyDescent="0.25">
      <c r="A212">
        <v>230</v>
      </c>
      <c r="B212" t="s">
        <v>767</v>
      </c>
      <c r="C212">
        <v>2015</v>
      </c>
      <c r="D212">
        <v>9</v>
      </c>
      <c r="E212" s="75"/>
      <c r="F212" s="34" t="s">
        <v>436</v>
      </c>
      <c r="G212">
        <v>5</v>
      </c>
      <c r="H212">
        <f t="shared" si="61"/>
        <v>2020</v>
      </c>
      <c r="K212" s="110">
        <v>6982</v>
      </c>
      <c r="L212" s="110"/>
      <c r="M212" s="110">
        <f t="shared" si="62"/>
        <v>6982</v>
      </c>
      <c r="N212" s="111">
        <f t="shared" si="63"/>
        <v>116.36666666666667</v>
      </c>
      <c r="O212" s="111">
        <f t="shared" si="64"/>
        <v>1396.4</v>
      </c>
      <c r="P212" s="111">
        <f t="shared" si="65"/>
        <v>0</v>
      </c>
      <c r="Q212" s="111">
        <f t="shared" si="66"/>
        <v>1396.4</v>
      </c>
      <c r="R212" s="112">
        <v>1</v>
      </c>
      <c r="S212" s="111">
        <f t="shared" si="67"/>
        <v>1396.4</v>
      </c>
      <c r="T212" s="112"/>
      <c r="U212" s="111">
        <f t="shared" si="68"/>
        <v>1163.666666666561</v>
      </c>
      <c r="V212" s="111">
        <f t="shared" si="69"/>
        <v>1163.666666666561</v>
      </c>
      <c r="W212" s="112">
        <v>1</v>
      </c>
      <c r="X212" s="111">
        <f t="shared" si="70"/>
        <v>1163.666666666561</v>
      </c>
      <c r="Y212" s="111">
        <f t="shared" si="71"/>
        <v>2560.0666666665611</v>
      </c>
      <c r="Z212" s="111">
        <f t="shared" si="72"/>
        <v>5120.1333333334387</v>
      </c>
      <c r="AA212" s="111">
        <f t="shared" si="73"/>
        <v>2015.6666666666667</v>
      </c>
      <c r="AB212" s="111">
        <f t="shared" si="74"/>
        <v>2017.5</v>
      </c>
      <c r="AC212" s="111">
        <f t="shared" si="75"/>
        <v>2020.6666666666667</v>
      </c>
      <c r="AD212" s="113">
        <f t="shared" si="76"/>
        <v>2016.5</v>
      </c>
      <c r="AE212" s="113">
        <f t="shared" si="77"/>
        <v>-8.3333333333333329E-2</v>
      </c>
      <c r="AF212" s="113">
        <f t="shared" si="78"/>
        <v>2020.6666666666667</v>
      </c>
      <c r="AG212" s="113">
        <f t="shared" si="79"/>
        <v>2016.5</v>
      </c>
      <c r="AH212" s="113">
        <f t="shared" si="80"/>
        <v>-8.3333333333333329E-2</v>
      </c>
    </row>
    <row r="213" spans="1:34" x14ac:dyDescent="0.25">
      <c r="A213">
        <v>233</v>
      </c>
      <c r="B213" t="s">
        <v>758</v>
      </c>
      <c r="C213">
        <v>2015</v>
      </c>
      <c r="D213">
        <v>9</v>
      </c>
      <c r="E213" s="75"/>
      <c r="F213" s="34" t="s">
        <v>436</v>
      </c>
      <c r="G213">
        <v>5</v>
      </c>
      <c r="H213">
        <f t="shared" si="61"/>
        <v>2020</v>
      </c>
      <c r="K213" s="110">
        <v>6746</v>
      </c>
      <c r="L213" s="110"/>
      <c r="M213" s="110">
        <f t="shared" si="62"/>
        <v>6746</v>
      </c>
      <c r="N213" s="111">
        <f t="shared" si="63"/>
        <v>112.43333333333334</v>
      </c>
      <c r="O213" s="111">
        <f t="shared" si="64"/>
        <v>1349.2</v>
      </c>
      <c r="P213" s="111">
        <f t="shared" si="65"/>
        <v>0</v>
      </c>
      <c r="Q213" s="111">
        <f t="shared" si="66"/>
        <v>1349.2</v>
      </c>
      <c r="R213" s="112">
        <v>1</v>
      </c>
      <c r="S213" s="111">
        <f t="shared" si="67"/>
        <v>1349.2</v>
      </c>
      <c r="T213" s="112"/>
      <c r="U213" s="111">
        <f t="shared" si="68"/>
        <v>1124.3333333332312</v>
      </c>
      <c r="V213" s="111">
        <f t="shared" si="69"/>
        <v>1124.3333333332312</v>
      </c>
      <c r="W213" s="112">
        <v>1</v>
      </c>
      <c r="X213" s="111">
        <f t="shared" si="70"/>
        <v>1124.3333333332312</v>
      </c>
      <c r="Y213" s="111">
        <f t="shared" si="71"/>
        <v>2473.533333333231</v>
      </c>
      <c r="Z213" s="111">
        <f t="shared" si="72"/>
        <v>4947.0666666667694</v>
      </c>
      <c r="AA213" s="111">
        <f t="shared" si="73"/>
        <v>2015.6666666666667</v>
      </c>
      <c r="AB213" s="111">
        <f t="shared" si="74"/>
        <v>2017.5</v>
      </c>
      <c r="AC213" s="111">
        <f t="shared" si="75"/>
        <v>2020.6666666666667</v>
      </c>
      <c r="AD213" s="113">
        <f t="shared" si="76"/>
        <v>2016.5</v>
      </c>
      <c r="AE213" s="113">
        <f t="shared" si="77"/>
        <v>-8.3333333333333329E-2</v>
      </c>
      <c r="AF213" s="113">
        <f t="shared" si="78"/>
        <v>2020.6666666666667</v>
      </c>
      <c r="AG213" s="113">
        <f t="shared" si="79"/>
        <v>2016.5</v>
      </c>
      <c r="AH213" s="113">
        <f t="shared" si="80"/>
        <v>-8.3333333333333329E-2</v>
      </c>
    </row>
    <row r="214" spans="1:34" x14ac:dyDescent="0.25">
      <c r="A214">
        <v>228</v>
      </c>
      <c r="B214" t="s">
        <v>757</v>
      </c>
      <c r="C214">
        <v>2015</v>
      </c>
      <c r="D214">
        <v>10</v>
      </c>
      <c r="E214" s="75"/>
      <c r="F214" s="34" t="s">
        <v>436</v>
      </c>
      <c r="G214">
        <v>5</v>
      </c>
      <c r="H214">
        <f t="shared" si="61"/>
        <v>2020</v>
      </c>
      <c r="K214" s="110">
        <v>11905</v>
      </c>
      <c r="L214" s="110"/>
      <c r="M214" s="110">
        <f t="shared" si="62"/>
        <v>11905</v>
      </c>
      <c r="N214" s="111">
        <f t="shared" si="63"/>
        <v>198.41666666666666</v>
      </c>
      <c r="O214" s="111">
        <f t="shared" si="64"/>
        <v>2381</v>
      </c>
      <c r="P214" s="111">
        <f t="shared" si="65"/>
        <v>0</v>
      </c>
      <c r="Q214" s="111">
        <f t="shared" si="66"/>
        <v>2381</v>
      </c>
      <c r="R214" s="112">
        <v>1</v>
      </c>
      <c r="S214" s="111">
        <f t="shared" si="67"/>
        <v>2381</v>
      </c>
      <c r="T214" s="112"/>
      <c r="U214" s="111">
        <f t="shared" si="68"/>
        <v>1785.75</v>
      </c>
      <c r="V214" s="111">
        <f t="shared" si="69"/>
        <v>1785.75</v>
      </c>
      <c r="W214" s="112">
        <v>1</v>
      </c>
      <c r="X214" s="111">
        <f t="shared" si="70"/>
        <v>1785.75</v>
      </c>
      <c r="Y214" s="111">
        <f t="shared" si="71"/>
        <v>4166.75</v>
      </c>
      <c r="Z214" s="111">
        <f t="shared" si="72"/>
        <v>8928.75</v>
      </c>
      <c r="AA214" s="111">
        <f t="shared" si="73"/>
        <v>2015.75</v>
      </c>
      <c r="AB214" s="111">
        <f t="shared" si="74"/>
        <v>2017.5</v>
      </c>
      <c r="AC214" s="111">
        <f t="shared" si="75"/>
        <v>2020.75</v>
      </c>
      <c r="AD214" s="113">
        <f t="shared" si="76"/>
        <v>2016.5</v>
      </c>
      <c r="AE214" s="113">
        <f t="shared" si="77"/>
        <v>-8.3333333333333329E-2</v>
      </c>
      <c r="AF214" s="113">
        <f t="shared" si="78"/>
        <v>2020.75</v>
      </c>
      <c r="AG214" s="113">
        <f t="shared" si="79"/>
        <v>2016.5</v>
      </c>
      <c r="AH214" s="113">
        <f t="shared" si="80"/>
        <v>-8.3333333333333329E-2</v>
      </c>
    </row>
    <row r="215" spans="1:34" x14ac:dyDescent="0.25">
      <c r="A215">
        <v>232</v>
      </c>
      <c r="B215" t="s">
        <v>606</v>
      </c>
      <c r="C215">
        <v>2015</v>
      </c>
      <c r="D215">
        <v>12</v>
      </c>
      <c r="E215" s="75"/>
      <c r="F215" s="34" t="s">
        <v>436</v>
      </c>
      <c r="G215">
        <v>5</v>
      </c>
      <c r="H215">
        <f t="shared" ref="H215:H228" si="81">+C215+G215</f>
        <v>2020</v>
      </c>
      <c r="K215" s="110">
        <v>3000</v>
      </c>
      <c r="L215" s="110"/>
      <c r="M215" s="110">
        <f t="shared" ref="M215:M228" si="82">+K215-K215*E215</f>
        <v>3000</v>
      </c>
      <c r="N215" s="111">
        <f t="shared" ref="N215:N228" si="83">M215/G215/12</f>
        <v>50</v>
      </c>
      <c r="O215" s="111">
        <f t="shared" ref="O215:O226" si="84">IF(L215&gt;0,0,IF((OR((AA215&gt;AB215),(AC215&lt;AD215))),0,IF((AND((AC215&gt;=AD215),(AC215&lt;=AB215))),N215*((AC215-AD215)*12),IF((AND((AD215&lt;=AA215),(AB215&gt;=AA215))),((AB215-AA215)*12)*N215,IF(AC215&gt;AB215,12*N215,0)))))</f>
        <v>600</v>
      </c>
      <c r="P215" s="111">
        <f t="shared" ref="P215:P228" si="85">IF(L215=0,0,IF((AND((AE215&gt;=AD215),(AE215&lt;=AC215))),((AE215-AD215)*12)*N215,0))</f>
        <v>0</v>
      </c>
      <c r="Q215" s="111">
        <f t="shared" ref="Q215:Q228" si="86">IF(P215&gt;0,P215,O215)</f>
        <v>600</v>
      </c>
      <c r="R215" s="112">
        <v>1</v>
      </c>
      <c r="S215" s="111">
        <f t="shared" ref="S215:S228" si="87">R215*SUM(O215:P215)</f>
        <v>600</v>
      </c>
      <c r="T215" s="112"/>
      <c r="U215" s="111">
        <f t="shared" ref="U215:U228" si="88">IF(AA215&gt;AB215,0,IF(AC215&lt;AD215,M215,IF((AND((AC215&gt;=AD215),(AC215&lt;=AB215))),(M215-Q215),IF((AND((AD215&lt;=AA215),(AB215&gt;=AA215))),0,IF(AC215&gt;AB215,((AD215-AA215)*12)*N215,0)))))</f>
        <v>349.99999999995453</v>
      </c>
      <c r="V215" s="111">
        <f t="shared" ref="V215:V228" si="89">U215*R215</f>
        <v>349.99999999995453</v>
      </c>
      <c r="W215" s="112">
        <v>1</v>
      </c>
      <c r="X215" s="111">
        <f t="shared" ref="X215:X228" si="90">V215*W215</f>
        <v>349.99999999995453</v>
      </c>
      <c r="Y215" s="111">
        <f t="shared" ref="Y215:Y228" si="91">IF(L215&gt;0,0,X215+S215*W215)*W215</f>
        <v>949.99999999995453</v>
      </c>
      <c r="Z215" s="111">
        <f t="shared" ref="Z215:Z223" si="92">IF(L215&gt;0,(K215-X215)/2,IF(AA215&gt;=AD215,(((K215*R215)*W215)-Y215)/2,((((K215*R215)*W215)-X215)+(((K215*R215)*W215)-Y215))/2))</f>
        <v>2350.0000000000455</v>
      </c>
      <c r="AA215" s="111">
        <f t="shared" ref="AA215:AA228" si="93">$C215+(($D215-1)/12)</f>
        <v>2015.9166666666667</v>
      </c>
      <c r="AB215" s="111">
        <f t="shared" ref="AB215:AB228" si="94">($M$5+1)-($M$2/12)</f>
        <v>2017.5</v>
      </c>
      <c r="AC215" s="111">
        <f t="shared" ref="AC215:AC228" si="95">$H215+(($D215-1)/12)</f>
        <v>2020.9166666666667</v>
      </c>
      <c r="AD215" s="113">
        <f t="shared" ref="AD215:AD228" si="96">$M$4+($M$3/12)</f>
        <v>2016.5</v>
      </c>
      <c r="AE215" s="113">
        <f t="shared" ref="AE215:AE228" si="97">$I215+(($J215-1)/12)</f>
        <v>-8.3333333333333329E-2</v>
      </c>
      <c r="AF215" s="113">
        <f t="shared" ref="AF215:AF228" si="98">$H215+(($D215-1)/12)</f>
        <v>2020.9166666666667</v>
      </c>
      <c r="AG215" s="113">
        <f t="shared" ref="AG215:AG228" si="99">$M$4+($M$3/12)</f>
        <v>2016.5</v>
      </c>
      <c r="AH215" s="113">
        <f t="shared" ref="AH215:AH228" si="100">$I215+(($J215-1)/12)</f>
        <v>-8.3333333333333329E-2</v>
      </c>
    </row>
    <row r="216" spans="1:34" x14ac:dyDescent="0.25">
      <c r="A216">
        <v>224</v>
      </c>
      <c r="B216" t="s">
        <v>607</v>
      </c>
      <c r="C216">
        <v>2015</v>
      </c>
      <c r="D216">
        <v>12</v>
      </c>
      <c r="E216" s="75"/>
      <c r="F216" s="34" t="s">
        <v>436</v>
      </c>
      <c r="G216">
        <v>5</v>
      </c>
      <c r="H216">
        <f t="shared" si="81"/>
        <v>2020</v>
      </c>
      <c r="K216" s="110">
        <v>129118</v>
      </c>
      <c r="L216" s="110"/>
      <c r="M216" s="110">
        <f t="shared" si="82"/>
        <v>129118</v>
      </c>
      <c r="N216" s="111">
        <f t="shared" si="83"/>
        <v>2151.9666666666667</v>
      </c>
      <c r="O216" s="111">
        <f t="shared" si="84"/>
        <v>25823.599999999999</v>
      </c>
      <c r="P216" s="111">
        <f t="shared" si="85"/>
        <v>0</v>
      </c>
      <c r="Q216" s="111">
        <f t="shared" si="86"/>
        <v>25823.599999999999</v>
      </c>
      <c r="R216" s="112">
        <v>1</v>
      </c>
      <c r="S216" s="111">
        <f t="shared" si="87"/>
        <v>25823.599999999999</v>
      </c>
      <c r="T216" s="112"/>
      <c r="U216" s="111">
        <f t="shared" si="88"/>
        <v>15063.766666664709</v>
      </c>
      <c r="V216" s="111">
        <f t="shared" si="89"/>
        <v>15063.766666664709</v>
      </c>
      <c r="W216" s="112">
        <v>1</v>
      </c>
      <c r="X216" s="111">
        <f t="shared" si="90"/>
        <v>15063.766666664709</v>
      </c>
      <c r="Y216" s="111">
        <f t="shared" si="91"/>
        <v>40887.366666664704</v>
      </c>
      <c r="Z216" s="111">
        <f t="shared" si="92"/>
        <v>101142.4333333353</v>
      </c>
      <c r="AA216" s="111">
        <f t="shared" si="93"/>
        <v>2015.9166666666667</v>
      </c>
      <c r="AB216" s="111">
        <f t="shared" si="94"/>
        <v>2017.5</v>
      </c>
      <c r="AC216" s="111">
        <f t="shared" si="95"/>
        <v>2020.9166666666667</v>
      </c>
      <c r="AD216" s="113">
        <f t="shared" si="96"/>
        <v>2016.5</v>
      </c>
      <c r="AE216" s="113">
        <f t="shared" si="97"/>
        <v>-8.3333333333333329E-2</v>
      </c>
      <c r="AF216" s="113">
        <f t="shared" si="98"/>
        <v>2020.9166666666667</v>
      </c>
      <c r="AG216" s="113">
        <f t="shared" si="99"/>
        <v>2016.5</v>
      </c>
      <c r="AH216" s="113">
        <f t="shared" si="100"/>
        <v>-8.3333333333333329E-2</v>
      </c>
    </row>
    <row r="217" spans="1:34" x14ac:dyDescent="0.25">
      <c r="A217">
        <v>237</v>
      </c>
      <c r="B217" t="s">
        <v>608</v>
      </c>
      <c r="C217">
        <v>2016</v>
      </c>
      <c r="D217">
        <v>1</v>
      </c>
      <c r="E217" s="75"/>
      <c r="F217" s="34" t="s">
        <v>436</v>
      </c>
      <c r="G217">
        <v>5</v>
      </c>
      <c r="H217">
        <f t="shared" si="81"/>
        <v>2021</v>
      </c>
      <c r="K217" s="110">
        <v>47628</v>
      </c>
      <c r="L217" s="110"/>
      <c r="M217" s="110">
        <f t="shared" si="82"/>
        <v>47628</v>
      </c>
      <c r="N217" s="111">
        <f t="shared" si="83"/>
        <v>793.80000000000007</v>
      </c>
      <c r="O217" s="111">
        <f t="shared" si="84"/>
        <v>9525.6</v>
      </c>
      <c r="P217" s="111">
        <f t="shared" si="85"/>
        <v>0</v>
      </c>
      <c r="Q217" s="111">
        <f t="shared" si="86"/>
        <v>9525.6</v>
      </c>
      <c r="R217" s="112">
        <v>1</v>
      </c>
      <c r="S217" s="111">
        <f t="shared" si="87"/>
        <v>9525.6</v>
      </c>
      <c r="T217" s="112"/>
      <c r="U217" s="111">
        <f t="shared" si="88"/>
        <v>4762.8</v>
      </c>
      <c r="V217" s="111">
        <f t="shared" si="89"/>
        <v>4762.8</v>
      </c>
      <c r="W217" s="112">
        <v>1</v>
      </c>
      <c r="X217" s="111">
        <f t="shared" si="90"/>
        <v>4762.8</v>
      </c>
      <c r="Y217" s="111">
        <f t="shared" si="91"/>
        <v>14288.400000000001</v>
      </c>
      <c r="Z217" s="111">
        <f t="shared" si="92"/>
        <v>38102.399999999994</v>
      </c>
      <c r="AA217" s="111">
        <f t="shared" si="93"/>
        <v>2016</v>
      </c>
      <c r="AB217" s="111">
        <f t="shared" si="94"/>
        <v>2017.5</v>
      </c>
      <c r="AC217" s="111">
        <f t="shared" si="95"/>
        <v>2021</v>
      </c>
      <c r="AD217" s="113">
        <f t="shared" si="96"/>
        <v>2016.5</v>
      </c>
      <c r="AE217" s="113">
        <f t="shared" si="97"/>
        <v>-8.3333333333333329E-2</v>
      </c>
      <c r="AF217" s="113">
        <f t="shared" si="98"/>
        <v>2021</v>
      </c>
      <c r="AG217" s="113">
        <f t="shared" si="99"/>
        <v>2016.5</v>
      </c>
      <c r="AH217" s="113">
        <f t="shared" si="100"/>
        <v>-8.3333333333333329E-2</v>
      </c>
    </row>
    <row r="218" spans="1:34" x14ac:dyDescent="0.25">
      <c r="A218">
        <v>251</v>
      </c>
      <c r="B218" t="s">
        <v>609</v>
      </c>
      <c r="C218">
        <v>2016</v>
      </c>
      <c r="D218">
        <v>2</v>
      </c>
      <c r="E218" s="75"/>
      <c r="F218" s="34" t="s">
        <v>436</v>
      </c>
      <c r="G218">
        <v>5</v>
      </c>
      <c r="H218">
        <f t="shared" si="81"/>
        <v>2021</v>
      </c>
      <c r="K218" s="110">
        <v>19046</v>
      </c>
      <c r="L218" s="110"/>
      <c r="M218" s="110">
        <f t="shared" si="82"/>
        <v>19046</v>
      </c>
      <c r="N218" s="111">
        <f t="shared" si="83"/>
        <v>317.43333333333334</v>
      </c>
      <c r="O218" s="111">
        <f t="shared" si="84"/>
        <v>3809.2</v>
      </c>
      <c r="P218" s="111">
        <f t="shared" si="85"/>
        <v>0</v>
      </c>
      <c r="Q218" s="111">
        <f t="shared" si="86"/>
        <v>3809.2</v>
      </c>
      <c r="R218" s="112">
        <v>1</v>
      </c>
      <c r="S218" s="111">
        <f t="shared" si="87"/>
        <v>3809.2</v>
      </c>
      <c r="T218" s="112"/>
      <c r="U218" s="111">
        <f t="shared" si="88"/>
        <v>1587.1666666669553</v>
      </c>
      <c r="V218" s="111">
        <f t="shared" si="89"/>
        <v>1587.1666666669553</v>
      </c>
      <c r="W218" s="112">
        <v>1</v>
      </c>
      <c r="X218" s="111">
        <f t="shared" si="90"/>
        <v>1587.1666666669553</v>
      </c>
      <c r="Y218" s="111">
        <f t="shared" si="91"/>
        <v>5396.3666666669551</v>
      </c>
      <c r="Z218" s="111">
        <f t="shared" si="92"/>
        <v>15554.233333333044</v>
      </c>
      <c r="AA218" s="111">
        <f t="shared" si="93"/>
        <v>2016.0833333333333</v>
      </c>
      <c r="AB218" s="111">
        <f t="shared" si="94"/>
        <v>2017.5</v>
      </c>
      <c r="AC218" s="111">
        <f t="shared" si="95"/>
        <v>2021.0833333333333</v>
      </c>
      <c r="AD218" s="113">
        <f t="shared" si="96"/>
        <v>2016.5</v>
      </c>
      <c r="AE218" s="113">
        <f t="shared" si="97"/>
        <v>-8.3333333333333329E-2</v>
      </c>
      <c r="AF218" s="113">
        <f t="shared" si="98"/>
        <v>2021.0833333333333</v>
      </c>
      <c r="AG218" s="113">
        <f t="shared" si="99"/>
        <v>2016.5</v>
      </c>
      <c r="AH218" s="113">
        <f t="shared" si="100"/>
        <v>-8.3333333333333329E-2</v>
      </c>
    </row>
    <row r="219" spans="1:34" x14ac:dyDescent="0.25">
      <c r="A219">
        <v>252</v>
      </c>
      <c r="B219" t="s">
        <v>610</v>
      </c>
      <c r="C219">
        <v>2016</v>
      </c>
      <c r="D219">
        <v>5</v>
      </c>
      <c r="E219" s="75"/>
      <c r="F219" s="34" t="s">
        <v>436</v>
      </c>
      <c r="G219">
        <v>5</v>
      </c>
      <c r="H219">
        <f t="shared" si="81"/>
        <v>2021</v>
      </c>
      <c r="K219" s="110">
        <v>20054</v>
      </c>
      <c r="L219" s="110"/>
      <c r="M219" s="110">
        <f t="shared" si="82"/>
        <v>20054</v>
      </c>
      <c r="N219" s="111">
        <f t="shared" si="83"/>
        <v>334.23333333333335</v>
      </c>
      <c r="O219" s="111">
        <f t="shared" si="84"/>
        <v>4010.8</v>
      </c>
      <c r="P219" s="111">
        <f t="shared" si="85"/>
        <v>0</v>
      </c>
      <c r="Q219" s="111">
        <f t="shared" si="86"/>
        <v>4010.8</v>
      </c>
      <c r="R219" s="112">
        <v>1</v>
      </c>
      <c r="S219" s="111">
        <f t="shared" si="87"/>
        <v>4010.8</v>
      </c>
      <c r="T219" s="112"/>
      <c r="U219" s="111">
        <f t="shared" si="88"/>
        <v>668.4666666669707</v>
      </c>
      <c r="V219" s="111">
        <f t="shared" si="89"/>
        <v>668.4666666669707</v>
      </c>
      <c r="W219" s="112">
        <v>1</v>
      </c>
      <c r="X219" s="111">
        <f t="shared" si="90"/>
        <v>668.4666666669707</v>
      </c>
      <c r="Y219" s="111">
        <f t="shared" si="91"/>
        <v>4679.2666666669711</v>
      </c>
      <c r="Z219" s="111">
        <f t="shared" si="92"/>
        <v>17380.133333333029</v>
      </c>
      <c r="AA219" s="111">
        <f t="shared" si="93"/>
        <v>2016.3333333333333</v>
      </c>
      <c r="AB219" s="111">
        <f t="shared" si="94"/>
        <v>2017.5</v>
      </c>
      <c r="AC219" s="111">
        <f t="shared" si="95"/>
        <v>2021.3333333333333</v>
      </c>
      <c r="AD219" s="113">
        <f t="shared" si="96"/>
        <v>2016.5</v>
      </c>
      <c r="AE219" s="113">
        <f t="shared" si="97"/>
        <v>-8.3333333333333329E-2</v>
      </c>
      <c r="AF219" s="113">
        <f t="shared" si="98"/>
        <v>2021.3333333333333</v>
      </c>
      <c r="AG219" s="113">
        <f t="shared" si="99"/>
        <v>2016.5</v>
      </c>
      <c r="AH219" s="113">
        <f t="shared" si="100"/>
        <v>-8.3333333333333329E-2</v>
      </c>
    </row>
    <row r="220" spans="1:34" x14ac:dyDescent="0.25">
      <c r="A220">
        <v>235</v>
      </c>
      <c r="B220" t="s">
        <v>611</v>
      </c>
      <c r="C220">
        <v>2016</v>
      </c>
      <c r="D220">
        <v>6</v>
      </c>
      <c r="E220" s="75"/>
      <c r="F220" s="34" t="s">
        <v>436</v>
      </c>
      <c r="G220">
        <v>5</v>
      </c>
      <c r="H220">
        <f t="shared" si="81"/>
        <v>2021</v>
      </c>
      <c r="K220" s="110">
        <v>4131</v>
      </c>
      <c r="L220" s="110"/>
      <c r="M220" s="110">
        <f t="shared" si="82"/>
        <v>4131</v>
      </c>
      <c r="N220" s="111">
        <f t="shared" si="83"/>
        <v>68.850000000000009</v>
      </c>
      <c r="O220" s="111">
        <f t="shared" si="84"/>
        <v>826.2</v>
      </c>
      <c r="P220" s="111">
        <f t="shared" si="85"/>
        <v>0</v>
      </c>
      <c r="Q220" s="111">
        <f t="shared" si="86"/>
        <v>826.2</v>
      </c>
      <c r="R220" s="112">
        <v>1</v>
      </c>
      <c r="S220" s="111">
        <f t="shared" si="87"/>
        <v>826.2</v>
      </c>
      <c r="T220" s="112"/>
      <c r="U220" s="111">
        <f t="shared" si="88"/>
        <v>68.849999999937396</v>
      </c>
      <c r="V220" s="111">
        <f t="shared" si="89"/>
        <v>68.849999999937396</v>
      </c>
      <c r="W220" s="112">
        <v>1</v>
      </c>
      <c r="X220" s="111">
        <f t="shared" si="90"/>
        <v>68.849999999937396</v>
      </c>
      <c r="Y220" s="111">
        <f t="shared" si="91"/>
        <v>895.04999999993743</v>
      </c>
      <c r="Z220" s="111">
        <f t="shared" si="92"/>
        <v>3649.0500000000625</v>
      </c>
      <c r="AA220" s="111">
        <f t="shared" si="93"/>
        <v>2016.4166666666667</v>
      </c>
      <c r="AB220" s="111">
        <f t="shared" si="94"/>
        <v>2017.5</v>
      </c>
      <c r="AC220" s="111">
        <f t="shared" si="95"/>
        <v>2021.4166666666667</v>
      </c>
      <c r="AD220" s="113">
        <f t="shared" si="96"/>
        <v>2016.5</v>
      </c>
      <c r="AE220" s="113">
        <f t="shared" si="97"/>
        <v>-8.3333333333333329E-2</v>
      </c>
      <c r="AF220" s="113">
        <f t="shared" si="98"/>
        <v>2021.4166666666667</v>
      </c>
      <c r="AG220" s="113">
        <f t="shared" si="99"/>
        <v>2016.5</v>
      </c>
      <c r="AH220" s="113">
        <f t="shared" si="100"/>
        <v>-8.3333333333333329E-2</v>
      </c>
    </row>
    <row r="221" spans="1:34" x14ac:dyDescent="0.25">
      <c r="A221">
        <v>236</v>
      </c>
      <c r="B221" t="s">
        <v>612</v>
      </c>
      <c r="C221">
        <v>2016</v>
      </c>
      <c r="D221">
        <v>6</v>
      </c>
      <c r="E221" s="75"/>
      <c r="F221" s="34" t="s">
        <v>436</v>
      </c>
      <c r="G221">
        <v>5</v>
      </c>
      <c r="H221">
        <f t="shared" si="81"/>
        <v>2021</v>
      </c>
      <c r="K221" s="110">
        <v>53839</v>
      </c>
      <c r="L221" s="110"/>
      <c r="M221" s="110">
        <f t="shared" si="82"/>
        <v>53839</v>
      </c>
      <c r="N221" s="111">
        <f t="shared" si="83"/>
        <v>897.31666666666661</v>
      </c>
      <c r="O221" s="111">
        <f t="shared" si="84"/>
        <v>10767.8</v>
      </c>
      <c r="P221" s="111">
        <f t="shared" si="85"/>
        <v>0</v>
      </c>
      <c r="Q221" s="111">
        <f t="shared" si="86"/>
        <v>10767.8</v>
      </c>
      <c r="R221" s="112">
        <v>1</v>
      </c>
      <c r="S221" s="111">
        <f t="shared" si="87"/>
        <v>10767.8</v>
      </c>
      <c r="T221" s="112"/>
      <c r="U221" s="111">
        <f t="shared" si="88"/>
        <v>897.31666666585045</v>
      </c>
      <c r="V221" s="111">
        <f t="shared" si="89"/>
        <v>897.31666666585045</v>
      </c>
      <c r="W221" s="112">
        <v>1</v>
      </c>
      <c r="X221" s="111">
        <f t="shared" si="90"/>
        <v>897.31666666585045</v>
      </c>
      <c r="Y221" s="111">
        <f t="shared" si="91"/>
        <v>11665.11666666585</v>
      </c>
      <c r="Z221" s="111">
        <f t="shared" si="92"/>
        <v>47557.783333334148</v>
      </c>
      <c r="AA221" s="111">
        <f t="shared" si="93"/>
        <v>2016.4166666666667</v>
      </c>
      <c r="AB221" s="111">
        <f t="shared" si="94"/>
        <v>2017.5</v>
      </c>
      <c r="AC221" s="111">
        <f t="shared" si="95"/>
        <v>2021.4166666666667</v>
      </c>
      <c r="AD221" s="113">
        <f t="shared" si="96"/>
        <v>2016.5</v>
      </c>
      <c r="AE221" s="113">
        <f t="shared" si="97"/>
        <v>-8.3333333333333329E-2</v>
      </c>
      <c r="AF221" s="113">
        <f t="shared" si="98"/>
        <v>2021.4166666666667</v>
      </c>
      <c r="AG221" s="113">
        <f t="shared" si="99"/>
        <v>2016.5</v>
      </c>
      <c r="AH221" s="113">
        <f t="shared" si="100"/>
        <v>-8.3333333333333329E-2</v>
      </c>
    </row>
    <row r="222" spans="1:34" x14ac:dyDescent="0.25">
      <c r="A222">
        <v>238</v>
      </c>
      <c r="B222" t="s">
        <v>613</v>
      </c>
      <c r="C222">
        <v>2016</v>
      </c>
      <c r="D222">
        <v>6</v>
      </c>
      <c r="E222" s="75"/>
      <c r="F222" s="34" t="s">
        <v>436</v>
      </c>
      <c r="G222">
        <v>5</v>
      </c>
      <c r="H222">
        <f t="shared" si="81"/>
        <v>2021</v>
      </c>
      <c r="K222" s="110">
        <v>31480</v>
      </c>
      <c r="L222" s="110"/>
      <c r="M222" s="110">
        <f t="shared" si="82"/>
        <v>31480</v>
      </c>
      <c r="N222" s="111">
        <f t="shared" si="83"/>
        <v>524.66666666666663</v>
      </c>
      <c r="O222" s="111">
        <f t="shared" si="84"/>
        <v>6296</v>
      </c>
      <c r="P222" s="111">
        <f t="shared" si="85"/>
        <v>0</v>
      </c>
      <c r="Q222" s="111">
        <f t="shared" si="86"/>
        <v>6296</v>
      </c>
      <c r="R222" s="112">
        <v>1</v>
      </c>
      <c r="S222" s="111">
        <f t="shared" si="87"/>
        <v>6296</v>
      </c>
      <c r="T222" s="112"/>
      <c r="U222" s="111">
        <f t="shared" si="88"/>
        <v>524.66666666618949</v>
      </c>
      <c r="V222" s="111">
        <f t="shared" si="89"/>
        <v>524.66666666618949</v>
      </c>
      <c r="W222" s="112">
        <v>1</v>
      </c>
      <c r="X222" s="111">
        <f t="shared" si="90"/>
        <v>524.66666666618949</v>
      </c>
      <c r="Y222" s="111">
        <f t="shared" si="91"/>
        <v>6820.6666666661895</v>
      </c>
      <c r="Z222" s="111">
        <f t="shared" si="92"/>
        <v>27807.333333333809</v>
      </c>
      <c r="AA222" s="111">
        <f t="shared" si="93"/>
        <v>2016.4166666666667</v>
      </c>
      <c r="AB222" s="111">
        <f t="shared" si="94"/>
        <v>2017.5</v>
      </c>
      <c r="AC222" s="111">
        <f t="shared" si="95"/>
        <v>2021.4166666666667</v>
      </c>
      <c r="AD222" s="113">
        <f t="shared" si="96"/>
        <v>2016.5</v>
      </c>
      <c r="AE222" s="113">
        <f t="shared" si="97"/>
        <v>-8.3333333333333329E-2</v>
      </c>
      <c r="AF222" s="113">
        <f t="shared" si="98"/>
        <v>2021.4166666666667</v>
      </c>
      <c r="AG222" s="113">
        <f t="shared" si="99"/>
        <v>2016.5</v>
      </c>
      <c r="AH222" s="113">
        <f t="shared" si="100"/>
        <v>-8.3333333333333329E-2</v>
      </c>
    </row>
    <row r="223" spans="1:34" x14ac:dyDescent="0.25">
      <c r="A223">
        <v>239</v>
      </c>
      <c r="B223" t="s">
        <v>758</v>
      </c>
      <c r="C223">
        <v>2016</v>
      </c>
      <c r="D223">
        <v>6</v>
      </c>
      <c r="E223" s="75"/>
      <c r="F223" s="34" t="s">
        <v>436</v>
      </c>
      <c r="G223">
        <v>5</v>
      </c>
      <c r="H223">
        <f t="shared" si="81"/>
        <v>2021</v>
      </c>
      <c r="K223" s="110">
        <v>2428</v>
      </c>
      <c r="L223" s="110"/>
      <c r="M223" s="110">
        <f t="shared" si="82"/>
        <v>2428</v>
      </c>
      <c r="N223" s="111">
        <f t="shared" si="83"/>
        <v>40.466666666666669</v>
      </c>
      <c r="O223" s="111">
        <f t="shared" si="84"/>
        <v>485.6</v>
      </c>
      <c r="P223" s="111">
        <f t="shared" si="85"/>
        <v>0</v>
      </c>
      <c r="Q223" s="111">
        <f t="shared" si="86"/>
        <v>485.6</v>
      </c>
      <c r="R223" s="112">
        <v>1</v>
      </c>
      <c r="S223" s="111">
        <f t="shared" si="87"/>
        <v>485.6</v>
      </c>
      <c r="T223" s="112"/>
      <c r="U223" s="111">
        <f t="shared" si="88"/>
        <v>40.466666666629862</v>
      </c>
      <c r="V223" s="111">
        <f t="shared" si="89"/>
        <v>40.466666666629862</v>
      </c>
      <c r="W223" s="112">
        <v>1</v>
      </c>
      <c r="X223" s="111">
        <f t="shared" si="90"/>
        <v>40.466666666629862</v>
      </c>
      <c r="Y223" s="111">
        <f t="shared" si="91"/>
        <v>526.06666666662989</v>
      </c>
      <c r="Z223" s="111">
        <f t="shared" si="92"/>
        <v>2144.73333333337</v>
      </c>
      <c r="AA223" s="111">
        <f t="shared" si="93"/>
        <v>2016.4166666666667</v>
      </c>
      <c r="AB223" s="111">
        <f t="shared" si="94"/>
        <v>2017.5</v>
      </c>
      <c r="AC223" s="111">
        <f t="shared" si="95"/>
        <v>2021.4166666666667</v>
      </c>
      <c r="AD223" s="113">
        <f t="shared" si="96"/>
        <v>2016.5</v>
      </c>
      <c r="AE223" s="113">
        <f t="shared" si="97"/>
        <v>-8.3333333333333329E-2</v>
      </c>
      <c r="AF223" s="113">
        <f t="shared" si="98"/>
        <v>2021.4166666666667</v>
      </c>
      <c r="AG223" s="113">
        <f t="shared" si="99"/>
        <v>2016.5</v>
      </c>
      <c r="AH223" s="113">
        <f t="shared" si="100"/>
        <v>-8.3333333333333329E-2</v>
      </c>
    </row>
    <row r="224" spans="1:34" x14ac:dyDescent="0.25">
      <c r="A224">
        <v>246</v>
      </c>
      <c r="B224" t="s">
        <v>614</v>
      </c>
      <c r="C224">
        <v>2016</v>
      </c>
      <c r="D224">
        <v>11</v>
      </c>
      <c r="E224" s="75"/>
      <c r="F224" s="34" t="s">
        <v>436</v>
      </c>
      <c r="G224">
        <v>7</v>
      </c>
      <c r="H224">
        <f t="shared" si="81"/>
        <v>2023</v>
      </c>
      <c r="K224" s="110">
        <v>3144</v>
      </c>
      <c r="L224" s="110"/>
      <c r="M224" s="110">
        <f t="shared" si="82"/>
        <v>3144</v>
      </c>
      <c r="N224" s="111">
        <f t="shared" si="83"/>
        <v>37.428571428571431</v>
      </c>
      <c r="O224" s="111">
        <v>444</v>
      </c>
      <c r="P224" s="111">
        <f t="shared" si="85"/>
        <v>0</v>
      </c>
      <c r="Q224" s="111">
        <f t="shared" si="86"/>
        <v>444</v>
      </c>
      <c r="R224" s="112">
        <v>1</v>
      </c>
      <c r="S224" s="111">
        <f t="shared" si="87"/>
        <v>444</v>
      </c>
      <c r="T224" s="112"/>
      <c r="U224" s="111">
        <f t="shared" si="88"/>
        <v>0</v>
      </c>
      <c r="V224" s="111">
        <f t="shared" si="89"/>
        <v>0</v>
      </c>
      <c r="W224" s="112">
        <v>1</v>
      </c>
      <c r="X224" s="111">
        <f t="shared" si="90"/>
        <v>0</v>
      </c>
      <c r="Y224" s="111">
        <f t="shared" si="91"/>
        <v>444</v>
      </c>
      <c r="Z224" s="111">
        <f>+M224-Y224</f>
        <v>2700</v>
      </c>
      <c r="AA224" s="111">
        <f t="shared" si="93"/>
        <v>2016.8333333333333</v>
      </c>
      <c r="AB224" s="111">
        <f t="shared" si="94"/>
        <v>2017.5</v>
      </c>
      <c r="AC224" s="111">
        <f t="shared" si="95"/>
        <v>2023.8333333333333</v>
      </c>
      <c r="AD224" s="113">
        <f t="shared" si="96"/>
        <v>2016.5</v>
      </c>
      <c r="AE224" s="113">
        <f t="shared" si="97"/>
        <v>-8.3333333333333329E-2</v>
      </c>
      <c r="AF224" s="113">
        <f t="shared" si="98"/>
        <v>2023.8333333333333</v>
      </c>
      <c r="AG224" s="113">
        <f t="shared" si="99"/>
        <v>2016.5</v>
      </c>
      <c r="AH224" s="113">
        <f t="shared" si="100"/>
        <v>-8.3333333333333329E-2</v>
      </c>
    </row>
    <row r="225" spans="1:34" x14ac:dyDescent="0.25">
      <c r="A225">
        <v>240</v>
      </c>
      <c r="B225" t="s">
        <v>759</v>
      </c>
      <c r="C225">
        <v>2016</v>
      </c>
      <c r="D225">
        <v>12</v>
      </c>
      <c r="E225" s="75"/>
      <c r="F225" s="34" t="s">
        <v>436</v>
      </c>
      <c r="G225">
        <v>5</v>
      </c>
      <c r="H225">
        <f t="shared" si="81"/>
        <v>2021</v>
      </c>
      <c r="K225" s="110">
        <v>15332</v>
      </c>
      <c r="L225" s="110"/>
      <c r="M225" s="110">
        <f t="shared" si="82"/>
        <v>15332</v>
      </c>
      <c r="N225" s="111">
        <f t="shared" si="83"/>
        <v>255.53333333333333</v>
      </c>
      <c r="O225" s="111">
        <v>3072</v>
      </c>
      <c r="P225" s="111">
        <f t="shared" si="85"/>
        <v>0</v>
      </c>
      <c r="Q225" s="111">
        <f t="shared" si="86"/>
        <v>3072</v>
      </c>
      <c r="R225" s="112">
        <v>1</v>
      </c>
      <c r="S225" s="111">
        <f t="shared" si="87"/>
        <v>3072</v>
      </c>
      <c r="T225" s="112"/>
      <c r="U225" s="111">
        <f t="shared" si="88"/>
        <v>0</v>
      </c>
      <c r="V225" s="111">
        <f t="shared" si="89"/>
        <v>0</v>
      </c>
      <c r="W225" s="112">
        <v>1</v>
      </c>
      <c r="X225" s="111">
        <f t="shared" si="90"/>
        <v>0</v>
      </c>
      <c r="Y225" s="111">
        <f t="shared" si="91"/>
        <v>3072</v>
      </c>
      <c r="Z225" s="111">
        <f>+M225-Y225</f>
        <v>12260</v>
      </c>
      <c r="AA225" s="111">
        <f t="shared" si="93"/>
        <v>2016.9166666666667</v>
      </c>
      <c r="AB225" s="111">
        <f t="shared" si="94"/>
        <v>2017.5</v>
      </c>
      <c r="AC225" s="111">
        <f t="shared" si="95"/>
        <v>2021.9166666666667</v>
      </c>
      <c r="AD225" s="113">
        <f t="shared" si="96"/>
        <v>2016.5</v>
      </c>
      <c r="AE225" s="113">
        <f t="shared" si="97"/>
        <v>-8.3333333333333329E-2</v>
      </c>
      <c r="AF225" s="113">
        <f t="shared" si="98"/>
        <v>2021.9166666666667</v>
      </c>
      <c r="AG225" s="113">
        <f t="shared" si="99"/>
        <v>2016.5</v>
      </c>
      <c r="AH225" s="113">
        <f t="shared" si="100"/>
        <v>-8.3333333333333329E-2</v>
      </c>
    </row>
    <row r="226" spans="1:34" x14ac:dyDescent="0.25">
      <c r="B226" t="s">
        <v>615</v>
      </c>
      <c r="C226">
        <v>2017</v>
      </c>
      <c r="D226">
        <v>1</v>
      </c>
      <c r="E226" s="75"/>
      <c r="F226" s="34" t="s">
        <v>436</v>
      </c>
      <c r="G226">
        <v>5</v>
      </c>
      <c r="H226">
        <f t="shared" si="81"/>
        <v>2022</v>
      </c>
      <c r="K226" s="110">
        <v>4103</v>
      </c>
      <c r="L226" s="110"/>
      <c r="M226" s="110">
        <f t="shared" si="82"/>
        <v>4103</v>
      </c>
      <c r="N226" s="111">
        <f t="shared" si="83"/>
        <v>68.38333333333334</v>
      </c>
      <c r="O226" s="111">
        <f t="shared" si="84"/>
        <v>410.30000000000007</v>
      </c>
      <c r="P226" s="111">
        <f t="shared" si="85"/>
        <v>0</v>
      </c>
      <c r="Q226" s="111">
        <f t="shared" si="86"/>
        <v>410.30000000000007</v>
      </c>
      <c r="R226" s="112">
        <v>1</v>
      </c>
      <c r="S226" s="111">
        <f t="shared" si="87"/>
        <v>410.30000000000007</v>
      </c>
      <c r="T226" s="112"/>
      <c r="U226" s="111">
        <f t="shared" si="88"/>
        <v>0</v>
      </c>
      <c r="V226" s="111">
        <f t="shared" si="89"/>
        <v>0</v>
      </c>
      <c r="W226" s="112">
        <v>1</v>
      </c>
      <c r="X226" s="111">
        <f t="shared" si="90"/>
        <v>0</v>
      </c>
      <c r="Y226" s="111">
        <f t="shared" si="91"/>
        <v>410.30000000000007</v>
      </c>
      <c r="Z226" s="111">
        <f>+M226-O226</f>
        <v>3692.7</v>
      </c>
      <c r="AA226" s="111">
        <f t="shared" si="93"/>
        <v>2017</v>
      </c>
      <c r="AB226" s="111">
        <f t="shared" si="94"/>
        <v>2017.5</v>
      </c>
      <c r="AC226" s="111">
        <f t="shared" si="95"/>
        <v>2022</v>
      </c>
      <c r="AD226" s="113">
        <f t="shared" si="96"/>
        <v>2016.5</v>
      </c>
      <c r="AE226" s="113">
        <f t="shared" si="97"/>
        <v>-8.3333333333333329E-2</v>
      </c>
      <c r="AF226" s="113">
        <f t="shared" si="98"/>
        <v>2022</v>
      </c>
      <c r="AG226" s="113">
        <f t="shared" si="99"/>
        <v>2016.5</v>
      </c>
      <c r="AH226" s="113">
        <f t="shared" si="100"/>
        <v>-8.3333333333333329E-2</v>
      </c>
    </row>
    <row r="227" spans="1:34" x14ac:dyDescent="0.25">
      <c r="B227" t="s">
        <v>616</v>
      </c>
      <c r="C227">
        <v>2017</v>
      </c>
      <c r="D227">
        <v>6</v>
      </c>
      <c r="E227" s="75"/>
      <c r="F227" s="34" t="s">
        <v>436</v>
      </c>
      <c r="G227">
        <v>5</v>
      </c>
      <c r="H227">
        <f t="shared" si="81"/>
        <v>2022</v>
      </c>
      <c r="K227" s="110">
        <v>105450</v>
      </c>
      <c r="L227" s="110"/>
      <c r="M227" s="110">
        <f t="shared" si="82"/>
        <v>105450</v>
      </c>
      <c r="N227" s="111">
        <f t="shared" si="83"/>
        <v>1757.5</v>
      </c>
      <c r="O227" s="111">
        <v>21096</v>
      </c>
      <c r="P227" s="111">
        <f t="shared" si="85"/>
        <v>0</v>
      </c>
      <c r="Q227" s="111">
        <f t="shared" si="86"/>
        <v>21096</v>
      </c>
      <c r="R227" s="112">
        <v>1</v>
      </c>
      <c r="S227" s="111">
        <f t="shared" si="87"/>
        <v>21096</v>
      </c>
      <c r="T227" s="112"/>
      <c r="U227" s="111">
        <f t="shared" si="88"/>
        <v>0</v>
      </c>
      <c r="V227" s="111">
        <f t="shared" si="89"/>
        <v>0</v>
      </c>
      <c r="W227" s="112">
        <v>1</v>
      </c>
      <c r="X227" s="111">
        <f t="shared" si="90"/>
        <v>0</v>
      </c>
      <c r="Y227" s="111">
        <f t="shared" si="91"/>
        <v>21096</v>
      </c>
      <c r="Z227" s="111">
        <f>+M227-O227</f>
        <v>84354</v>
      </c>
      <c r="AA227" s="111">
        <f t="shared" si="93"/>
        <v>2017.4166666666667</v>
      </c>
      <c r="AB227" s="111">
        <f t="shared" si="94"/>
        <v>2017.5</v>
      </c>
      <c r="AC227" s="111">
        <f t="shared" si="95"/>
        <v>2022.4166666666667</v>
      </c>
      <c r="AD227" s="113">
        <f t="shared" si="96"/>
        <v>2016.5</v>
      </c>
      <c r="AE227" s="113">
        <f t="shared" si="97"/>
        <v>-8.3333333333333329E-2</v>
      </c>
      <c r="AF227" s="113">
        <f t="shared" si="98"/>
        <v>2022.4166666666667</v>
      </c>
      <c r="AG227" s="113">
        <f t="shared" si="99"/>
        <v>2016.5</v>
      </c>
      <c r="AH227" s="113">
        <f t="shared" si="100"/>
        <v>-8.3333333333333329E-2</v>
      </c>
    </row>
    <row r="228" spans="1:34" x14ac:dyDescent="0.25">
      <c r="B228" t="s">
        <v>760</v>
      </c>
      <c r="C228">
        <v>2017</v>
      </c>
      <c r="D228">
        <v>6</v>
      </c>
      <c r="E228" s="75"/>
      <c r="F228" s="34" t="s">
        <v>436</v>
      </c>
      <c r="G228">
        <v>5</v>
      </c>
      <c r="H228">
        <f t="shared" si="81"/>
        <v>2022</v>
      </c>
      <c r="K228" s="114">
        <v>285505</v>
      </c>
      <c r="L228" s="114"/>
      <c r="M228" s="114">
        <f t="shared" si="82"/>
        <v>285505</v>
      </c>
      <c r="N228" s="115">
        <f t="shared" si="83"/>
        <v>4758.416666666667</v>
      </c>
      <c r="O228" s="115">
        <v>57096</v>
      </c>
      <c r="P228" s="115">
        <f t="shared" si="85"/>
        <v>0</v>
      </c>
      <c r="Q228" s="115">
        <f t="shared" si="86"/>
        <v>57096</v>
      </c>
      <c r="R228" s="116">
        <v>1</v>
      </c>
      <c r="S228" s="115">
        <f t="shared" si="87"/>
        <v>57096</v>
      </c>
      <c r="T228" s="116"/>
      <c r="U228" s="115">
        <f t="shared" si="88"/>
        <v>0</v>
      </c>
      <c r="V228" s="115">
        <f t="shared" si="89"/>
        <v>0</v>
      </c>
      <c r="W228" s="116">
        <v>1</v>
      </c>
      <c r="X228" s="115">
        <f t="shared" si="90"/>
        <v>0</v>
      </c>
      <c r="Y228" s="115">
        <f t="shared" si="91"/>
        <v>57096</v>
      </c>
      <c r="Z228" s="115">
        <f>+M228-Y228</f>
        <v>228409</v>
      </c>
      <c r="AA228" s="111">
        <f t="shared" si="93"/>
        <v>2017.4166666666667</v>
      </c>
      <c r="AB228" s="111">
        <f t="shared" si="94"/>
        <v>2017.5</v>
      </c>
      <c r="AC228" s="111">
        <f t="shared" si="95"/>
        <v>2022.4166666666667</v>
      </c>
      <c r="AD228" s="113">
        <f t="shared" si="96"/>
        <v>2016.5</v>
      </c>
      <c r="AE228" s="113">
        <f t="shared" si="97"/>
        <v>-8.3333333333333329E-2</v>
      </c>
      <c r="AF228" s="113">
        <f t="shared" si="98"/>
        <v>2022.4166666666667</v>
      </c>
      <c r="AG228" s="113">
        <f t="shared" si="99"/>
        <v>2016.5</v>
      </c>
      <c r="AH228" s="113">
        <f t="shared" si="100"/>
        <v>-8.3333333333333329E-2</v>
      </c>
    </row>
    <row r="229" spans="1:34" x14ac:dyDescent="0.25">
      <c r="E229" s="75"/>
      <c r="K229" s="32">
        <f>SUM(K33:K228)</f>
        <v>4893118.870000001</v>
      </c>
      <c r="L229" s="32">
        <f t="shared" ref="L229:Z229" si="101">SUM(L33:L228)</f>
        <v>0</v>
      </c>
      <c r="M229" s="32">
        <f t="shared" si="101"/>
        <v>4893118.870000001</v>
      </c>
      <c r="N229" s="32">
        <f t="shared" si="101"/>
        <v>51109.19171428572</v>
      </c>
      <c r="O229" s="32">
        <f t="shared" si="101"/>
        <v>437375.30057142832</v>
      </c>
      <c r="P229" s="32">
        <f t="shared" si="101"/>
        <v>0</v>
      </c>
      <c r="Q229" s="32">
        <f t="shared" si="101"/>
        <v>437375.30057142832</v>
      </c>
      <c r="R229" s="32">
        <f t="shared" si="101"/>
        <v>196</v>
      </c>
      <c r="S229" s="32">
        <f t="shared" si="101"/>
        <v>437375.30057142832</v>
      </c>
      <c r="T229" s="32">
        <f t="shared" si="101"/>
        <v>0</v>
      </c>
      <c r="U229" s="32">
        <f t="shared" si="101"/>
        <v>2091892.1980634753</v>
      </c>
      <c r="V229" s="32">
        <f t="shared" si="101"/>
        <v>2091892.1980634753</v>
      </c>
      <c r="W229" s="32">
        <f t="shared" si="101"/>
        <v>196</v>
      </c>
      <c r="X229" s="32">
        <f t="shared" si="101"/>
        <v>2091892.1980634753</v>
      </c>
      <c r="Y229" s="32">
        <f t="shared" si="101"/>
        <v>2529267.4986349028</v>
      </c>
      <c r="Z229" s="32">
        <f t="shared" si="101"/>
        <v>2541479.8716508113</v>
      </c>
      <c r="AA229" s="107"/>
      <c r="AB229" s="107"/>
      <c r="AC229" s="107"/>
      <c r="AD229" s="108"/>
      <c r="AE229" s="108"/>
      <c r="AF229" s="108"/>
      <c r="AG229" s="108"/>
      <c r="AH229" s="108"/>
    </row>
    <row r="230" spans="1:34" x14ac:dyDescent="0.25">
      <c r="E230" s="75"/>
      <c r="K230" s="32"/>
      <c r="L230" s="32"/>
      <c r="M230" s="32"/>
      <c r="N230" s="107"/>
      <c r="O230" s="107"/>
      <c r="P230" s="107"/>
      <c r="Q230" s="107"/>
      <c r="R230" s="105"/>
      <c r="S230" s="107"/>
      <c r="T230" s="105"/>
      <c r="U230" s="107"/>
      <c r="V230" s="107"/>
      <c r="W230" s="105"/>
      <c r="X230" s="107"/>
      <c r="Y230" s="107"/>
      <c r="Z230" s="107"/>
      <c r="AA230" s="107"/>
      <c r="AB230" s="107"/>
      <c r="AC230" s="107"/>
      <c r="AD230" s="108"/>
      <c r="AE230" s="108"/>
      <c r="AF230" s="108"/>
      <c r="AG230" s="108"/>
      <c r="AH230" s="108"/>
    </row>
    <row r="232" spans="1:34" x14ac:dyDescent="0.25">
      <c r="N232" s="107"/>
      <c r="O232" s="107"/>
      <c r="P232" s="107"/>
      <c r="Q232" s="107"/>
      <c r="R232" s="105"/>
      <c r="S232" s="107"/>
      <c r="T232" s="105"/>
      <c r="U232" s="107"/>
      <c r="V232" s="107"/>
      <c r="W232" s="105"/>
      <c r="X232" s="107"/>
      <c r="Y232" s="107"/>
      <c r="Z232" s="107"/>
      <c r="AA232" s="107"/>
      <c r="AB232" s="107"/>
      <c r="AC232" s="107"/>
      <c r="AD232" s="108"/>
      <c r="AE232" s="108"/>
      <c r="AF232" s="108"/>
      <c r="AG232" s="108"/>
      <c r="AH232" s="108"/>
    </row>
    <row r="233" spans="1:34" x14ac:dyDescent="0.25">
      <c r="A233">
        <v>64</v>
      </c>
      <c r="B233" t="s">
        <v>617</v>
      </c>
      <c r="C233">
        <v>1999</v>
      </c>
      <c r="D233">
        <v>11</v>
      </c>
      <c r="E233" s="75"/>
      <c r="F233" s="34" t="s">
        <v>436</v>
      </c>
      <c r="G233">
        <v>7</v>
      </c>
      <c r="H233">
        <f t="shared" ref="H233:H246" si="102">+C233+G233</f>
        <v>2006</v>
      </c>
      <c r="K233" s="32">
        <v>40000</v>
      </c>
      <c r="L233" s="32"/>
      <c r="M233" s="32">
        <f t="shared" ref="M233:M246" si="103">+K233-K233*E233</f>
        <v>40000</v>
      </c>
      <c r="N233" s="107">
        <f t="shared" ref="N233:N246" si="104">M233/G233/12</f>
        <v>476.1904761904762</v>
      </c>
      <c r="O233" s="107">
        <f t="shared" ref="O233:O246" si="105">IF(L233&gt;0,0,IF((OR((AA233&gt;AB233),(AC233&lt;AD233))),0,IF((AND((AC233&gt;=AD233),(AC233&lt;=AB233))),N233*((AC233-AD233)*12),IF((AND((AD233&lt;=AA233),(AB233&gt;=AA233))),((AB233-AA233)*12)*N233,IF(AC233&gt;AB233,12*N233,0)))))</f>
        <v>0</v>
      </c>
      <c r="P233" s="107">
        <f t="shared" ref="P233:P246" si="106">IF(L233=0,0,IF((AND((AE233&gt;=AD233),(AE233&lt;=AC233))),((AE233-AD233)*12)*N233,0))</f>
        <v>0</v>
      </c>
      <c r="Q233" s="107">
        <f t="shared" ref="Q233:Q246" si="107">IF(P233&gt;0,P233,O233)</f>
        <v>0</v>
      </c>
      <c r="R233" s="105">
        <v>1</v>
      </c>
      <c r="S233" s="107">
        <f t="shared" ref="S233:S246" si="108">R233*SUM(O233:P233)</f>
        <v>0</v>
      </c>
      <c r="T233" s="105"/>
      <c r="U233" s="107">
        <f t="shared" ref="U233:U246" si="109">IF(AA233&gt;AB233,0,IF(AC233&lt;AD233,M233,IF((AND((AC233&gt;=AD233),(AC233&lt;=AB233))),(M233-Q233),IF((AND((AD233&lt;=AA233),(AB233&gt;=AA233))),0,IF(AC233&gt;AB233,((AD233-AA233)*12)*N233,0)))))</f>
        <v>40000</v>
      </c>
      <c r="V233" s="107">
        <f t="shared" ref="V233:V246" si="110">U233*R233</f>
        <v>40000</v>
      </c>
      <c r="W233" s="105">
        <v>1</v>
      </c>
      <c r="X233" s="107">
        <f t="shared" ref="X233:X246" si="111">V233*W233</f>
        <v>40000</v>
      </c>
      <c r="Y233" s="107">
        <f t="shared" ref="Y233:Y246" si="112">IF(L233&gt;0,0,X233+S233*W233)*W233</f>
        <v>40000</v>
      </c>
      <c r="Z233" s="107">
        <f t="shared" ref="Z233:Z246" si="113">IF(L233&gt;0,(K233-X233)/2,IF(AA233&gt;=AD233,(((K233*R233)*W233)-Y233)/2,((((K233*R233)*W233)-X233)+(((K233*R233)*W233)-Y233))/2))</f>
        <v>0</v>
      </c>
      <c r="AA233" s="107">
        <f t="shared" ref="AA233:AA246" si="114">$C233+(($D233-1)/12)</f>
        <v>1999.8333333333333</v>
      </c>
      <c r="AB233" s="107">
        <f t="shared" ref="AB233:AB246" si="115">($M$5+1)-($M$2/12)</f>
        <v>2017.5</v>
      </c>
      <c r="AC233" s="107">
        <f t="shared" ref="AC233:AC246" si="116">$H233+(($D233-1)/12)</f>
        <v>2006.8333333333333</v>
      </c>
      <c r="AD233" s="108">
        <f t="shared" ref="AD233:AD246" si="117">$M$4+($M$3/12)</f>
        <v>2016.5</v>
      </c>
      <c r="AE233" s="108">
        <f t="shared" ref="AE233:AE246" si="118">$I233+(($J233-1)/12)</f>
        <v>-8.3333333333333329E-2</v>
      </c>
      <c r="AF233" s="108">
        <f t="shared" ref="AF233:AF246" si="119">$H233+(($D233-1)/12)</f>
        <v>2006.8333333333333</v>
      </c>
      <c r="AG233" s="108">
        <f t="shared" ref="AG233:AG246" si="120">$M$4+($M$3/12)</f>
        <v>2016.5</v>
      </c>
      <c r="AH233" s="108">
        <f t="shared" ref="AH233:AH246" si="121">$I233+(($J233-1)/12)</f>
        <v>-8.3333333333333329E-2</v>
      </c>
    </row>
    <row r="234" spans="1:34" x14ac:dyDescent="0.25">
      <c r="A234">
        <v>65</v>
      </c>
      <c r="B234" t="s">
        <v>618</v>
      </c>
      <c r="C234">
        <v>2000</v>
      </c>
      <c r="D234">
        <v>6</v>
      </c>
      <c r="E234" s="75"/>
      <c r="F234" s="34" t="s">
        <v>436</v>
      </c>
      <c r="G234">
        <v>5</v>
      </c>
      <c r="H234">
        <f t="shared" si="102"/>
        <v>2005</v>
      </c>
      <c r="K234" s="32">
        <v>20000</v>
      </c>
      <c r="L234" s="32"/>
      <c r="M234" s="32">
        <f t="shared" si="103"/>
        <v>20000</v>
      </c>
      <c r="N234" s="107">
        <f t="shared" si="104"/>
        <v>333.33333333333331</v>
      </c>
      <c r="O234" s="107">
        <f t="shared" si="105"/>
        <v>0</v>
      </c>
      <c r="P234" s="107">
        <f t="shared" si="106"/>
        <v>0</v>
      </c>
      <c r="Q234" s="107">
        <f t="shared" si="107"/>
        <v>0</v>
      </c>
      <c r="R234" s="105">
        <v>1</v>
      </c>
      <c r="S234" s="107">
        <f t="shared" si="108"/>
        <v>0</v>
      </c>
      <c r="T234" s="105"/>
      <c r="U234" s="107">
        <f t="shared" si="109"/>
        <v>20000</v>
      </c>
      <c r="V234" s="107">
        <f t="shared" si="110"/>
        <v>20000</v>
      </c>
      <c r="W234" s="105">
        <v>1</v>
      </c>
      <c r="X234" s="107">
        <f t="shared" si="111"/>
        <v>20000</v>
      </c>
      <c r="Y234" s="107">
        <f t="shared" si="112"/>
        <v>20000</v>
      </c>
      <c r="Z234" s="107">
        <f t="shared" si="113"/>
        <v>0</v>
      </c>
      <c r="AA234" s="107">
        <f t="shared" si="114"/>
        <v>2000.4166666666667</v>
      </c>
      <c r="AB234" s="107">
        <f t="shared" si="115"/>
        <v>2017.5</v>
      </c>
      <c r="AC234" s="107">
        <f t="shared" si="116"/>
        <v>2005.4166666666667</v>
      </c>
      <c r="AD234" s="108">
        <f t="shared" si="117"/>
        <v>2016.5</v>
      </c>
      <c r="AE234" s="108">
        <f t="shared" si="118"/>
        <v>-8.3333333333333329E-2</v>
      </c>
      <c r="AF234" s="108">
        <f t="shared" si="119"/>
        <v>2005.4166666666667</v>
      </c>
      <c r="AG234" s="108">
        <f t="shared" si="120"/>
        <v>2016.5</v>
      </c>
      <c r="AH234" s="108">
        <f t="shared" si="121"/>
        <v>-8.3333333333333329E-2</v>
      </c>
    </row>
    <row r="235" spans="1:34" x14ac:dyDescent="0.25">
      <c r="A235">
        <v>66</v>
      </c>
      <c r="B235" t="s">
        <v>619</v>
      </c>
      <c r="C235">
        <v>2003</v>
      </c>
      <c r="D235">
        <v>7</v>
      </c>
      <c r="E235" s="75"/>
      <c r="F235" s="34" t="s">
        <v>436</v>
      </c>
      <c r="G235">
        <v>10</v>
      </c>
      <c r="H235">
        <f t="shared" si="102"/>
        <v>2013</v>
      </c>
      <c r="K235" s="32">
        <v>8000</v>
      </c>
      <c r="L235" s="32"/>
      <c r="M235" s="32">
        <f t="shared" si="103"/>
        <v>8000</v>
      </c>
      <c r="N235" s="107">
        <f t="shared" si="104"/>
        <v>66.666666666666671</v>
      </c>
      <c r="O235" s="107">
        <f t="shared" si="105"/>
        <v>0</v>
      </c>
      <c r="P235" s="107">
        <f t="shared" si="106"/>
        <v>0</v>
      </c>
      <c r="Q235" s="107">
        <f t="shared" si="107"/>
        <v>0</v>
      </c>
      <c r="R235" s="105">
        <v>1</v>
      </c>
      <c r="S235" s="107">
        <f t="shared" si="108"/>
        <v>0</v>
      </c>
      <c r="T235" s="105"/>
      <c r="U235" s="107">
        <f t="shared" si="109"/>
        <v>8000</v>
      </c>
      <c r="V235" s="107">
        <f t="shared" si="110"/>
        <v>8000</v>
      </c>
      <c r="W235" s="105">
        <v>1</v>
      </c>
      <c r="X235" s="107">
        <f t="shared" si="111"/>
        <v>8000</v>
      </c>
      <c r="Y235" s="107">
        <f t="shared" si="112"/>
        <v>8000</v>
      </c>
      <c r="Z235" s="107">
        <f t="shared" si="113"/>
        <v>0</v>
      </c>
      <c r="AA235" s="107">
        <f t="shared" si="114"/>
        <v>2003.5</v>
      </c>
      <c r="AB235" s="107">
        <f t="shared" si="115"/>
        <v>2017.5</v>
      </c>
      <c r="AC235" s="107">
        <f t="shared" si="116"/>
        <v>2013.5</v>
      </c>
      <c r="AD235" s="108">
        <f t="shared" si="117"/>
        <v>2016.5</v>
      </c>
      <c r="AE235" s="108">
        <f t="shared" si="118"/>
        <v>-8.3333333333333329E-2</v>
      </c>
      <c r="AF235" s="108">
        <f t="shared" si="119"/>
        <v>2013.5</v>
      </c>
      <c r="AG235" s="108">
        <f t="shared" si="120"/>
        <v>2016.5</v>
      </c>
      <c r="AH235" s="108">
        <f t="shared" si="121"/>
        <v>-8.3333333333333329E-2</v>
      </c>
    </row>
    <row r="236" spans="1:34" x14ac:dyDescent="0.25">
      <c r="A236">
        <v>67</v>
      </c>
      <c r="B236" t="s">
        <v>620</v>
      </c>
      <c r="C236">
        <v>2003</v>
      </c>
      <c r="D236">
        <v>8</v>
      </c>
      <c r="E236" s="75"/>
      <c r="F236" s="34" t="s">
        <v>436</v>
      </c>
      <c r="G236">
        <v>7</v>
      </c>
      <c r="H236">
        <f t="shared" si="102"/>
        <v>2010</v>
      </c>
      <c r="K236" s="32">
        <v>6000</v>
      </c>
      <c r="L236" s="32"/>
      <c r="M236" s="32">
        <f t="shared" si="103"/>
        <v>6000</v>
      </c>
      <c r="N236" s="107">
        <f t="shared" si="104"/>
        <v>71.428571428571431</v>
      </c>
      <c r="O236" s="107">
        <f t="shared" si="105"/>
        <v>0</v>
      </c>
      <c r="P236" s="107">
        <f t="shared" si="106"/>
        <v>0</v>
      </c>
      <c r="Q236" s="107">
        <f t="shared" si="107"/>
        <v>0</v>
      </c>
      <c r="R236" s="105">
        <v>1</v>
      </c>
      <c r="S236" s="107">
        <f t="shared" si="108"/>
        <v>0</v>
      </c>
      <c r="T236" s="105"/>
      <c r="U236" s="107">
        <f t="shared" si="109"/>
        <v>6000</v>
      </c>
      <c r="V236" s="107">
        <f t="shared" si="110"/>
        <v>6000</v>
      </c>
      <c r="W236" s="105">
        <v>1</v>
      </c>
      <c r="X236" s="107">
        <f t="shared" si="111"/>
        <v>6000</v>
      </c>
      <c r="Y236" s="107">
        <f t="shared" si="112"/>
        <v>6000</v>
      </c>
      <c r="Z236" s="107">
        <f t="shared" si="113"/>
        <v>0</v>
      </c>
      <c r="AA236" s="107">
        <f t="shared" si="114"/>
        <v>2003.5833333333333</v>
      </c>
      <c r="AB236" s="107">
        <f t="shared" si="115"/>
        <v>2017.5</v>
      </c>
      <c r="AC236" s="107">
        <f t="shared" si="116"/>
        <v>2010.5833333333333</v>
      </c>
      <c r="AD236" s="108">
        <f t="shared" si="117"/>
        <v>2016.5</v>
      </c>
      <c r="AE236" s="108">
        <f t="shared" si="118"/>
        <v>-8.3333333333333329E-2</v>
      </c>
      <c r="AF236" s="108">
        <f t="shared" si="119"/>
        <v>2010.5833333333333</v>
      </c>
      <c r="AG236" s="108">
        <f t="shared" si="120"/>
        <v>2016.5</v>
      </c>
      <c r="AH236" s="108">
        <f t="shared" si="121"/>
        <v>-8.3333333333333329E-2</v>
      </c>
    </row>
    <row r="237" spans="1:34" x14ac:dyDescent="0.25">
      <c r="A237">
        <v>144</v>
      </c>
      <c r="B237" t="s">
        <v>621</v>
      </c>
      <c r="C237">
        <v>2012</v>
      </c>
      <c r="D237">
        <v>12</v>
      </c>
      <c r="E237" s="75"/>
      <c r="F237" s="34" t="s">
        <v>436</v>
      </c>
      <c r="G237">
        <v>7</v>
      </c>
      <c r="H237">
        <f t="shared" si="102"/>
        <v>2019</v>
      </c>
      <c r="K237" s="32">
        <v>33551</v>
      </c>
      <c r="L237" s="32"/>
      <c r="M237" s="32">
        <f t="shared" si="103"/>
        <v>33551</v>
      </c>
      <c r="N237" s="107">
        <f t="shared" si="104"/>
        <v>399.41666666666669</v>
      </c>
      <c r="O237" s="107">
        <f t="shared" si="105"/>
        <v>4793</v>
      </c>
      <c r="P237" s="107">
        <f t="shared" si="106"/>
        <v>0</v>
      </c>
      <c r="Q237" s="107">
        <f t="shared" si="107"/>
        <v>4793</v>
      </c>
      <c r="R237" s="105">
        <v>1</v>
      </c>
      <c r="S237" s="107">
        <f t="shared" si="108"/>
        <v>4793</v>
      </c>
      <c r="T237" s="105"/>
      <c r="U237" s="107">
        <f t="shared" si="109"/>
        <v>17174.916666666304</v>
      </c>
      <c r="V237" s="107">
        <f t="shared" si="110"/>
        <v>17174.916666666304</v>
      </c>
      <c r="W237" s="105">
        <v>1</v>
      </c>
      <c r="X237" s="107">
        <f t="shared" si="111"/>
        <v>17174.916666666304</v>
      </c>
      <c r="Y237" s="107">
        <f t="shared" si="112"/>
        <v>21967.916666666304</v>
      </c>
      <c r="Z237" s="107">
        <f t="shared" si="113"/>
        <v>13979.583333333696</v>
      </c>
      <c r="AA237" s="107">
        <f t="shared" si="114"/>
        <v>2012.9166666666667</v>
      </c>
      <c r="AB237" s="107">
        <f t="shared" si="115"/>
        <v>2017.5</v>
      </c>
      <c r="AC237" s="107">
        <f t="shared" si="116"/>
        <v>2019.9166666666667</v>
      </c>
      <c r="AD237" s="108">
        <f t="shared" si="117"/>
        <v>2016.5</v>
      </c>
      <c r="AE237" s="108">
        <f t="shared" si="118"/>
        <v>-8.3333333333333329E-2</v>
      </c>
      <c r="AF237" s="108">
        <f t="shared" si="119"/>
        <v>2019.9166666666667</v>
      </c>
      <c r="AG237" s="108">
        <f t="shared" si="120"/>
        <v>2016.5</v>
      </c>
      <c r="AH237" s="108">
        <f t="shared" si="121"/>
        <v>-8.3333333333333329E-2</v>
      </c>
    </row>
    <row r="238" spans="1:34" x14ac:dyDescent="0.25">
      <c r="A238">
        <v>145</v>
      </c>
      <c r="B238" t="s">
        <v>622</v>
      </c>
      <c r="C238">
        <v>2012</v>
      </c>
      <c r="D238">
        <v>10</v>
      </c>
      <c r="E238" s="75"/>
      <c r="F238" s="34" t="s">
        <v>436</v>
      </c>
      <c r="G238">
        <v>7</v>
      </c>
      <c r="H238">
        <f t="shared" si="102"/>
        <v>2019</v>
      </c>
      <c r="K238" s="32">
        <v>38645</v>
      </c>
      <c r="L238" s="32"/>
      <c r="M238" s="32">
        <f t="shared" si="103"/>
        <v>38645</v>
      </c>
      <c r="N238" s="107">
        <f t="shared" si="104"/>
        <v>460.0595238095238</v>
      </c>
      <c r="O238" s="107">
        <f t="shared" si="105"/>
        <v>5520.7142857142853</v>
      </c>
      <c r="P238" s="107">
        <f t="shared" si="106"/>
        <v>0</v>
      </c>
      <c r="Q238" s="107">
        <f t="shared" si="107"/>
        <v>5520.7142857142853</v>
      </c>
      <c r="R238" s="105">
        <v>1</v>
      </c>
      <c r="S238" s="107">
        <f t="shared" si="108"/>
        <v>5520.7142857142853</v>
      </c>
      <c r="T238" s="105"/>
      <c r="U238" s="107">
        <f t="shared" si="109"/>
        <v>20702.678571428572</v>
      </c>
      <c r="V238" s="107">
        <f t="shared" si="110"/>
        <v>20702.678571428572</v>
      </c>
      <c r="W238" s="105">
        <v>1</v>
      </c>
      <c r="X238" s="107">
        <f t="shared" si="111"/>
        <v>20702.678571428572</v>
      </c>
      <c r="Y238" s="107">
        <f t="shared" si="112"/>
        <v>26223.392857142859</v>
      </c>
      <c r="Z238" s="107">
        <f t="shared" si="113"/>
        <v>15181.964285714284</v>
      </c>
      <c r="AA238" s="107">
        <f t="shared" si="114"/>
        <v>2012.75</v>
      </c>
      <c r="AB238" s="107">
        <f t="shared" si="115"/>
        <v>2017.5</v>
      </c>
      <c r="AC238" s="107">
        <f t="shared" si="116"/>
        <v>2019.75</v>
      </c>
      <c r="AD238" s="108">
        <f t="shared" si="117"/>
        <v>2016.5</v>
      </c>
      <c r="AE238" s="108">
        <f t="shared" si="118"/>
        <v>-8.3333333333333329E-2</v>
      </c>
      <c r="AF238" s="108">
        <f t="shared" si="119"/>
        <v>2019.75</v>
      </c>
      <c r="AG238" s="108">
        <f t="shared" si="120"/>
        <v>2016.5</v>
      </c>
      <c r="AH238" s="108">
        <f t="shared" si="121"/>
        <v>-8.3333333333333329E-2</v>
      </c>
    </row>
    <row r="239" spans="1:34" x14ac:dyDescent="0.25">
      <c r="A239">
        <v>102</v>
      </c>
      <c r="B239" t="s">
        <v>623</v>
      </c>
      <c r="C239">
        <v>1973</v>
      </c>
      <c r="D239">
        <v>2</v>
      </c>
      <c r="E239" s="75"/>
      <c r="F239" s="34" t="s">
        <v>436</v>
      </c>
      <c r="G239">
        <v>5</v>
      </c>
      <c r="H239">
        <f t="shared" si="102"/>
        <v>1978</v>
      </c>
      <c r="K239" s="32">
        <v>2373</v>
      </c>
      <c r="L239" s="32"/>
      <c r="M239" s="32">
        <f t="shared" si="103"/>
        <v>2373</v>
      </c>
      <c r="N239" s="107">
        <f t="shared" si="104"/>
        <v>39.550000000000004</v>
      </c>
      <c r="O239" s="107">
        <f t="shared" si="105"/>
        <v>0</v>
      </c>
      <c r="P239" s="107">
        <f t="shared" si="106"/>
        <v>0</v>
      </c>
      <c r="Q239" s="107">
        <f t="shared" si="107"/>
        <v>0</v>
      </c>
      <c r="R239" s="105">
        <v>1</v>
      </c>
      <c r="S239" s="107">
        <f t="shared" si="108"/>
        <v>0</v>
      </c>
      <c r="T239" s="105"/>
      <c r="U239" s="107">
        <f t="shared" si="109"/>
        <v>2373</v>
      </c>
      <c r="V239" s="107">
        <f t="shared" si="110"/>
        <v>2373</v>
      </c>
      <c r="W239" s="105">
        <v>1</v>
      </c>
      <c r="X239" s="107">
        <f t="shared" si="111"/>
        <v>2373</v>
      </c>
      <c r="Y239" s="107">
        <f t="shared" si="112"/>
        <v>2373</v>
      </c>
      <c r="Z239" s="107">
        <f t="shared" si="113"/>
        <v>0</v>
      </c>
      <c r="AA239" s="107">
        <f t="shared" si="114"/>
        <v>1973.0833333333333</v>
      </c>
      <c r="AB239" s="107">
        <f t="shared" si="115"/>
        <v>2017.5</v>
      </c>
      <c r="AC239" s="107">
        <f t="shared" si="116"/>
        <v>1978.0833333333333</v>
      </c>
      <c r="AD239" s="108">
        <f t="shared" si="117"/>
        <v>2016.5</v>
      </c>
      <c r="AE239" s="108">
        <f t="shared" si="118"/>
        <v>-8.3333333333333329E-2</v>
      </c>
      <c r="AF239" s="108">
        <f t="shared" si="119"/>
        <v>1978.0833333333333</v>
      </c>
      <c r="AG239" s="108">
        <f t="shared" si="120"/>
        <v>2016.5</v>
      </c>
      <c r="AH239" s="108">
        <f t="shared" si="121"/>
        <v>-8.3333333333333329E-2</v>
      </c>
    </row>
    <row r="240" spans="1:34" x14ac:dyDescent="0.25">
      <c r="A240">
        <v>103</v>
      </c>
      <c r="B240" t="s">
        <v>617</v>
      </c>
      <c r="C240">
        <v>2009</v>
      </c>
      <c r="D240">
        <v>1</v>
      </c>
      <c r="E240" s="75"/>
      <c r="F240" s="34" t="s">
        <v>436</v>
      </c>
      <c r="G240">
        <v>7</v>
      </c>
      <c r="H240">
        <f t="shared" si="102"/>
        <v>2016</v>
      </c>
      <c r="K240" s="32">
        <v>30000</v>
      </c>
      <c r="L240" s="32"/>
      <c r="M240" s="32">
        <f t="shared" si="103"/>
        <v>30000</v>
      </c>
      <c r="N240" s="107">
        <f t="shared" si="104"/>
        <v>357.14285714285711</v>
      </c>
      <c r="O240" s="107">
        <f t="shared" si="105"/>
        <v>0</v>
      </c>
      <c r="P240" s="107">
        <f t="shared" si="106"/>
        <v>0</v>
      </c>
      <c r="Q240" s="107">
        <f t="shared" si="107"/>
        <v>0</v>
      </c>
      <c r="R240" s="105">
        <v>1</v>
      </c>
      <c r="S240" s="107">
        <f t="shared" si="108"/>
        <v>0</v>
      </c>
      <c r="T240" s="105"/>
      <c r="U240" s="107">
        <f t="shared" si="109"/>
        <v>30000</v>
      </c>
      <c r="V240" s="107">
        <f t="shared" si="110"/>
        <v>30000</v>
      </c>
      <c r="W240" s="105">
        <v>1</v>
      </c>
      <c r="X240" s="107">
        <f t="shared" si="111"/>
        <v>30000</v>
      </c>
      <c r="Y240" s="107">
        <f t="shared" si="112"/>
        <v>30000</v>
      </c>
      <c r="Z240" s="107">
        <f t="shared" si="113"/>
        <v>0</v>
      </c>
      <c r="AA240" s="107">
        <f t="shared" si="114"/>
        <v>2009</v>
      </c>
      <c r="AB240" s="107">
        <f t="shared" si="115"/>
        <v>2017.5</v>
      </c>
      <c r="AC240" s="107">
        <f t="shared" si="116"/>
        <v>2016</v>
      </c>
      <c r="AD240" s="108">
        <f t="shared" si="117"/>
        <v>2016.5</v>
      </c>
      <c r="AE240" s="108">
        <f t="shared" si="118"/>
        <v>-8.3333333333333329E-2</v>
      </c>
      <c r="AF240" s="108">
        <f t="shared" si="119"/>
        <v>2016</v>
      </c>
      <c r="AG240" s="108">
        <f t="shared" si="120"/>
        <v>2016.5</v>
      </c>
      <c r="AH240" s="108">
        <f t="shared" si="121"/>
        <v>-8.3333333333333329E-2</v>
      </c>
    </row>
    <row r="241" spans="1:34" x14ac:dyDescent="0.25">
      <c r="A241">
        <v>115</v>
      </c>
      <c r="B241" t="s">
        <v>624</v>
      </c>
      <c r="C241">
        <v>2010</v>
      </c>
      <c r="D241">
        <v>1</v>
      </c>
      <c r="E241" s="75"/>
      <c r="F241" s="34" t="s">
        <v>436</v>
      </c>
      <c r="G241">
        <v>5</v>
      </c>
      <c r="H241">
        <f t="shared" si="102"/>
        <v>2015</v>
      </c>
      <c r="K241" s="32">
        <v>4332</v>
      </c>
      <c r="L241" s="32"/>
      <c r="M241" s="32">
        <f t="shared" si="103"/>
        <v>4332</v>
      </c>
      <c r="N241" s="107">
        <f t="shared" si="104"/>
        <v>72.2</v>
      </c>
      <c r="O241" s="107">
        <f t="shared" si="105"/>
        <v>0</v>
      </c>
      <c r="P241" s="107">
        <f t="shared" si="106"/>
        <v>0</v>
      </c>
      <c r="Q241" s="107">
        <f t="shared" si="107"/>
        <v>0</v>
      </c>
      <c r="R241" s="105">
        <v>1</v>
      </c>
      <c r="S241" s="107">
        <f t="shared" si="108"/>
        <v>0</v>
      </c>
      <c r="T241" s="105"/>
      <c r="U241" s="107">
        <f t="shared" si="109"/>
        <v>4332</v>
      </c>
      <c r="V241" s="107">
        <f t="shared" si="110"/>
        <v>4332</v>
      </c>
      <c r="W241" s="105">
        <v>1</v>
      </c>
      <c r="X241" s="107">
        <f t="shared" si="111"/>
        <v>4332</v>
      </c>
      <c r="Y241" s="107">
        <f t="shared" si="112"/>
        <v>4332</v>
      </c>
      <c r="Z241" s="107">
        <f t="shared" si="113"/>
        <v>0</v>
      </c>
      <c r="AA241" s="107">
        <f t="shared" si="114"/>
        <v>2010</v>
      </c>
      <c r="AB241" s="107">
        <f t="shared" si="115"/>
        <v>2017.5</v>
      </c>
      <c r="AC241" s="107">
        <f t="shared" si="116"/>
        <v>2015</v>
      </c>
      <c r="AD241" s="108">
        <f t="shared" si="117"/>
        <v>2016.5</v>
      </c>
      <c r="AE241" s="108">
        <f t="shared" si="118"/>
        <v>-8.3333333333333329E-2</v>
      </c>
      <c r="AF241" s="108">
        <f t="shared" si="119"/>
        <v>2015</v>
      </c>
      <c r="AG241" s="108">
        <f t="shared" si="120"/>
        <v>2016.5</v>
      </c>
      <c r="AH241" s="108">
        <f t="shared" si="121"/>
        <v>-8.3333333333333329E-2</v>
      </c>
    </row>
    <row r="242" spans="1:34" x14ac:dyDescent="0.25">
      <c r="A242">
        <v>116</v>
      </c>
      <c r="B242" t="s">
        <v>625</v>
      </c>
      <c r="C242">
        <v>2010</v>
      </c>
      <c r="D242">
        <v>7</v>
      </c>
      <c r="E242" s="75"/>
      <c r="F242" s="34" t="s">
        <v>436</v>
      </c>
      <c r="G242">
        <v>5</v>
      </c>
      <c r="H242">
        <f t="shared" si="102"/>
        <v>2015</v>
      </c>
      <c r="K242" s="32">
        <v>60879</v>
      </c>
      <c r="L242" s="32"/>
      <c r="M242" s="32">
        <f t="shared" si="103"/>
        <v>60879</v>
      </c>
      <c r="N242" s="107">
        <f t="shared" si="104"/>
        <v>1014.65</v>
      </c>
      <c r="O242" s="107">
        <f t="shared" si="105"/>
        <v>0</v>
      </c>
      <c r="P242" s="107">
        <f t="shared" si="106"/>
        <v>0</v>
      </c>
      <c r="Q242" s="107">
        <f t="shared" si="107"/>
        <v>0</v>
      </c>
      <c r="R242" s="105">
        <v>1</v>
      </c>
      <c r="S242" s="107">
        <f t="shared" si="108"/>
        <v>0</v>
      </c>
      <c r="T242" s="105"/>
      <c r="U242" s="107">
        <f t="shared" si="109"/>
        <v>60879</v>
      </c>
      <c r="V242" s="107">
        <f t="shared" si="110"/>
        <v>60879</v>
      </c>
      <c r="W242" s="105">
        <v>1</v>
      </c>
      <c r="X242" s="107">
        <f t="shared" si="111"/>
        <v>60879</v>
      </c>
      <c r="Y242" s="107">
        <f t="shared" si="112"/>
        <v>60879</v>
      </c>
      <c r="Z242" s="107">
        <f t="shared" si="113"/>
        <v>0</v>
      </c>
      <c r="AA242" s="107">
        <f t="shared" si="114"/>
        <v>2010.5</v>
      </c>
      <c r="AB242" s="107">
        <f t="shared" si="115"/>
        <v>2017.5</v>
      </c>
      <c r="AC242" s="107">
        <f t="shared" si="116"/>
        <v>2015.5</v>
      </c>
      <c r="AD242" s="108">
        <f t="shared" si="117"/>
        <v>2016.5</v>
      </c>
      <c r="AE242" s="108">
        <f t="shared" si="118"/>
        <v>-8.3333333333333329E-2</v>
      </c>
      <c r="AF242" s="108">
        <f t="shared" si="119"/>
        <v>2015.5</v>
      </c>
      <c r="AG242" s="108">
        <f t="shared" si="120"/>
        <v>2016.5</v>
      </c>
      <c r="AH242" s="108">
        <f t="shared" si="121"/>
        <v>-8.3333333333333329E-2</v>
      </c>
    </row>
    <row r="243" spans="1:34" x14ac:dyDescent="0.25">
      <c r="A243">
        <v>182</v>
      </c>
      <c r="B243" t="s">
        <v>626</v>
      </c>
      <c r="C243">
        <v>2013</v>
      </c>
      <c r="D243">
        <v>4</v>
      </c>
      <c r="E243" s="75"/>
      <c r="F243" s="34" t="s">
        <v>436</v>
      </c>
      <c r="G243">
        <v>10</v>
      </c>
      <c r="H243">
        <f t="shared" si="102"/>
        <v>2023</v>
      </c>
      <c r="K243" s="32">
        <v>3500</v>
      </c>
      <c r="L243" s="32"/>
      <c r="M243" s="32">
        <f t="shared" si="103"/>
        <v>3500</v>
      </c>
      <c r="N243" s="107">
        <f t="shared" si="104"/>
        <v>29.166666666666668</v>
      </c>
      <c r="O243" s="107">
        <f t="shared" si="105"/>
        <v>350</v>
      </c>
      <c r="P243" s="107">
        <f t="shared" si="106"/>
        <v>0</v>
      </c>
      <c r="Q243" s="107">
        <f t="shared" si="107"/>
        <v>350</v>
      </c>
      <c r="R243" s="105">
        <v>1</v>
      </c>
      <c r="S243" s="107">
        <f t="shared" si="108"/>
        <v>350</v>
      </c>
      <c r="T243" s="105"/>
      <c r="U243" s="107">
        <f t="shared" si="109"/>
        <v>1137.5</v>
      </c>
      <c r="V243" s="107">
        <f t="shared" si="110"/>
        <v>1137.5</v>
      </c>
      <c r="W243" s="105">
        <v>1</v>
      </c>
      <c r="X243" s="107">
        <f t="shared" si="111"/>
        <v>1137.5</v>
      </c>
      <c r="Y243" s="107">
        <f t="shared" si="112"/>
        <v>1487.5</v>
      </c>
      <c r="Z243" s="107">
        <f t="shared" si="113"/>
        <v>2187.5</v>
      </c>
      <c r="AA243" s="107">
        <f t="shared" si="114"/>
        <v>2013.25</v>
      </c>
      <c r="AB243" s="107">
        <f t="shared" si="115"/>
        <v>2017.5</v>
      </c>
      <c r="AC243" s="107">
        <f t="shared" si="116"/>
        <v>2023.25</v>
      </c>
      <c r="AD243" s="108">
        <f t="shared" si="117"/>
        <v>2016.5</v>
      </c>
      <c r="AE243" s="108">
        <f t="shared" si="118"/>
        <v>-8.3333333333333329E-2</v>
      </c>
      <c r="AF243" s="108">
        <f t="shared" si="119"/>
        <v>2023.25</v>
      </c>
      <c r="AG243" s="108">
        <f t="shared" si="120"/>
        <v>2016.5</v>
      </c>
      <c r="AH243" s="108">
        <f t="shared" si="121"/>
        <v>-8.3333333333333329E-2</v>
      </c>
    </row>
    <row r="244" spans="1:34" x14ac:dyDescent="0.25">
      <c r="A244">
        <v>176</v>
      </c>
      <c r="B244" t="s">
        <v>627</v>
      </c>
      <c r="C244">
        <v>2013</v>
      </c>
      <c r="D244">
        <v>7</v>
      </c>
      <c r="E244" s="75"/>
      <c r="F244" s="34" t="s">
        <v>436</v>
      </c>
      <c r="G244">
        <v>7</v>
      </c>
      <c r="H244">
        <f t="shared" si="102"/>
        <v>2020</v>
      </c>
      <c r="K244" s="32">
        <v>72413.42</v>
      </c>
      <c r="L244" s="32"/>
      <c r="M244" s="32">
        <f t="shared" si="103"/>
        <v>72413.42</v>
      </c>
      <c r="N244" s="107">
        <f t="shared" si="104"/>
        <v>862.06452380952385</v>
      </c>
      <c r="O244" s="107">
        <f t="shared" si="105"/>
        <v>10344.774285714286</v>
      </c>
      <c r="P244" s="107">
        <f t="shared" si="106"/>
        <v>0</v>
      </c>
      <c r="Q244" s="107">
        <f t="shared" si="107"/>
        <v>10344.774285714286</v>
      </c>
      <c r="R244" s="105">
        <v>1</v>
      </c>
      <c r="S244" s="107">
        <f t="shared" si="108"/>
        <v>10344.774285714286</v>
      </c>
      <c r="T244" s="105"/>
      <c r="U244" s="107">
        <f t="shared" si="109"/>
        <v>31034.322857142859</v>
      </c>
      <c r="V244" s="107">
        <f t="shared" si="110"/>
        <v>31034.322857142859</v>
      </c>
      <c r="W244" s="105">
        <v>1</v>
      </c>
      <c r="X244" s="107">
        <f t="shared" si="111"/>
        <v>31034.322857142859</v>
      </c>
      <c r="Y244" s="107">
        <f t="shared" si="112"/>
        <v>41379.097142857143</v>
      </c>
      <c r="Z244" s="107">
        <f t="shared" si="113"/>
        <v>36206.709999999992</v>
      </c>
      <c r="AA244" s="107">
        <f t="shared" si="114"/>
        <v>2013.5</v>
      </c>
      <c r="AB244" s="107">
        <f t="shared" si="115"/>
        <v>2017.5</v>
      </c>
      <c r="AC244" s="107">
        <f t="shared" si="116"/>
        <v>2020.5</v>
      </c>
      <c r="AD244" s="108">
        <f t="shared" si="117"/>
        <v>2016.5</v>
      </c>
      <c r="AE244" s="108">
        <f t="shared" si="118"/>
        <v>-8.3333333333333329E-2</v>
      </c>
      <c r="AF244" s="108">
        <f t="shared" si="119"/>
        <v>2020.5</v>
      </c>
      <c r="AG244" s="108">
        <f t="shared" si="120"/>
        <v>2016.5</v>
      </c>
      <c r="AH244" s="108">
        <f t="shared" si="121"/>
        <v>-8.3333333333333329E-2</v>
      </c>
    </row>
    <row r="245" spans="1:34" x14ac:dyDescent="0.25">
      <c r="A245">
        <v>205</v>
      </c>
      <c r="B245" t="s">
        <v>628</v>
      </c>
      <c r="C245">
        <v>2014</v>
      </c>
      <c r="D245">
        <v>1</v>
      </c>
      <c r="E245" s="75"/>
      <c r="F245" s="34" t="s">
        <v>436</v>
      </c>
      <c r="G245">
        <v>7</v>
      </c>
      <c r="H245">
        <f t="shared" si="102"/>
        <v>2021</v>
      </c>
      <c r="K245" s="110">
        <v>92650.45</v>
      </c>
      <c r="L245" s="110"/>
      <c r="M245" s="110">
        <f t="shared" si="103"/>
        <v>92650.45</v>
      </c>
      <c r="N245" s="111">
        <f t="shared" si="104"/>
        <v>1102.9815476190477</v>
      </c>
      <c r="O245" s="111">
        <f t="shared" si="105"/>
        <v>13235.778571428571</v>
      </c>
      <c r="P245" s="111">
        <f t="shared" si="106"/>
        <v>0</v>
      </c>
      <c r="Q245" s="111">
        <f t="shared" si="107"/>
        <v>13235.778571428571</v>
      </c>
      <c r="R245" s="112">
        <v>1</v>
      </c>
      <c r="S245" s="111">
        <f t="shared" si="108"/>
        <v>13235.778571428571</v>
      </c>
      <c r="T245" s="112"/>
      <c r="U245" s="111">
        <f t="shared" si="109"/>
        <v>33089.446428571428</v>
      </c>
      <c r="V245" s="111">
        <f t="shared" si="110"/>
        <v>33089.446428571428</v>
      </c>
      <c r="W245" s="112">
        <v>1</v>
      </c>
      <c r="X245" s="111">
        <f t="shared" si="111"/>
        <v>33089.446428571428</v>
      </c>
      <c r="Y245" s="111">
        <f t="shared" si="112"/>
        <v>46325.224999999999</v>
      </c>
      <c r="Z245" s="111">
        <f t="shared" si="113"/>
        <v>52943.114285714284</v>
      </c>
      <c r="AA245" s="107">
        <f t="shared" si="114"/>
        <v>2014</v>
      </c>
      <c r="AB245" s="107">
        <f t="shared" si="115"/>
        <v>2017.5</v>
      </c>
      <c r="AC245" s="107">
        <f t="shared" si="116"/>
        <v>2021</v>
      </c>
      <c r="AD245" s="108">
        <f t="shared" si="117"/>
        <v>2016.5</v>
      </c>
      <c r="AE245" s="108">
        <f t="shared" si="118"/>
        <v>-8.3333333333333329E-2</v>
      </c>
      <c r="AF245" s="108">
        <f t="shared" si="119"/>
        <v>2021</v>
      </c>
      <c r="AG245" s="108">
        <f t="shared" si="120"/>
        <v>2016.5</v>
      </c>
      <c r="AH245" s="108">
        <f t="shared" si="121"/>
        <v>-8.3333333333333329E-2</v>
      </c>
    </row>
    <row r="246" spans="1:34" x14ac:dyDescent="0.25">
      <c r="A246">
        <v>229</v>
      </c>
      <c r="B246" t="s">
        <v>629</v>
      </c>
      <c r="C246">
        <v>2015</v>
      </c>
      <c r="D246">
        <v>7</v>
      </c>
      <c r="E246" s="75"/>
      <c r="F246" s="34" t="s">
        <v>436</v>
      </c>
      <c r="G246">
        <v>7</v>
      </c>
      <c r="H246">
        <f t="shared" si="102"/>
        <v>2022</v>
      </c>
      <c r="K246" s="114">
        <v>46723</v>
      </c>
      <c r="L246" s="114"/>
      <c r="M246" s="114">
        <f t="shared" si="103"/>
        <v>46723</v>
      </c>
      <c r="N246" s="115">
        <f t="shared" si="104"/>
        <v>556.22619047619048</v>
      </c>
      <c r="O246" s="115">
        <f t="shared" si="105"/>
        <v>6674.7142857142862</v>
      </c>
      <c r="P246" s="115">
        <f t="shared" si="106"/>
        <v>0</v>
      </c>
      <c r="Q246" s="115">
        <f t="shared" si="107"/>
        <v>6674.7142857142862</v>
      </c>
      <c r="R246" s="116">
        <v>1</v>
      </c>
      <c r="S246" s="115">
        <f t="shared" si="108"/>
        <v>6674.7142857142862</v>
      </c>
      <c r="T246" s="116"/>
      <c r="U246" s="115">
        <f t="shared" si="109"/>
        <v>6674.7142857142862</v>
      </c>
      <c r="V246" s="115">
        <f t="shared" si="110"/>
        <v>6674.7142857142862</v>
      </c>
      <c r="W246" s="116">
        <v>1</v>
      </c>
      <c r="X246" s="115">
        <f t="shared" si="111"/>
        <v>6674.7142857142862</v>
      </c>
      <c r="Y246" s="115">
        <f t="shared" si="112"/>
        <v>13349.428571428572</v>
      </c>
      <c r="Z246" s="115">
        <f t="shared" si="113"/>
        <v>36710.928571428565</v>
      </c>
      <c r="AA246" s="107">
        <f t="shared" si="114"/>
        <v>2015.5</v>
      </c>
      <c r="AB246" s="107">
        <f t="shared" si="115"/>
        <v>2017.5</v>
      </c>
      <c r="AC246" s="107">
        <f t="shared" si="116"/>
        <v>2022.5</v>
      </c>
      <c r="AD246" s="108">
        <f t="shared" si="117"/>
        <v>2016.5</v>
      </c>
      <c r="AE246" s="108">
        <f t="shared" si="118"/>
        <v>-8.3333333333333329E-2</v>
      </c>
      <c r="AF246" s="108">
        <f t="shared" si="119"/>
        <v>2022.5</v>
      </c>
      <c r="AG246" s="108">
        <f t="shared" si="120"/>
        <v>2016.5</v>
      </c>
      <c r="AH246" s="108">
        <f t="shared" si="121"/>
        <v>-8.3333333333333329E-2</v>
      </c>
    </row>
    <row r="247" spans="1:34" x14ac:dyDescent="0.25">
      <c r="K247" s="32">
        <f>SUM(K233:K246)</f>
        <v>459066.87</v>
      </c>
      <c r="L247" s="32">
        <f t="shared" ref="L247:Z247" si="122">SUM(L233:L246)</f>
        <v>0</v>
      </c>
      <c r="M247" s="32">
        <f t="shared" si="122"/>
        <v>459066.87</v>
      </c>
      <c r="N247" s="32">
        <f t="shared" si="122"/>
        <v>5841.0770238095238</v>
      </c>
      <c r="O247" s="32">
        <f t="shared" si="122"/>
        <v>40918.981428571424</v>
      </c>
      <c r="P247" s="32">
        <f t="shared" si="122"/>
        <v>0</v>
      </c>
      <c r="Q247" s="32">
        <f t="shared" si="122"/>
        <v>40918.981428571424</v>
      </c>
      <c r="R247" s="32">
        <f t="shared" si="122"/>
        <v>14</v>
      </c>
      <c r="S247" s="32">
        <f t="shared" si="122"/>
        <v>40918.981428571424</v>
      </c>
      <c r="T247" s="32">
        <f t="shared" si="122"/>
        <v>0</v>
      </c>
      <c r="U247" s="32">
        <f t="shared" si="122"/>
        <v>281397.57880952343</v>
      </c>
      <c r="V247" s="32">
        <f t="shared" si="122"/>
        <v>281397.57880952343</v>
      </c>
      <c r="W247" s="32">
        <f t="shared" si="122"/>
        <v>14</v>
      </c>
      <c r="X247" s="32">
        <f t="shared" si="122"/>
        <v>281397.57880952343</v>
      </c>
      <c r="Y247" s="32">
        <f t="shared" si="122"/>
        <v>322316.56023809488</v>
      </c>
      <c r="Z247" s="32">
        <f t="shared" si="122"/>
        <v>157209.80047619081</v>
      </c>
      <c r="AA247" s="107"/>
      <c r="AB247" s="107"/>
      <c r="AC247" s="107"/>
      <c r="AD247" s="108"/>
      <c r="AE247" s="108"/>
      <c r="AF247" s="108"/>
      <c r="AG247" s="108"/>
      <c r="AH247" s="108"/>
    </row>
    <row r="248" spans="1:34" x14ac:dyDescent="0.25">
      <c r="N248" s="107"/>
      <c r="O248" s="107"/>
      <c r="P248" s="107"/>
      <c r="Q248" s="107"/>
      <c r="R248" s="105"/>
      <c r="S248" s="107"/>
      <c r="T248" s="105"/>
      <c r="U248" s="107"/>
      <c r="V248" s="107"/>
      <c r="W248" s="105"/>
      <c r="X248" s="107"/>
      <c r="Y248" s="107"/>
      <c r="Z248" s="107"/>
      <c r="AA248" s="107"/>
      <c r="AB248" s="107"/>
      <c r="AC248" s="107"/>
      <c r="AD248" s="108"/>
      <c r="AE248" s="108"/>
      <c r="AF248" s="108"/>
      <c r="AG248" s="108"/>
      <c r="AH248" s="108"/>
    </row>
    <row r="249" spans="1:34" x14ac:dyDescent="0.25">
      <c r="N249" s="107"/>
      <c r="O249" s="107"/>
      <c r="P249" s="107"/>
      <c r="Q249" s="107"/>
      <c r="R249" s="105"/>
      <c r="S249" s="107"/>
      <c r="T249" s="105"/>
      <c r="U249" s="107"/>
      <c r="V249" s="107"/>
      <c r="W249" s="105"/>
      <c r="X249" s="107"/>
      <c r="Y249" s="107"/>
      <c r="Z249" s="107"/>
      <c r="AA249" s="107"/>
      <c r="AB249" s="107"/>
      <c r="AC249" s="107"/>
      <c r="AD249" s="108"/>
      <c r="AE249" s="108"/>
      <c r="AF249" s="108"/>
      <c r="AG249" s="108"/>
      <c r="AH249" s="108"/>
    </row>
    <row r="250" spans="1:34" x14ac:dyDescent="0.25">
      <c r="A250">
        <v>139</v>
      </c>
      <c r="B250" t="s">
        <v>630</v>
      </c>
      <c r="C250">
        <v>2011</v>
      </c>
      <c r="D250">
        <v>4</v>
      </c>
      <c r="E250" s="75"/>
      <c r="F250" s="34" t="s">
        <v>436</v>
      </c>
      <c r="G250">
        <v>15</v>
      </c>
      <c r="H250">
        <f>+C250+G250</f>
        <v>2026</v>
      </c>
      <c r="K250" s="32">
        <v>4982</v>
      </c>
      <c r="L250" s="32"/>
      <c r="M250" s="32">
        <f>+K250-K250*E250</f>
        <v>4982</v>
      </c>
      <c r="N250" s="107">
        <f>M250/G250/12</f>
        <v>27.677777777777777</v>
      </c>
      <c r="O250" s="107">
        <f>IF(L250&gt;0,0,IF((OR((AA250&gt;AB250),(AC250&lt;AD250))),0,IF((AND((AC250&gt;=AD250),(AC250&lt;=AB250))),N250*((AC250-AD250)*12),IF((AND((AD250&lt;=AA250),(AB250&gt;=AA250))),((AB250-AA250)*12)*N250,IF(AC250&gt;AB250,12*N250,0)))))</f>
        <v>332.13333333333333</v>
      </c>
      <c r="P250" s="107">
        <f>IF(L250=0,0,IF((AND((AE250&gt;=AD250),(AE250&lt;=AC250))),((AE250-AD250)*12)*N250,0))</f>
        <v>0</v>
      </c>
      <c r="Q250" s="107">
        <f>IF(P250&gt;0,P250,O250)</f>
        <v>332.13333333333333</v>
      </c>
      <c r="R250" s="105">
        <v>1</v>
      </c>
      <c r="S250" s="107">
        <f>R250*SUM(O250:P250)</f>
        <v>332.13333333333333</v>
      </c>
      <c r="T250" s="105"/>
      <c r="U250" s="107">
        <f>IF(AA250&gt;AB250,0,IF(AC250&lt;AD250,M250,IF((AND((AC250&gt;=AD250),(AC250&lt;=AB250))),(M250-Q250),IF((AND((AD250&lt;=AA250),(AB250&gt;=AA250))),0,IF(AC250&gt;AB250,((AD250-AA250)*12)*N250,0)))))</f>
        <v>1743.7</v>
      </c>
      <c r="V250" s="107">
        <f>U250*R250</f>
        <v>1743.7</v>
      </c>
      <c r="W250" s="105">
        <v>1</v>
      </c>
      <c r="X250" s="107">
        <f>V250*W250</f>
        <v>1743.7</v>
      </c>
      <c r="Y250" s="107">
        <f>IF(L250&gt;0,0,X250+S250*W250)*W250</f>
        <v>2075.8333333333335</v>
      </c>
      <c r="Z250" s="107">
        <f>IF(L250&gt;0,(K250-X250)/2,IF(AA250&gt;=AD250,(((K250*R250)*W250)-Y250)/2,((((K250*R250)*W250)-X250)+(((K250*R250)*W250)-Y250))/2))</f>
        <v>3072.2333333333336</v>
      </c>
      <c r="AA250" s="107">
        <f>$C250+(($D250-1)/12)</f>
        <v>2011.25</v>
      </c>
      <c r="AB250" s="107">
        <f>($M$5+1)-($M$2/12)</f>
        <v>2017.5</v>
      </c>
      <c r="AC250" s="107">
        <f>$H250+(($D250-1)/12)</f>
        <v>2026.25</v>
      </c>
      <c r="AD250" s="108">
        <f>$M$4+($M$3/12)</f>
        <v>2016.5</v>
      </c>
      <c r="AE250" s="108">
        <f>$I250+(($J250-1)/12)</f>
        <v>-8.3333333333333329E-2</v>
      </c>
      <c r="AF250" s="108">
        <f>$H250+(($D250-1)/12)</f>
        <v>2026.25</v>
      </c>
      <c r="AG250" s="108">
        <f>$M$4+($M$3/12)</f>
        <v>2016.5</v>
      </c>
      <c r="AH250" s="108">
        <f>$I250+(($J250-1)/12)</f>
        <v>-8.3333333333333329E-2</v>
      </c>
    </row>
    <row r="251" spans="1:34" x14ac:dyDescent="0.25">
      <c r="A251">
        <v>140</v>
      </c>
      <c r="B251" t="s">
        <v>630</v>
      </c>
      <c r="C251">
        <v>2011</v>
      </c>
      <c r="D251">
        <v>7</v>
      </c>
      <c r="E251" s="75"/>
      <c r="F251" s="34" t="s">
        <v>436</v>
      </c>
      <c r="G251">
        <v>15</v>
      </c>
      <c r="H251">
        <f>+C251+G251</f>
        <v>2026</v>
      </c>
      <c r="K251" s="32">
        <v>251</v>
      </c>
      <c r="L251" s="32"/>
      <c r="M251" s="32">
        <f>+K251-K251*E251</f>
        <v>251</v>
      </c>
      <c r="N251" s="107">
        <f>M251/G251/12</f>
        <v>1.3944444444444446</v>
      </c>
      <c r="O251" s="107">
        <f>IF(L251&gt;0,0,IF((OR((AA251&gt;AB251),(AC251&lt;AD251))),0,IF((AND((AC251&gt;=AD251),(AC251&lt;=AB251))),N251*((AC251-AD251)*12),IF((AND((AD251&lt;=AA251),(AB251&gt;=AA251))),((AB251-AA251)*12)*N251,IF(AC251&gt;AB251,12*N251,0)))))</f>
        <v>16.733333333333334</v>
      </c>
      <c r="P251" s="107">
        <f>IF(L251=0,0,IF((AND((AE251&gt;=AD251),(AE251&lt;=AC251))),((AE251-AD251)*12)*N251,0))</f>
        <v>0</v>
      </c>
      <c r="Q251" s="107">
        <f>IF(P251&gt;0,P251,O251)</f>
        <v>16.733333333333334</v>
      </c>
      <c r="R251" s="105">
        <v>1</v>
      </c>
      <c r="S251" s="107">
        <f>R251*SUM(O251:P251)</f>
        <v>16.733333333333334</v>
      </c>
      <c r="T251" s="105"/>
      <c r="U251" s="107">
        <f>IF(AA251&gt;AB251,0,IF(AC251&lt;AD251,M251,IF((AND((AC251&gt;=AD251),(AC251&lt;=AB251))),(M251-Q251),IF((AND((AD251&lt;=AA251),(AB251&gt;=AA251))),0,IF(AC251&gt;AB251,((AD251-AA251)*12)*N251,0)))))</f>
        <v>83.666666666666671</v>
      </c>
      <c r="V251" s="107">
        <f>U251*R251</f>
        <v>83.666666666666671</v>
      </c>
      <c r="W251" s="105">
        <v>1</v>
      </c>
      <c r="X251" s="107">
        <f>V251*W251</f>
        <v>83.666666666666671</v>
      </c>
      <c r="Y251" s="107">
        <f>IF(L251&gt;0,0,X251+S251*W251)*W251</f>
        <v>100.4</v>
      </c>
      <c r="Z251" s="107">
        <f>IF(L251&gt;0,(K251-X251)/2,IF(AA251&gt;=AD251,(((K251*R251)*W251)-Y251)/2,((((K251*R251)*W251)-X251)+(((K251*R251)*W251)-Y251))/2))</f>
        <v>158.96666666666664</v>
      </c>
      <c r="AA251" s="107">
        <f>$C251+(($D251-1)/12)</f>
        <v>2011.5</v>
      </c>
      <c r="AB251" s="107">
        <f>($M$5+1)-($M$2/12)</f>
        <v>2017.5</v>
      </c>
      <c r="AC251" s="107">
        <f>$H251+(($D251-1)/12)</f>
        <v>2026.5</v>
      </c>
      <c r="AD251" s="108">
        <f>$M$4+($M$3/12)</f>
        <v>2016.5</v>
      </c>
      <c r="AE251" s="108">
        <f>$I251+(($J251-1)/12)</f>
        <v>-8.3333333333333329E-2</v>
      </c>
      <c r="AF251" s="108">
        <f>$H251+(($D251-1)/12)</f>
        <v>2026.5</v>
      </c>
      <c r="AG251" s="108">
        <f>$M$4+($M$3/12)</f>
        <v>2016.5</v>
      </c>
      <c r="AH251" s="108">
        <f>$I251+(($J251-1)/12)</f>
        <v>-8.3333333333333329E-2</v>
      </c>
    </row>
    <row r="252" spans="1:34" x14ac:dyDescent="0.25">
      <c r="A252">
        <v>141</v>
      </c>
      <c r="B252" t="s">
        <v>631</v>
      </c>
      <c r="C252">
        <v>2011</v>
      </c>
      <c r="D252">
        <v>4</v>
      </c>
      <c r="E252" s="75"/>
      <c r="F252" s="34" t="s">
        <v>436</v>
      </c>
      <c r="G252">
        <v>15</v>
      </c>
      <c r="H252">
        <f>+C252+G252</f>
        <v>2026</v>
      </c>
      <c r="K252" s="32">
        <v>2000</v>
      </c>
      <c r="L252" s="32"/>
      <c r="M252" s="32">
        <f>+K252-K252*E252</f>
        <v>2000</v>
      </c>
      <c r="N252" s="107">
        <f>M252/G252/12</f>
        <v>11.111111111111112</v>
      </c>
      <c r="O252" s="107">
        <f>IF(L252&gt;0,0,IF((OR((AA252&gt;AB252),(AC252&lt;AD252))),0,IF((AND((AC252&gt;=AD252),(AC252&lt;=AB252))),N252*((AC252-AD252)*12),IF((AND((AD252&lt;=AA252),(AB252&gt;=AA252))),((AB252-AA252)*12)*N252,IF(AC252&gt;AB252,12*N252,0)))))</f>
        <v>133.33333333333334</v>
      </c>
      <c r="P252" s="107">
        <f>IF(L252=0,0,IF((AND((AE252&gt;=AD252),(AE252&lt;=AC252))),((AE252-AD252)*12)*N252,0))</f>
        <v>0</v>
      </c>
      <c r="Q252" s="107">
        <f>IF(P252&gt;0,P252,O252)</f>
        <v>133.33333333333334</v>
      </c>
      <c r="R252" s="105">
        <v>1</v>
      </c>
      <c r="S252" s="107">
        <f>R252*SUM(O252:P252)</f>
        <v>133.33333333333334</v>
      </c>
      <c r="T252" s="105"/>
      <c r="U252" s="107">
        <f>IF(AA252&gt;AB252,0,IF(AC252&lt;AD252,M252,IF((AND((AC252&gt;=AD252),(AC252&lt;=AB252))),(M252-Q252),IF((AND((AD252&lt;=AA252),(AB252&gt;=AA252))),0,IF(AC252&gt;AB252,((AD252-AA252)*12)*N252,0)))))</f>
        <v>700.00000000000011</v>
      </c>
      <c r="V252" s="107">
        <f>U252*R252</f>
        <v>700.00000000000011</v>
      </c>
      <c r="W252" s="105">
        <v>1</v>
      </c>
      <c r="X252" s="107">
        <f>V252*W252</f>
        <v>700.00000000000011</v>
      </c>
      <c r="Y252" s="107">
        <f>IF(L252&gt;0,0,X252+S252*W252)*W252</f>
        <v>833.33333333333348</v>
      </c>
      <c r="Z252" s="107">
        <f>IF(L252&gt;0,(K252-X252)/2,IF(AA252&gt;=AD252,(((K252*R252)*W252)-Y252)/2,((((K252*R252)*W252)-X252)+(((K252*R252)*W252)-Y252))/2))</f>
        <v>1233.3333333333333</v>
      </c>
      <c r="AA252" s="107">
        <f>$C252+(($D252-1)/12)</f>
        <v>2011.25</v>
      </c>
      <c r="AB252" s="107">
        <f>($M$5+1)-($M$2/12)</f>
        <v>2017.5</v>
      </c>
      <c r="AC252" s="107">
        <f>$H252+(($D252-1)/12)</f>
        <v>2026.25</v>
      </c>
      <c r="AD252" s="108">
        <f>$M$4+($M$3/12)</f>
        <v>2016.5</v>
      </c>
      <c r="AE252" s="108">
        <f>$I252+(($J252-1)/12)</f>
        <v>-8.3333333333333329E-2</v>
      </c>
      <c r="AF252" s="108">
        <f>$H252+(($D252-1)/12)</f>
        <v>2026.25</v>
      </c>
      <c r="AG252" s="108">
        <f>$M$4+($M$3/12)</f>
        <v>2016.5</v>
      </c>
      <c r="AH252" s="108">
        <f>$I252+(($J252-1)/12)</f>
        <v>-8.3333333333333329E-2</v>
      </c>
    </row>
    <row r="253" spans="1:34" x14ac:dyDescent="0.25">
      <c r="A253">
        <v>169</v>
      </c>
      <c r="B253" t="s">
        <v>632</v>
      </c>
      <c r="C253">
        <v>2012</v>
      </c>
      <c r="D253">
        <v>8</v>
      </c>
      <c r="E253" s="75"/>
      <c r="F253" s="34" t="s">
        <v>436</v>
      </c>
      <c r="G253">
        <v>14</v>
      </c>
      <c r="H253">
        <f>+C253+G253</f>
        <v>2026</v>
      </c>
      <c r="K253" s="32">
        <v>10000</v>
      </c>
      <c r="L253" s="32"/>
      <c r="M253" s="32">
        <f>+K253-K253*E253</f>
        <v>10000</v>
      </c>
      <c r="N253" s="107">
        <f>M253/G253/12</f>
        <v>59.523809523809526</v>
      </c>
      <c r="O253" s="107">
        <f>IF(L253&gt;0,0,IF((OR((AA253&gt;AB253),(AC253&lt;AD253))),0,IF((AND((AC253&gt;=AD253),(AC253&lt;=AB253))),N253*((AC253-AD253)*12),IF((AND((AD253&lt;=AA253),(AB253&gt;=AA253))),((AB253-AA253)*12)*N253,IF(AC253&gt;AB253,12*N253,0)))))</f>
        <v>714.28571428571433</v>
      </c>
      <c r="P253" s="107">
        <f>IF(L253=0,0,IF((AND((AE253&gt;=AD253),(AE253&lt;=AC253))),((AE253-AD253)*12)*N253,0))</f>
        <v>0</v>
      </c>
      <c r="Q253" s="107">
        <f>IF(P253&gt;0,P253,O253)</f>
        <v>714.28571428571433</v>
      </c>
      <c r="R253" s="105">
        <v>1</v>
      </c>
      <c r="S253" s="107">
        <f>R253*SUM(O253:P253)</f>
        <v>714.28571428571433</v>
      </c>
      <c r="T253" s="105"/>
      <c r="U253" s="107">
        <f>IF(AA253&gt;AB253,0,IF(AC253&lt;AD253,M253,IF((AND((AC253&gt;=AD253),(AC253&lt;=AB253))),(M253-Q253),IF((AND((AD253&lt;=AA253),(AB253&gt;=AA253))),0,IF(AC253&gt;AB253,((AD253-AA253)*12)*N253,0)))))</f>
        <v>2797.6190476191018</v>
      </c>
      <c r="V253" s="107">
        <f>U253*R253</f>
        <v>2797.6190476191018</v>
      </c>
      <c r="W253" s="105">
        <v>1</v>
      </c>
      <c r="X253" s="107">
        <f>V253*W253</f>
        <v>2797.6190476191018</v>
      </c>
      <c r="Y253" s="107">
        <f>IF(L253&gt;0,0,X253+S253*W253)*W253</f>
        <v>3511.904761904816</v>
      </c>
      <c r="Z253" s="107">
        <f>IF(L253&gt;0,(K253-X253)/2,IF(AA253&gt;=AD253,(((K253*R253)*W253)-Y253)/2,((((K253*R253)*W253)-X253)+(((K253*R253)*W253)-Y253))/2))</f>
        <v>6845.2380952380408</v>
      </c>
      <c r="AA253" s="107">
        <f>$C253+(($D253-1)/12)</f>
        <v>2012.5833333333333</v>
      </c>
      <c r="AB253" s="107">
        <f>($M$5+1)-($M$2/12)</f>
        <v>2017.5</v>
      </c>
      <c r="AC253" s="107">
        <f>$H253+(($D253-1)/12)</f>
        <v>2026.5833333333333</v>
      </c>
      <c r="AD253" s="108">
        <f>$M$4+($M$3/12)</f>
        <v>2016.5</v>
      </c>
      <c r="AE253" s="108">
        <f>$I253+(($J253-1)/12)</f>
        <v>-8.3333333333333329E-2</v>
      </c>
      <c r="AF253" s="108">
        <f>$H253+(($D253-1)/12)</f>
        <v>2026.5833333333333</v>
      </c>
      <c r="AG253" s="108">
        <f>$M$4+($M$3/12)</f>
        <v>2016.5</v>
      </c>
      <c r="AH253" s="108">
        <f>$I253+(($J253-1)/12)</f>
        <v>-8.3333333333333329E-2</v>
      </c>
    </row>
    <row r="254" spans="1:34" x14ac:dyDescent="0.25">
      <c r="A254">
        <v>165</v>
      </c>
      <c r="B254" t="s">
        <v>633</v>
      </c>
      <c r="C254">
        <v>2012</v>
      </c>
      <c r="D254">
        <v>10</v>
      </c>
      <c r="E254" s="75"/>
      <c r="F254" s="34" t="s">
        <v>436</v>
      </c>
      <c r="G254">
        <v>14</v>
      </c>
      <c r="H254">
        <f>+C254+G254</f>
        <v>2026</v>
      </c>
      <c r="K254" s="110">
        <v>1303</v>
      </c>
      <c r="L254" s="110"/>
      <c r="M254" s="110">
        <f>+K254-K254*E254</f>
        <v>1303</v>
      </c>
      <c r="N254" s="111">
        <f>M254/G254/12</f>
        <v>7.7559523809523805</v>
      </c>
      <c r="O254" s="111">
        <f>IF(L254&gt;0,0,IF((OR((AA254&gt;AB254),(AC254&lt;AD254))),0,IF((AND((AC254&gt;=AD254),(AC254&lt;=AB254))),N254*((AC254-AD254)*12),IF((AND((AD254&lt;=AA254),(AB254&gt;=AA254))),((AB254-AA254)*12)*N254,IF(AC254&gt;AB254,12*N254,0)))))</f>
        <v>93.071428571428569</v>
      </c>
      <c r="P254" s="111">
        <f>IF(L254=0,0,IF((AND((AE254&gt;=AD254),(AE254&lt;=AC254))),((AE254-AD254)*12)*N254,0))</f>
        <v>0</v>
      </c>
      <c r="Q254" s="111">
        <f>IF(P254&gt;0,P254,O254)</f>
        <v>93.071428571428569</v>
      </c>
      <c r="R254" s="112">
        <v>1</v>
      </c>
      <c r="S254" s="111">
        <f>R254*SUM(O254:P254)</f>
        <v>93.071428571428569</v>
      </c>
      <c r="T254" s="112"/>
      <c r="U254" s="111">
        <f>IF(AA254&gt;AB254,0,IF(AC254&lt;AD254,M254,IF((AND((AC254&gt;=AD254),(AC254&lt;=AB254))),(M254-Q254),IF((AND((AD254&lt;=AA254),(AB254&gt;=AA254))),0,IF(AC254&gt;AB254,((AD254-AA254)*12)*N254,0)))))</f>
        <v>349.01785714285711</v>
      </c>
      <c r="V254" s="111">
        <f>U254*R254</f>
        <v>349.01785714285711</v>
      </c>
      <c r="W254" s="112">
        <v>1</v>
      </c>
      <c r="X254" s="111">
        <f>V254*W254</f>
        <v>349.01785714285711</v>
      </c>
      <c r="Y254" s="111">
        <f>IF(L254&gt;0,0,X254+S254*W254)*W254</f>
        <v>442.08928571428567</v>
      </c>
      <c r="Z254" s="111">
        <f>IF(L254&gt;0,(K254-X254)/2,IF(AA254&gt;=AD254,(((K254*R254)*W254)-Y254)/2,((((K254*R254)*W254)-X254)+(((K254*R254)*W254)-Y254))/2))</f>
        <v>907.44642857142867</v>
      </c>
      <c r="AA254" s="111">
        <f>$C254+(($D254-1)/12)</f>
        <v>2012.75</v>
      </c>
      <c r="AB254" s="111">
        <f>($M$5+1)-($M$2/12)</f>
        <v>2017.5</v>
      </c>
      <c r="AC254" s="111">
        <f>$H254+(($D254-1)/12)</f>
        <v>2026.75</v>
      </c>
      <c r="AD254" s="113">
        <f>$M$4+($M$3/12)</f>
        <v>2016.5</v>
      </c>
      <c r="AE254" s="113">
        <f>$I254+(($J254-1)/12)</f>
        <v>-8.3333333333333329E-2</v>
      </c>
      <c r="AF254" s="113">
        <f>$H254+(($D254-1)/12)</f>
        <v>2026.75</v>
      </c>
      <c r="AG254" s="113">
        <f>$M$4+($M$3/12)</f>
        <v>2016.5</v>
      </c>
      <c r="AH254" s="113">
        <f>$I254+(($J254-1)/12)</f>
        <v>-8.3333333333333329E-2</v>
      </c>
    </row>
    <row r="255" spans="1:34" x14ac:dyDescent="0.25">
      <c r="A255">
        <v>234</v>
      </c>
      <c r="B255" t="s">
        <v>634</v>
      </c>
      <c r="C255">
        <v>2015</v>
      </c>
      <c r="D255">
        <v>4</v>
      </c>
      <c r="E255" s="75"/>
      <c r="F255" s="34" t="s">
        <v>436</v>
      </c>
      <c r="G255">
        <v>10</v>
      </c>
      <c r="H255">
        <f t="shared" ref="H255:H260" si="123">+C255+G255</f>
        <v>2025</v>
      </c>
      <c r="K255" s="110">
        <v>6179</v>
      </c>
      <c r="L255" s="110"/>
      <c r="M255" s="110">
        <f t="shared" ref="M255:M260" si="124">+K255-K255*E255</f>
        <v>6179</v>
      </c>
      <c r="N255" s="111">
        <f t="shared" ref="N255:N260" si="125">M255/G255/12</f>
        <v>51.491666666666667</v>
      </c>
      <c r="O255" s="111">
        <f t="shared" ref="O255:O260" si="126">IF(L255&gt;0,0,IF((OR((AA255&gt;AB255),(AC255&lt;AD255))),0,IF((AND((AC255&gt;=AD255),(AC255&lt;=AB255))),N255*((AC255-AD255)*12),IF((AND((AD255&lt;=AA255),(AB255&gt;=AA255))),((AB255-AA255)*12)*N255,IF(AC255&gt;AB255,12*N255,0)))))</f>
        <v>617.9</v>
      </c>
      <c r="P255" s="111">
        <f t="shared" ref="P255:P260" si="127">IF(L255=0,0,IF((AND((AE255&gt;=AD255),(AE255&lt;=AC255))),((AE255-AD255)*12)*N255,0))</f>
        <v>0</v>
      </c>
      <c r="Q255" s="111">
        <f t="shared" ref="Q255:Q260" si="128">IF(P255&gt;0,P255,O255)</f>
        <v>617.9</v>
      </c>
      <c r="R255" s="112">
        <v>1</v>
      </c>
      <c r="S255" s="111">
        <f t="shared" ref="S255:S260" si="129">R255*SUM(O255:P255)</f>
        <v>617.9</v>
      </c>
      <c r="T255" s="112"/>
      <c r="U255" s="111">
        <f t="shared" ref="U255:U260" si="130">IF(AA255&gt;AB255,0,IF(AC255&lt;AD255,M255,IF((AND((AC255&gt;=AD255),(AC255&lt;=AB255))),(M255-Q255),IF((AND((AD255&lt;=AA255),(AB255&gt;=AA255))),0,IF(AC255&gt;AB255,((AD255-AA255)*12)*N255,0)))))</f>
        <v>772.375</v>
      </c>
      <c r="V255" s="111">
        <f t="shared" ref="V255:V260" si="131">U255*R255</f>
        <v>772.375</v>
      </c>
      <c r="W255" s="112">
        <v>1</v>
      </c>
      <c r="X255" s="111">
        <f t="shared" ref="X255:X260" si="132">V255*W255</f>
        <v>772.375</v>
      </c>
      <c r="Y255" s="111">
        <f t="shared" ref="Y255:Y260" si="133">IF(L255&gt;0,0,X255+S255*W255)*W255</f>
        <v>1390.2750000000001</v>
      </c>
      <c r="Z255" s="111">
        <f t="shared" ref="Z255:Z260" si="134">IF(L255&gt;0,(K255-X255)/2,IF(AA255&gt;=AD255,(((K255*R255)*W255)-Y255)/2,((((K255*R255)*W255)-X255)+(((K255*R255)*W255)-Y255))/2))</f>
        <v>5097.6750000000002</v>
      </c>
      <c r="AA255" s="111">
        <f t="shared" ref="AA255:AA260" si="135">$C255+(($D255-1)/12)</f>
        <v>2015.25</v>
      </c>
      <c r="AB255" s="111">
        <f t="shared" ref="AB255:AB260" si="136">($M$5+1)-($M$2/12)</f>
        <v>2017.5</v>
      </c>
      <c r="AC255" s="111">
        <f t="shared" ref="AC255:AC260" si="137">$H255+(($D255-1)/12)</f>
        <v>2025.25</v>
      </c>
      <c r="AD255" s="113">
        <f t="shared" ref="AD255:AD260" si="138">$M$4+($M$3/12)</f>
        <v>2016.5</v>
      </c>
      <c r="AE255" s="113">
        <f t="shared" ref="AE255:AE260" si="139">$I255+(($J255-1)/12)</f>
        <v>-8.3333333333333329E-2</v>
      </c>
      <c r="AF255" s="113">
        <f t="shared" ref="AF255:AF260" si="140">$H255+(($D255-1)/12)</f>
        <v>2025.25</v>
      </c>
      <c r="AG255" s="113">
        <f t="shared" ref="AG255:AG260" si="141">$M$4+($M$3/12)</f>
        <v>2016.5</v>
      </c>
      <c r="AH255" s="113">
        <f t="shared" ref="AH255:AH260" si="142">$I255+(($J255-1)/12)</f>
        <v>-8.3333333333333329E-2</v>
      </c>
    </row>
    <row r="256" spans="1:34" x14ac:dyDescent="0.25">
      <c r="A256">
        <v>245</v>
      </c>
      <c r="B256" t="s">
        <v>634</v>
      </c>
      <c r="C256">
        <v>2016</v>
      </c>
      <c r="D256">
        <v>4</v>
      </c>
      <c r="E256" s="75"/>
      <c r="F256" s="34" t="s">
        <v>436</v>
      </c>
      <c r="G256">
        <v>10</v>
      </c>
      <c r="H256">
        <f t="shared" si="123"/>
        <v>2026</v>
      </c>
      <c r="K256" s="110">
        <v>11010</v>
      </c>
      <c r="L256" s="110"/>
      <c r="M256" s="110">
        <f t="shared" si="124"/>
        <v>11010</v>
      </c>
      <c r="N256" s="111">
        <f t="shared" si="125"/>
        <v>91.75</v>
      </c>
      <c r="O256" s="111">
        <f t="shared" si="126"/>
        <v>1101</v>
      </c>
      <c r="P256" s="111">
        <f t="shared" si="127"/>
        <v>0</v>
      </c>
      <c r="Q256" s="111">
        <f t="shared" si="128"/>
        <v>1101</v>
      </c>
      <c r="R256" s="112">
        <v>1</v>
      </c>
      <c r="S256" s="111">
        <f t="shared" si="129"/>
        <v>1101</v>
      </c>
      <c r="T256" s="112"/>
      <c r="U256" s="111">
        <f t="shared" si="130"/>
        <v>275.25</v>
      </c>
      <c r="V256" s="111">
        <f t="shared" si="131"/>
        <v>275.25</v>
      </c>
      <c r="W256" s="112">
        <v>1</v>
      </c>
      <c r="X256" s="111">
        <f t="shared" si="132"/>
        <v>275.25</v>
      </c>
      <c r="Y256" s="111">
        <f t="shared" si="133"/>
        <v>1376.25</v>
      </c>
      <c r="Z256" s="111">
        <f t="shared" si="134"/>
        <v>10184.25</v>
      </c>
      <c r="AA256" s="111">
        <f t="shared" si="135"/>
        <v>2016.25</v>
      </c>
      <c r="AB256" s="111">
        <f t="shared" si="136"/>
        <v>2017.5</v>
      </c>
      <c r="AC256" s="111">
        <f t="shared" si="137"/>
        <v>2026.25</v>
      </c>
      <c r="AD256" s="113">
        <f t="shared" si="138"/>
        <v>2016.5</v>
      </c>
      <c r="AE256" s="113">
        <f t="shared" si="139"/>
        <v>-8.3333333333333329E-2</v>
      </c>
      <c r="AF256" s="113">
        <f t="shared" si="140"/>
        <v>2026.25</v>
      </c>
      <c r="AG256" s="113">
        <f t="shared" si="141"/>
        <v>2016.5</v>
      </c>
      <c r="AH256" s="113">
        <f t="shared" si="142"/>
        <v>-8.3333333333333329E-2</v>
      </c>
    </row>
    <row r="257" spans="1:34" ht="15.75" x14ac:dyDescent="0.25">
      <c r="A257">
        <v>249</v>
      </c>
      <c r="B257" s="117" t="s">
        <v>635</v>
      </c>
      <c r="C257">
        <v>2016</v>
      </c>
      <c r="D257">
        <v>4</v>
      </c>
      <c r="E257" s="75"/>
      <c r="F257" s="34" t="s">
        <v>436</v>
      </c>
      <c r="G257">
        <v>5</v>
      </c>
      <c r="H257">
        <f t="shared" si="123"/>
        <v>2021</v>
      </c>
      <c r="K257" s="110">
        <v>29978</v>
      </c>
      <c r="L257" s="110"/>
      <c r="M257" s="110">
        <f t="shared" si="124"/>
        <v>29978</v>
      </c>
      <c r="N257" s="111">
        <f t="shared" si="125"/>
        <v>499.63333333333338</v>
      </c>
      <c r="O257" s="111">
        <f t="shared" si="126"/>
        <v>5995.6</v>
      </c>
      <c r="P257" s="111">
        <f t="shared" si="127"/>
        <v>0</v>
      </c>
      <c r="Q257" s="111">
        <f t="shared" si="128"/>
        <v>5995.6</v>
      </c>
      <c r="R257" s="112">
        <v>1</v>
      </c>
      <c r="S257" s="111">
        <f t="shared" si="129"/>
        <v>5995.6</v>
      </c>
      <c r="T257" s="112"/>
      <c r="U257" s="111">
        <f t="shared" si="130"/>
        <v>1498.9</v>
      </c>
      <c r="V257" s="111">
        <f t="shared" si="131"/>
        <v>1498.9</v>
      </c>
      <c r="W257" s="112">
        <v>1</v>
      </c>
      <c r="X257" s="111">
        <f t="shared" si="132"/>
        <v>1498.9</v>
      </c>
      <c r="Y257" s="111">
        <f t="shared" si="133"/>
        <v>7494.5</v>
      </c>
      <c r="Z257" s="111">
        <f t="shared" si="134"/>
        <v>25481.3</v>
      </c>
      <c r="AA257" s="111">
        <f t="shared" si="135"/>
        <v>2016.25</v>
      </c>
      <c r="AB257" s="111">
        <f t="shared" si="136"/>
        <v>2017.5</v>
      </c>
      <c r="AC257" s="111">
        <f t="shared" si="137"/>
        <v>2021.25</v>
      </c>
      <c r="AD257" s="113">
        <f t="shared" si="138"/>
        <v>2016.5</v>
      </c>
      <c r="AE257" s="113">
        <f t="shared" si="139"/>
        <v>-8.3333333333333329E-2</v>
      </c>
      <c r="AF257" s="113">
        <f t="shared" si="140"/>
        <v>2021.25</v>
      </c>
      <c r="AG257" s="113">
        <f t="shared" si="141"/>
        <v>2016.5</v>
      </c>
      <c r="AH257" s="113">
        <f t="shared" si="142"/>
        <v>-8.3333333333333329E-2</v>
      </c>
    </row>
    <row r="258" spans="1:34" ht="15.75" x14ac:dyDescent="0.25">
      <c r="A258">
        <v>248</v>
      </c>
      <c r="B258" s="117" t="s">
        <v>636</v>
      </c>
      <c r="C258">
        <v>2016</v>
      </c>
      <c r="D258">
        <v>5</v>
      </c>
      <c r="E258" s="75"/>
      <c r="F258" s="34" t="s">
        <v>436</v>
      </c>
      <c r="G258">
        <v>8</v>
      </c>
      <c r="H258">
        <f t="shared" si="123"/>
        <v>2024</v>
      </c>
      <c r="K258" s="110">
        <v>129406</v>
      </c>
      <c r="L258" s="110"/>
      <c r="M258" s="110">
        <f t="shared" si="124"/>
        <v>129406</v>
      </c>
      <c r="N258" s="111">
        <f t="shared" si="125"/>
        <v>1347.9791666666667</v>
      </c>
      <c r="O258" s="111">
        <f t="shared" si="126"/>
        <v>16175.75</v>
      </c>
      <c r="P258" s="111">
        <f t="shared" si="127"/>
        <v>0</v>
      </c>
      <c r="Q258" s="111">
        <f t="shared" si="128"/>
        <v>16175.75</v>
      </c>
      <c r="R258" s="112">
        <v>1</v>
      </c>
      <c r="S258" s="111">
        <f t="shared" si="129"/>
        <v>16175.75</v>
      </c>
      <c r="T258" s="112"/>
      <c r="U258" s="111">
        <f t="shared" si="130"/>
        <v>2695.9583333345595</v>
      </c>
      <c r="V258" s="111">
        <f t="shared" si="131"/>
        <v>2695.9583333345595</v>
      </c>
      <c r="W258" s="112">
        <v>1</v>
      </c>
      <c r="X258" s="111">
        <f t="shared" si="132"/>
        <v>2695.9583333345595</v>
      </c>
      <c r="Y258" s="111">
        <f t="shared" si="133"/>
        <v>18871.708333334558</v>
      </c>
      <c r="Z258" s="111">
        <f t="shared" si="134"/>
        <v>118622.16666666543</v>
      </c>
      <c r="AA258" s="111">
        <f t="shared" si="135"/>
        <v>2016.3333333333333</v>
      </c>
      <c r="AB258" s="111">
        <f t="shared" si="136"/>
        <v>2017.5</v>
      </c>
      <c r="AC258" s="111">
        <f t="shared" si="137"/>
        <v>2024.3333333333333</v>
      </c>
      <c r="AD258" s="113">
        <f t="shared" si="138"/>
        <v>2016.5</v>
      </c>
      <c r="AE258" s="113">
        <f t="shared" si="139"/>
        <v>-8.3333333333333329E-2</v>
      </c>
      <c r="AF258" s="113">
        <f t="shared" si="140"/>
        <v>2024.3333333333333</v>
      </c>
      <c r="AG258" s="113">
        <f t="shared" si="141"/>
        <v>2016.5</v>
      </c>
      <c r="AH258" s="113">
        <f t="shared" si="142"/>
        <v>-8.3333333333333329E-2</v>
      </c>
    </row>
    <row r="259" spans="1:34" x14ac:dyDescent="0.25">
      <c r="A259">
        <v>250</v>
      </c>
      <c r="B259" t="s">
        <v>634</v>
      </c>
      <c r="C259">
        <v>2016</v>
      </c>
      <c r="D259">
        <v>6</v>
      </c>
      <c r="E259" s="75"/>
      <c r="F259" s="34" t="s">
        <v>436</v>
      </c>
      <c r="G259">
        <v>10</v>
      </c>
      <c r="H259">
        <f t="shared" si="123"/>
        <v>2026</v>
      </c>
      <c r="K259" s="110">
        <v>9207</v>
      </c>
      <c r="L259" s="110"/>
      <c r="M259" s="110">
        <f t="shared" si="124"/>
        <v>9207</v>
      </c>
      <c r="N259" s="111">
        <f t="shared" si="125"/>
        <v>76.725000000000009</v>
      </c>
      <c r="O259" s="111">
        <f t="shared" si="126"/>
        <v>920.7</v>
      </c>
      <c r="P259" s="111">
        <f t="shared" si="127"/>
        <v>0</v>
      </c>
      <c r="Q259" s="111">
        <f t="shared" si="128"/>
        <v>920.7</v>
      </c>
      <c r="R259" s="112">
        <v>1</v>
      </c>
      <c r="S259" s="111">
        <f t="shared" si="129"/>
        <v>920.7</v>
      </c>
      <c r="T259" s="112"/>
      <c r="U259" s="111">
        <f t="shared" si="130"/>
        <v>76.724999999930233</v>
      </c>
      <c r="V259" s="111">
        <f t="shared" si="131"/>
        <v>76.724999999930233</v>
      </c>
      <c r="W259" s="112">
        <v>1</v>
      </c>
      <c r="X259" s="111">
        <f t="shared" si="132"/>
        <v>76.724999999930233</v>
      </c>
      <c r="Y259" s="111">
        <f t="shared" si="133"/>
        <v>997.42499999993026</v>
      </c>
      <c r="Z259" s="111">
        <f t="shared" si="134"/>
        <v>8669.9250000000702</v>
      </c>
      <c r="AA259" s="111">
        <f t="shared" si="135"/>
        <v>2016.4166666666667</v>
      </c>
      <c r="AB259" s="111">
        <f t="shared" si="136"/>
        <v>2017.5</v>
      </c>
      <c r="AC259" s="111">
        <f t="shared" si="137"/>
        <v>2026.4166666666667</v>
      </c>
      <c r="AD259" s="113">
        <f t="shared" si="138"/>
        <v>2016.5</v>
      </c>
      <c r="AE259" s="113">
        <f t="shared" si="139"/>
        <v>-8.3333333333333329E-2</v>
      </c>
      <c r="AF259" s="113">
        <f t="shared" si="140"/>
        <v>2026.4166666666667</v>
      </c>
      <c r="AG259" s="113">
        <f t="shared" si="141"/>
        <v>2016.5</v>
      </c>
      <c r="AH259" s="113">
        <f t="shared" si="142"/>
        <v>-8.3333333333333329E-2</v>
      </c>
    </row>
    <row r="260" spans="1:34" ht="15.75" x14ac:dyDescent="0.25">
      <c r="A260">
        <v>241</v>
      </c>
      <c r="B260" s="117" t="s">
        <v>635</v>
      </c>
      <c r="C260">
        <v>2016</v>
      </c>
      <c r="D260">
        <v>10</v>
      </c>
      <c r="E260" s="75"/>
      <c r="F260" s="34" t="s">
        <v>436</v>
      </c>
      <c r="G260">
        <v>5</v>
      </c>
      <c r="H260">
        <f t="shared" si="123"/>
        <v>2021</v>
      </c>
      <c r="K260" s="114">
        <v>28158</v>
      </c>
      <c r="L260" s="114"/>
      <c r="M260" s="114">
        <f t="shared" si="124"/>
        <v>28158</v>
      </c>
      <c r="N260" s="115">
        <f t="shared" si="125"/>
        <v>469.3</v>
      </c>
      <c r="O260" s="115">
        <f t="shared" si="126"/>
        <v>4223.7</v>
      </c>
      <c r="P260" s="115">
        <f t="shared" si="127"/>
        <v>0</v>
      </c>
      <c r="Q260" s="115">
        <f t="shared" si="128"/>
        <v>4223.7</v>
      </c>
      <c r="R260" s="116">
        <v>1</v>
      </c>
      <c r="S260" s="115">
        <f t="shared" si="129"/>
        <v>4223.7</v>
      </c>
      <c r="T260" s="116"/>
      <c r="U260" s="115">
        <f t="shared" si="130"/>
        <v>0</v>
      </c>
      <c r="V260" s="115">
        <f t="shared" si="131"/>
        <v>0</v>
      </c>
      <c r="W260" s="116">
        <v>1</v>
      </c>
      <c r="X260" s="115">
        <f t="shared" si="132"/>
        <v>0</v>
      </c>
      <c r="Y260" s="115">
        <f t="shared" si="133"/>
        <v>4223.7</v>
      </c>
      <c r="Z260" s="115">
        <f t="shared" si="134"/>
        <v>11967.15</v>
      </c>
      <c r="AA260" s="111">
        <f t="shared" si="135"/>
        <v>2016.75</v>
      </c>
      <c r="AB260" s="111">
        <f t="shared" si="136"/>
        <v>2017.5</v>
      </c>
      <c r="AC260" s="111">
        <f t="shared" si="137"/>
        <v>2021.75</v>
      </c>
      <c r="AD260" s="113">
        <f t="shared" si="138"/>
        <v>2016.5</v>
      </c>
      <c r="AE260" s="113">
        <f t="shared" si="139"/>
        <v>-8.3333333333333329E-2</v>
      </c>
      <c r="AF260" s="113">
        <f t="shared" si="140"/>
        <v>2021.75</v>
      </c>
      <c r="AG260" s="113">
        <f t="shared" si="141"/>
        <v>2016.5</v>
      </c>
      <c r="AH260" s="113">
        <f t="shared" si="142"/>
        <v>-8.3333333333333329E-2</v>
      </c>
    </row>
    <row r="261" spans="1:34" x14ac:dyDescent="0.25">
      <c r="K261" s="32">
        <f>SUM(K250:K260)</f>
        <v>232474</v>
      </c>
      <c r="L261" s="32">
        <f t="shared" ref="L261:Z261" si="143">SUM(L250:L260)</f>
        <v>0</v>
      </c>
      <c r="M261" s="32">
        <f t="shared" si="143"/>
        <v>232474</v>
      </c>
      <c r="N261" s="32">
        <f t="shared" si="143"/>
        <v>2644.3422619047619</v>
      </c>
      <c r="O261" s="32">
        <f t="shared" si="143"/>
        <v>30324.207142857143</v>
      </c>
      <c r="P261" s="32">
        <f t="shared" si="143"/>
        <v>0</v>
      </c>
      <c r="Q261" s="32">
        <f t="shared" si="143"/>
        <v>30324.207142857143</v>
      </c>
      <c r="R261" s="32">
        <f t="shared" si="143"/>
        <v>11</v>
      </c>
      <c r="S261" s="32">
        <f t="shared" si="143"/>
        <v>30324.207142857143</v>
      </c>
      <c r="T261" s="32">
        <f t="shared" si="143"/>
        <v>0</v>
      </c>
      <c r="U261" s="32">
        <f t="shared" si="143"/>
        <v>10993.211904763115</v>
      </c>
      <c r="V261" s="32">
        <f t="shared" si="143"/>
        <v>10993.211904763115</v>
      </c>
      <c r="W261" s="32">
        <f t="shared" si="143"/>
        <v>11</v>
      </c>
      <c r="X261" s="32">
        <f t="shared" si="143"/>
        <v>10993.211904763115</v>
      </c>
      <c r="Y261" s="32">
        <f t="shared" si="143"/>
        <v>41317.419047620257</v>
      </c>
      <c r="Z261" s="32">
        <f t="shared" si="143"/>
        <v>192239.6845238083</v>
      </c>
      <c r="AA261" s="107"/>
      <c r="AB261" s="107"/>
      <c r="AC261" s="107"/>
      <c r="AD261" s="108"/>
      <c r="AE261" s="108"/>
      <c r="AF261" s="108"/>
      <c r="AG261" s="108"/>
      <c r="AH261" s="108"/>
    </row>
    <row r="262" spans="1:34" x14ac:dyDescent="0.25">
      <c r="N262" s="107"/>
      <c r="O262" s="107"/>
      <c r="P262" s="107"/>
      <c r="Q262" s="107"/>
      <c r="R262" s="105"/>
      <c r="S262" s="107"/>
      <c r="T262" s="105"/>
      <c r="U262" s="107"/>
      <c r="V262" s="107"/>
      <c r="W262" s="105"/>
      <c r="X262" s="107"/>
      <c r="Y262" s="107"/>
      <c r="Z262" s="107"/>
      <c r="AA262" s="107"/>
      <c r="AB262" s="107"/>
      <c r="AC262" s="107"/>
      <c r="AD262" s="108"/>
      <c r="AE262" s="108"/>
      <c r="AF262" s="108"/>
      <c r="AG262" s="108"/>
      <c r="AH262" s="108"/>
    </row>
    <row r="263" spans="1:34" x14ac:dyDescent="0.25">
      <c r="A263">
        <v>117</v>
      </c>
      <c r="B263" t="s">
        <v>637</v>
      </c>
      <c r="C263">
        <v>1989</v>
      </c>
      <c r="D263">
        <v>10</v>
      </c>
      <c r="E263" s="75"/>
      <c r="H263">
        <f>+C263+G263</f>
        <v>1989</v>
      </c>
      <c r="K263" s="32">
        <v>25000</v>
      </c>
      <c r="L263" s="32"/>
      <c r="M263" s="32">
        <f>+K263-K263*E263</f>
        <v>25000</v>
      </c>
      <c r="N263" s="107" t="e">
        <f>M263/G263/12</f>
        <v>#DIV/0!</v>
      </c>
      <c r="O263" s="107">
        <f>IF(L263&gt;0,0,IF((OR((AA263&gt;AB263),(AC263&lt;AD263))),0,IF((AND((AC263&gt;=AD263),(AC263&lt;=AB263))),N263*((AC263-AD263)*12),IF((AND((AD263&lt;=AA263),(AB263&gt;=AA263))),((AB263-AA263)*12)*N263,IF(AC263&gt;AB263,12*N263,0)))))</f>
        <v>0</v>
      </c>
      <c r="P263" s="107">
        <f>IF(L263=0,0,IF((AND((AE263&gt;=AD263),(AE263&lt;=AC263))),((AE263-AD263)*12)*N263,0))</f>
        <v>0</v>
      </c>
      <c r="Q263" s="107">
        <f>IF(P263&gt;0,P263,O263)</f>
        <v>0</v>
      </c>
      <c r="R263" s="105">
        <v>1</v>
      </c>
      <c r="S263" s="107">
        <f>R263*SUM(O263:P263)</f>
        <v>0</v>
      </c>
      <c r="T263" s="105"/>
      <c r="U263" s="107"/>
      <c r="V263" s="107">
        <f>U263*R263</f>
        <v>0</v>
      </c>
      <c r="W263" s="105">
        <v>1</v>
      </c>
      <c r="X263" s="107">
        <f>V263*W263</f>
        <v>0</v>
      </c>
      <c r="Y263" s="107">
        <f>IF(L263&gt;0,0,X263+S263*W263)*W263</f>
        <v>0</v>
      </c>
      <c r="Z263" s="107"/>
      <c r="AA263" s="107">
        <f>$C263+(($D263-1)/12)</f>
        <v>1989.75</v>
      </c>
      <c r="AB263" s="107">
        <f>($M$5+1)-($M$2/12)</f>
        <v>2017.5</v>
      </c>
      <c r="AC263" s="107">
        <f>$H263+(($D263-1)/12)</f>
        <v>1989.75</v>
      </c>
      <c r="AD263" s="108">
        <f>$M$4+($M$3/12)</f>
        <v>2016.5</v>
      </c>
      <c r="AE263" s="108">
        <f>$I263+(($J263-1)/12)</f>
        <v>-8.3333333333333329E-2</v>
      </c>
      <c r="AF263" s="108">
        <f>$H263+(($D263-1)/12)</f>
        <v>1989.75</v>
      </c>
      <c r="AG263" s="108">
        <f>$M$4+($M$3/12)</f>
        <v>2016.5</v>
      </c>
      <c r="AH263" s="108">
        <f>$I263+(($J263-1)/12)</f>
        <v>-8.3333333333333329E-2</v>
      </c>
    </row>
    <row r="264" spans="1:34" x14ac:dyDescent="0.25">
      <c r="A264">
        <v>118</v>
      </c>
      <c r="B264" t="s">
        <v>638</v>
      </c>
      <c r="C264">
        <v>1997</v>
      </c>
      <c r="D264">
        <v>9</v>
      </c>
      <c r="E264" s="75"/>
      <c r="H264">
        <f>+C264+G264</f>
        <v>1997</v>
      </c>
      <c r="K264" s="114">
        <v>154649</v>
      </c>
      <c r="L264" s="32"/>
      <c r="M264" s="114">
        <v>154649</v>
      </c>
      <c r="N264" s="107" t="e">
        <f>M264/G264/12</f>
        <v>#DIV/0!</v>
      </c>
      <c r="O264" s="107">
        <f>IF(L264&gt;0,0,IF((OR((AA264&gt;AB264),(AC264&lt;AD264))),0,IF((AND((AC264&gt;=AD264),(AC264&lt;=AB264))),N264*((AC264-AD264)*12),IF((AND((AD264&lt;=AA264),(AB264&gt;=AA264))),((AB264-AA264)*12)*N264,IF(AC264&gt;AB264,12*N264,0)))))</f>
        <v>0</v>
      </c>
      <c r="P264" s="107">
        <f>IF(L264=0,0,IF((AND((AE264&gt;=AD264),(AE264&lt;=AC264))),((AE264-AD264)*12)*N264,0))</f>
        <v>0</v>
      </c>
      <c r="Q264" s="107">
        <f>IF(P264&gt;0,P264,O264)</f>
        <v>0</v>
      </c>
      <c r="R264" s="105">
        <v>1</v>
      </c>
      <c r="S264" s="107">
        <f>R264*SUM(O264:P264)</f>
        <v>0</v>
      </c>
      <c r="T264" s="105"/>
      <c r="U264" s="114"/>
      <c r="V264" s="114">
        <v>154649</v>
      </c>
      <c r="W264" s="114">
        <v>154649</v>
      </c>
      <c r="X264" s="114">
        <v>154649</v>
      </c>
      <c r="Y264" s="114"/>
      <c r="Z264" s="107"/>
      <c r="AA264" s="107">
        <f>$C264+(($D264-1)/12)</f>
        <v>1997.6666666666667</v>
      </c>
      <c r="AB264" s="107">
        <f>($M$5+1)-($M$2/12)</f>
        <v>2017.5</v>
      </c>
      <c r="AC264" s="107">
        <f>$H264+(($D264-1)/12)</f>
        <v>1997.6666666666667</v>
      </c>
      <c r="AD264" s="108">
        <f>$M$4+($M$3/12)</f>
        <v>2016.5</v>
      </c>
      <c r="AE264" s="108">
        <f>$I264+(($J264-1)/12)</f>
        <v>-8.3333333333333329E-2</v>
      </c>
      <c r="AF264" s="108">
        <f>$H264+(($D264-1)/12)</f>
        <v>1997.6666666666667</v>
      </c>
      <c r="AG264" s="108">
        <f>$M$4+($M$3/12)</f>
        <v>2016.5</v>
      </c>
      <c r="AH264" s="108">
        <f>$I264+(($J264-1)/12)</f>
        <v>-8.3333333333333329E-2</v>
      </c>
    </row>
    <row r="265" spans="1:34" x14ac:dyDescent="0.25">
      <c r="K265" s="32">
        <f>SUM(K263:K264)</f>
        <v>179649</v>
      </c>
      <c r="M265" s="32">
        <f>SUM(M263:M264)</f>
        <v>179649</v>
      </c>
      <c r="N265" s="107"/>
      <c r="O265" s="107"/>
      <c r="P265" s="107"/>
      <c r="Q265" s="107"/>
      <c r="R265" s="105"/>
      <c r="S265" s="107"/>
      <c r="T265" s="105"/>
      <c r="U265" s="32">
        <f t="shared" ref="U265:Y265" si="144">SUM(U263:U264)</f>
        <v>0</v>
      </c>
      <c r="V265" s="32">
        <f t="shared" si="144"/>
        <v>154649</v>
      </c>
      <c r="W265" s="32">
        <f t="shared" si="144"/>
        <v>154650</v>
      </c>
      <c r="X265" s="32">
        <f t="shared" si="144"/>
        <v>154649</v>
      </c>
      <c r="Y265" s="32">
        <f t="shared" si="144"/>
        <v>0</v>
      </c>
      <c r="Z265" s="107"/>
      <c r="AA265" s="107"/>
      <c r="AB265" s="107"/>
      <c r="AC265" s="107"/>
      <c r="AD265" s="108"/>
      <c r="AE265" s="108"/>
      <c r="AF265" s="108"/>
      <c r="AG265" s="108"/>
      <c r="AH265" s="108"/>
    </row>
    <row r="266" spans="1:34" x14ac:dyDescent="0.25">
      <c r="N266" s="107"/>
      <c r="O266" s="107"/>
      <c r="P266" s="107"/>
      <c r="Q266" s="107"/>
      <c r="R266" s="105"/>
      <c r="S266" s="107"/>
      <c r="T266" s="105"/>
      <c r="U266" s="107"/>
      <c r="V266" s="107"/>
      <c r="W266" s="105"/>
      <c r="X266" s="107"/>
      <c r="Y266" s="107"/>
      <c r="Z266" s="107"/>
      <c r="AA266" s="107"/>
      <c r="AB266" s="107"/>
      <c r="AC266" s="107"/>
      <c r="AD266" s="108"/>
      <c r="AE266" s="108"/>
      <c r="AF266" s="108"/>
      <c r="AG266" s="108"/>
      <c r="AH266" s="108"/>
    </row>
    <row r="267" spans="1:34" x14ac:dyDescent="0.25">
      <c r="K267" s="32">
        <f>+K31+K229+K247+K261+K265</f>
        <v>5888631.7400000012</v>
      </c>
      <c r="M267" s="32">
        <f t="shared" ref="M267:Z267" si="145">+M31+M229+M247+M261+M265</f>
        <v>5888631.7400000012</v>
      </c>
      <c r="N267" s="32">
        <f t="shared" si="145"/>
        <v>62047.059412698414</v>
      </c>
      <c r="O267" s="32">
        <f t="shared" si="145"/>
        <v>513173.40104761883</v>
      </c>
      <c r="P267" s="32">
        <f t="shared" si="145"/>
        <v>0</v>
      </c>
      <c r="Q267" s="32">
        <f t="shared" si="145"/>
        <v>513173.40104761883</v>
      </c>
      <c r="R267" s="32">
        <f t="shared" si="145"/>
        <v>239</v>
      </c>
      <c r="S267" s="32">
        <f t="shared" si="145"/>
        <v>513173.40104761883</v>
      </c>
      <c r="T267" s="32">
        <f t="shared" si="145"/>
        <v>0</v>
      </c>
      <c r="U267" s="32">
        <f t="shared" si="145"/>
        <v>2482994.5649682381</v>
      </c>
      <c r="V267" s="32">
        <f t="shared" si="145"/>
        <v>2637643.5649682381</v>
      </c>
      <c r="W267" s="32">
        <f t="shared" si="145"/>
        <v>154889</v>
      </c>
      <c r="X267" s="32">
        <f t="shared" si="145"/>
        <v>2637643.5649682381</v>
      </c>
      <c r="Y267" s="32">
        <f t="shared" si="145"/>
        <v>2996167.9660158558</v>
      </c>
      <c r="Z267" s="32">
        <f t="shared" si="145"/>
        <v>2912732.8245079531</v>
      </c>
      <c r="AA267" s="107"/>
      <c r="AB267" s="107"/>
      <c r="AC267" s="107"/>
      <c r="AD267" s="108"/>
      <c r="AE267" s="108"/>
      <c r="AF267" s="108"/>
      <c r="AG267" s="108"/>
      <c r="AH267" s="108"/>
    </row>
    <row r="268" spans="1:34" x14ac:dyDescent="0.25">
      <c r="N268" s="107"/>
      <c r="O268" s="107"/>
      <c r="P268" s="107"/>
      <c r="Q268" s="107"/>
      <c r="R268" s="105"/>
      <c r="S268" s="107"/>
      <c r="T268" s="105"/>
      <c r="U268" s="107"/>
      <c r="V268" s="107"/>
      <c r="W268" s="105"/>
      <c r="X268" s="107"/>
      <c r="Y268" s="107"/>
      <c r="Z268" s="107"/>
      <c r="AA268" s="107"/>
      <c r="AB268" s="107"/>
      <c r="AC268" s="107"/>
      <c r="AD268" s="108"/>
      <c r="AE268" s="108"/>
      <c r="AF268" s="108"/>
      <c r="AG268" s="108"/>
      <c r="AH268" s="108"/>
    </row>
    <row r="269" spans="1:34" x14ac:dyDescent="0.25">
      <c r="N269" s="107"/>
      <c r="O269" s="107"/>
      <c r="P269" s="107"/>
      <c r="Q269" s="107"/>
      <c r="R269" s="105"/>
      <c r="S269" s="107"/>
      <c r="T269" s="105"/>
      <c r="U269" s="107"/>
      <c r="V269" s="107"/>
      <c r="W269" s="105"/>
      <c r="X269" s="107"/>
      <c r="Y269" s="107"/>
      <c r="Z269" s="107"/>
      <c r="AA269" s="107"/>
      <c r="AB269" s="107"/>
      <c r="AC269" s="107"/>
      <c r="AD269" s="108"/>
      <c r="AE269" s="108"/>
      <c r="AF269" s="108"/>
      <c r="AG269" s="108"/>
      <c r="AH269" s="108"/>
    </row>
    <row r="270" spans="1:34" x14ac:dyDescent="0.25">
      <c r="N270" s="107"/>
      <c r="O270" s="107"/>
      <c r="P270" s="107"/>
      <c r="Q270" s="107"/>
      <c r="R270" s="105"/>
      <c r="S270" s="107"/>
      <c r="T270" s="105"/>
      <c r="U270" s="107"/>
      <c r="V270" s="107"/>
      <c r="W270" s="105"/>
      <c r="X270" s="107"/>
      <c r="Y270" s="107"/>
      <c r="Z270" s="107"/>
      <c r="AA270" s="107"/>
      <c r="AB270" s="107"/>
      <c r="AC270" s="107"/>
      <c r="AD270" s="108"/>
      <c r="AE270" s="108"/>
      <c r="AF270" s="108"/>
      <c r="AG270" s="108"/>
      <c r="AH270" s="108"/>
    </row>
  </sheetData>
  <pageMargins left="0.25" right="0.25" top="0.75" bottom="0.75" header="0.3" footer="0.3"/>
  <pageSetup scale="60" fitToHeight="0" orientation="landscape" r:id="rId1"/>
  <headerFooter>
    <oddFooter>&amp;L&amp;F &amp;A &amp;T&amp;RPage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workbookViewId="0">
      <selection activeCell="K13" sqref="K13"/>
    </sheetView>
  </sheetViews>
  <sheetFormatPr defaultRowHeight="15" x14ac:dyDescent="0.25"/>
  <cols>
    <col min="1" max="1" width="14.5703125" customWidth="1"/>
    <col min="2" max="2" width="34.42578125" bestFit="1" customWidth="1"/>
    <col min="3" max="3" width="14.28515625" bestFit="1" customWidth="1"/>
    <col min="4" max="4" width="5.140625" bestFit="1" customWidth="1"/>
    <col min="5" max="6" width="6.28515625" bestFit="1" customWidth="1"/>
    <col min="7" max="7" width="13.85546875" bestFit="1" customWidth="1"/>
    <col min="8" max="8" width="13.140625" bestFit="1" customWidth="1"/>
    <col min="9" max="9" width="8.5703125" bestFit="1" customWidth="1"/>
    <col min="11" max="11" width="11.28515625" bestFit="1" customWidth="1"/>
  </cols>
  <sheetData>
    <row r="1" spans="1:12" ht="15.75" x14ac:dyDescent="0.25">
      <c r="A1" s="54" t="s">
        <v>639</v>
      </c>
      <c r="B1" s="54" t="s">
        <v>640</v>
      </c>
      <c r="C1" s="54" t="s">
        <v>641</v>
      </c>
      <c r="D1" s="118" t="s">
        <v>642</v>
      </c>
      <c r="E1" s="118" t="s">
        <v>643</v>
      </c>
      <c r="F1" s="118" t="s">
        <v>644</v>
      </c>
      <c r="G1" s="118" t="s">
        <v>645</v>
      </c>
      <c r="H1" s="118" t="s">
        <v>646</v>
      </c>
      <c r="I1" s="54" t="s">
        <v>647</v>
      </c>
      <c r="J1" s="119"/>
      <c r="K1" s="119" t="s">
        <v>648</v>
      </c>
      <c r="L1" s="119"/>
    </row>
    <row r="2" spans="1:12" ht="15.75" x14ac:dyDescent="0.25">
      <c r="A2" s="8" t="s">
        <v>649</v>
      </c>
      <c r="B2" s="8" t="s">
        <v>650</v>
      </c>
      <c r="C2" s="8" t="s">
        <v>651</v>
      </c>
      <c r="D2" s="120"/>
      <c r="E2" s="120"/>
      <c r="F2" s="120"/>
      <c r="G2" s="120">
        <v>677.81</v>
      </c>
      <c r="H2" s="120">
        <v>677.81</v>
      </c>
      <c r="I2" s="8" t="s">
        <v>652</v>
      </c>
      <c r="J2" s="3"/>
      <c r="K2" s="4">
        <v>42867</v>
      </c>
      <c r="L2" s="3"/>
    </row>
    <row r="3" spans="1:12" ht="15.75" x14ac:dyDescent="0.25">
      <c r="A3" s="8" t="s">
        <v>649</v>
      </c>
      <c r="B3" s="8" t="s">
        <v>650</v>
      </c>
      <c r="C3" s="8" t="s">
        <v>653</v>
      </c>
      <c r="D3" s="120"/>
      <c r="E3" s="120"/>
      <c r="F3" s="120"/>
      <c r="G3" s="120">
        <v>3615.01</v>
      </c>
      <c r="H3" s="120">
        <v>3615.01</v>
      </c>
      <c r="I3" s="8" t="s">
        <v>652</v>
      </c>
      <c r="J3" s="3"/>
      <c r="K3" s="4">
        <v>42867</v>
      </c>
      <c r="L3" s="3"/>
    </row>
    <row r="4" spans="1:12" ht="15.75" x14ac:dyDescent="0.25">
      <c r="A4" s="8" t="s">
        <v>649</v>
      </c>
      <c r="B4" s="8" t="s">
        <v>650</v>
      </c>
      <c r="C4" s="8" t="s">
        <v>654</v>
      </c>
      <c r="D4" s="120"/>
      <c r="E4" s="120"/>
      <c r="F4" s="120"/>
      <c r="G4" s="120">
        <v>2735</v>
      </c>
      <c r="H4" s="120">
        <v>2735</v>
      </c>
      <c r="I4" s="8" t="s">
        <v>652</v>
      </c>
      <c r="J4" s="3"/>
      <c r="K4" s="4">
        <v>42867</v>
      </c>
      <c r="L4" s="3"/>
    </row>
    <row r="5" spans="1:12" ht="15.75" x14ac:dyDescent="0.25">
      <c r="A5" s="8" t="s">
        <v>649</v>
      </c>
      <c r="B5" s="8" t="s">
        <v>650</v>
      </c>
      <c r="C5" s="8" t="s">
        <v>655</v>
      </c>
      <c r="D5" s="120"/>
      <c r="E5" s="120"/>
      <c r="F5" s="120"/>
      <c r="G5" s="120">
        <v>1975.63</v>
      </c>
      <c r="H5" s="120">
        <v>1975.63</v>
      </c>
      <c r="I5" s="8" t="s">
        <v>652</v>
      </c>
      <c r="J5" s="3"/>
      <c r="K5" s="4">
        <v>42873</v>
      </c>
      <c r="L5" s="3"/>
    </row>
    <row r="6" spans="1:12" ht="15.75" x14ac:dyDescent="0.25">
      <c r="A6" s="8" t="s">
        <v>649</v>
      </c>
      <c r="B6" s="8" t="s">
        <v>650</v>
      </c>
      <c r="C6" s="8" t="s">
        <v>656</v>
      </c>
      <c r="D6" s="120"/>
      <c r="E6" s="120"/>
      <c r="F6" s="120"/>
      <c r="G6" s="120">
        <v>3186.88</v>
      </c>
      <c r="H6" s="120">
        <v>3186.88</v>
      </c>
      <c r="I6" s="8" t="s">
        <v>652</v>
      </c>
      <c r="J6" s="3"/>
      <c r="K6" s="4">
        <v>42878</v>
      </c>
      <c r="L6" s="3"/>
    </row>
    <row r="7" spans="1:12" ht="15.75" x14ac:dyDescent="0.25">
      <c r="A7" s="8" t="s">
        <v>649</v>
      </c>
      <c r="B7" s="8" t="s">
        <v>650</v>
      </c>
      <c r="C7" s="8" t="s">
        <v>657</v>
      </c>
      <c r="D7" s="120"/>
      <c r="E7" s="120"/>
      <c r="F7" s="120"/>
      <c r="G7" s="120">
        <v>10.17</v>
      </c>
      <c r="H7" s="120">
        <v>10.17</v>
      </c>
      <c r="I7" s="8" t="s">
        <v>652</v>
      </c>
      <c r="J7" s="3"/>
      <c r="K7" s="4"/>
      <c r="L7" s="3"/>
    </row>
    <row r="8" spans="1:12" ht="15.75" x14ac:dyDescent="0.25">
      <c r="A8" s="8" t="s">
        <v>649</v>
      </c>
      <c r="B8" s="8" t="s">
        <v>650</v>
      </c>
      <c r="C8" s="8" t="s">
        <v>658</v>
      </c>
      <c r="D8" s="120"/>
      <c r="E8" s="120"/>
      <c r="F8" s="120"/>
      <c r="G8" s="120">
        <v>54.23</v>
      </c>
      <c r="H8" s="120">
        <v>54.23</v>
      </c>
      <c r="I8" s="8" t="s">
        <v>652</v>
      </c>
      <c r="J8" s="3"/>
      <c r="K8" s="4"/>
      <c r="L8" s="3"/>
    </row>
    <row r="9" spans="1:12" ht="15.75" x14ac:dyDescent="0.25">
      <c r="A9" s="8" t="s">
        <v>649</v>
      </c>
      <c r="B9" s="8" t="s">
        <v>650</v>
      </c>
      <c r="C9" s="8" t="s">
        <v>659</v>
      </c>
      <c r="D9" s="120"/>
      <c r="E9" s="120"/>
      <c r="F9" s="120"/>
      <c r="G9" s="120">
        <v>41.03</v>
      </c>
      <c r="H9" s="120">
        <v>41.03</v>
      </c>
      <c r="I9" s="8" t="s">
        <v>652</v>
      </c>
      <c r="J9" s="3"/>
      <c r="K9" s="4"/>
      <c r="L9" s="3"/>
    </row>
    <row r="10" spans="1:12" ht="15.75" x14ac:dyDescent="0.25">
      <c r="A10" s="8" t="s">
        <v>649</v>
      </c>
      <c r="B10" s="8" t="s">
        <v>650</v>
      </c>
      <c r="C10" s="8" t="s">
        <v>660</v>
      </c>
      <c r="D10" s="120"/>
      <c r="E10" s="120"/>
      <c r="F10" s="120"/>
      <c r="G10" s="120">
        <v>29.63</v>
      </c>
      <c r="H10" s="120">
        <v>29.63</v>
      </c>
      <c r="I10" s="8" t="s">
        <v>652</v>
      </c>
      <c r="J10" s="3"/>
      <c r="K10" s="4"/>
      <c r="L10" s="3"/>
    </row>
    <row r="11" spans="1:12" ht="15.75" x14ac:dyDescent="0.25">
      <c r="A11" s="8" t="s">
        <v>649</v>
      </c>
      <c r="B11" s="8" t="s">
        <v>650</v>
      </c>
      <c r="C11" s="8" t="s">
        <v>661</v>
      </c>
      <c r="D11" s="120"/>
      <c r="E11" s="120"/>
      <c r="F11" s="120"/>
      <c r="G11" s="120">
        <v>47.8</v>
      </c>
      <c r="H11" s="120">
        <v>47.8</v>
      </c>
      <c r="I11" s="8" t="s">
        <v>652</v>
      </c>
      <c r="J11" s="3"/>
      <c r="K11" s="4"/>
      <c r="L11" s="3"/>
    </row>
    <row r="12" spans="1:12" ht="15.75" x14ac:dyDescent="0.25">
      <c r="A12" s="8" t="s">
        <v>649</v>
      </c>
      <c r="B12" s="8" t="s">
        <v>650</v>
      </c>
      <c r="C12" s="8" t="s">
        <v>662</v>
      </c>
      <c r="D12" s="120"/>
      <c r="E12" s="120"/>
      <c r="F12" s="120"/>
      <c r="G12" s="120">
        <v>20.32</v>
      </c>
      <c r="H12" s="120">
        <v>20.32</v>
      </c>
      <c r="I12" s="8" t="s">
        <v>652</v>
      </c>
      <c r="J12" s="3"/>
      <c r="K12" s="4"/>
      <c r="L12" s="3"/>
    </row>
    <row r="13" spans="1:12" ht="15.75" x14ac:dyDescent="0.25">
      <c r="A13" s="8" t="s">
        <v>649</v>
      </c>
      <c r="B13" s="8" t="s">
        <v>650</v>
      </c>
      <c r="C13" s="8" t="s">
        <v>663</v>
      </c>
      <c r="D13" s="120"/>
      <c r="E13" s="120"/>
      <c r="F13" s="120"/>
      <c r="G13" s="120">
        <v>65.03</v>
      </c>
      <c r="H13" s="120">
        <v>65.03</v>
      </c>
      <c r="I13" s="8" t="s">
        <v>652</v>
      </c>
      <c r="J13" s="3"/>
      <c r="K13" s="4"/>
      <c r="L13" s="3"/>
    </row>
    <row r="14" spans="1:12" ht="15.75" x14ac:dyDescent="0.25">
      <c r="A14" s="8" t="s">
        <v>649</v>
      </c>
      <c r="B14" s="8" t="s">
        <v>650</v>
      </c>
      <c r="C14" s="8" t="s">
        <v>664</v>
      </c>
      <c r="D14" s="120"/>
      <c r="E14" s="120"/>
      <c r="F14" s="120"/>
      <c r="G14" s="120">
        <v>51.64</v>
      </c>
      <c r="H14" s="120">
        <v>51.64</v>
      </c>
      <c r="I14" s="8" t="s">
        <v>652</v>
      </c>
      <c r="J14" s="3"/>
      <c r="K14" s="4"/>
      <c r="L14" s="3"/>
    </row>
    <row r="15" spans="1:12" ht="15.75" x14ac:dyDescent="0.25">
      <c r="A15" s="8" t="s">
        <v>649</v>
      </c>
      <c r="B15" s="8" t="s">
        <v>650</v>
      </c>
      <c r="C15" s="8" t="s">
        <v>665</v>
      </c>
      <c r="D15" s="120"/>
      <c r="E15" s="120"/>
      <c r="F15" s="120"/>
      <c r="G15" s="120">
        <v>40.08</v>
      </c>
      <c r="H15" s="120">
        <v>40.08</v>
      </c>
      <c r="I15" s="8" t="s">
        <v>652</v>
      </c>
      <c r="J15" s="3"/>
      <c r="K15" s="4"/>
      <c r="L15" s="3"/>
    </row>
    <row r="16" spans="1:12" ht="15.75" x14ac:dyDescent="0.25">
      <c r="A16" s="8" t="s">
        <v>649</v>
      </c>
      <c r="B16" s="8" t="s">
        <v>650</v>
      </c>
      <c r="C16" s="8" t="s">
        <v>666</v>
      </c>
      <c r="D16" s="120"/>
      <c r="E16" s="120"/>
      <c r="F16" s="120"/>
      <c r="G16" s="120">
        <v>58.52</v>
      </c>
      <c r="H16" s="120">
        <v>58.52</v>
      </c>
      <c r="I16" s="8" t="s">
        <v>652</v>
      </c>
      <c r="J16" s="3"/>
      <c r="K16" s="4"/>
      <c r="L16" s="3"/>
    </row>
    <row r="17" spans="1:12" ht="15.75" x14ac:dyDescent="0.25">
      <c r="A17" s="8"/>
      <c r="B17" s="8"/>
      <c r="C17" s="8"/>
      <c r="D17" s="120"/>
      <c r="E17" s="120"/>
      <c r="F17" s="120"/>
      <c r="G17" s="120"/>
      <c r="H17" s="120"/>
      <c r="I17" s="8"/>
      <c r="J17" s="3"/>
      <c r="K17" s="4"/>
      <c r="L17" s="3"/>
    </row>
    <row r="18" spans="1:12" ht="15.75" x14ac:dyDescent="0.25">
      <c r="A18" s="8"/>
      <c r="B18" s="8"/>
      <c r="C18" s="8"/>
      <c r="D18" s="120"/>
      <c r="E18" s="120"/>
      <c r="F18" s="120"/>
      <c r="G18" s="120"/>
      <c r="H18" s="121">
        <f>SUM(H2:H17)</f>
        <v>12608.78</v>
      </c>
      <c r="I18" s="8"/>
      <c r="J18" s="3"/>
      <c r="K18" s="4"/>
      <c r="L18" s="3"/>
    </row>
    <row r="19" spans="1:12" ht="15.75" x14ac:dyDescent="0.25">
      <c r="A19" s="8"/>
      <c r="B19" s="8"/>
      <c r="C19" s="8"/>
      <c r="D19" s="120"/>
      <c r="E19" s="120"/>
      <c r="F19" s="120"/>
      <c r="G19" s="120"/>
      <c r="H19" s="121"/>
      <c r="I19" s="8"/>
      <c r="J19" s="3"/>
      <c r="K19" s="4"/>
      <c r="L19" s="3"/>
    </row>
    <row r="20" spans="1:12" ht="15.75" x14ac:dyDescent="0.25">
      <c r="A20" s="8" t="s">
        <v>667</v>
      </c>
      <c r="B20" s="8" t="s">
        <v>668</v>
      </c>
      <c r="C20" s="8" t="s">
        <v>669</v>
      </c>
      <c r="D20" s="120"/>
      <c r="E20" s="120"/>
      <c r="F20" s="120"/>
      <c r="G20" s="120">
        <v>1205</v>
      </c>
      <c r="H20" s="120">
        <v>1205</v>
      </c>
      <c r="I20" s="8" t="s">
        <v>670</v>
      </c>
      <c r="J20" s="3"/>
      <c r="K20" s="4">
        <v>42597</v>
      </c>
      <c r="L20" s="3"/>
    </row>
    <row r="21" spans="1:12" ht="15.75" x14ac:dyDescent="0.25">
      <c r="A21" s="122" t="s">
        <v>667</v>
      </c>
      <c r="B21" s="122" t="s">
        <v>668</v>
      </c>
      <c r="C21" s="122" t="s">
        <v>671</v>
      </c>
      <c r="D21" s="123"/>
      <c r="E21" s="123"/>
      <c r="F21" s="123"/>
      <c r="G21" s="123">
        <v>1546.92</v>
      </c>
      <c r="H21" s="123">
        <v>1546.92</v>
      </c>
      <c r="I21" s="122" t="s">
        <v>670</v>
      </c>
      <c r="J21" s="3"/>
      <c r="K21" s="4">
        <v>42597</v>
      </c>
      <c r="L21" s="3"/>
    </row>
    <row r="22" spans="1:12" ht="15.75" x14ac:dyDescent="0.25">
      <c r="A22" s="8" t="s">
        <v>667</v>
      </c>
      <c r="B22" s="8" t="s">
        <v>668</v>
      </c>
      <c r="C22" s="8" t="s">
        <v>672</v>
      </c>
      <c r="D22" s="120"/>
      <c r="E22" s="120"/>
      <c r="F22" s="120"/>
      <c r="G22" s="120">
        <v>18.079999999999998</v>
      </c>
      <c r="H22" s="120">
        <v>18.079999999999998</v>
      </c>
      <c r="I22" s="8" t="s">
        <v>0</v>
      </c>
      <c r="J22" s="3"/>
      <c r="K22" s="4"/>
      <c r="L22" s="3"/>
    </row>
    <row r="23" spans="1:12" ht="15.75" x14ac:dyDescent="0.25">
      <c r="A23" s="122" t="s">
        <v>667</v>
      </c>
      <c r="B23" s="122" t="s">
        <v>668</v>
      </c>
      <c r="C23" s="122" t="s">
        <v>673</v>
      </c>
      <c r="D23" s="123"/>
      <c r="E23" s="123"/>
      <c r="F23" s="123"/>
      <c r="G23" s="123">
        <v>23.2</v>
      </c>
      <c r="H23" s="123">
        <v>23.2</v>
      </c>
      <c r="I23" s="122" t="s">
        <v>0</v>
      </c>
      <c r="J23" s="3"/>
      <c r="K23" s="4"/>
      <c r="L23" s="3"/>
    </row>
    <row r="24" spans="1:12" ht="15.75" x14ac:dyDescent="0.25">
      <c r="A24" s="122" t="s">
        <v>667</v>
      </c>
      <c r="B24" s="122" t="s">
        <v>668</v>
      </c>
      <c r="C24" s="122" t="s">
        <v>674</v>
      </c>
      <c r="D24" s="123"/>
      <c r="E24" s="123"/>
      <c r="F24" s="123"/>
      <c r="G24" s="123">
        <v>2247.29</v>
      </c>
      <c r="H24" s="123">
        <v>2247.29</v>
      </c>
      <c r="I24" s="122" t="s">
        <v>670</v>
      </c>
      <c r="J24" s="3"/>
      <c r="K24" s="4">
        <v>42674</v>
      </c>
      <c r="L24" s="3"/>
    </row>
    <row r="25" spans="1:12" ht="15.75" x14ac:dyDescent="0.25">
      <c r="A25" s="8" t="s">
        <v>667</v>
      </c>
      <c r="B25" s="8" t="s">
        <v>668</v>
      </c>
      <c r="C25" s="8" t="s">
        <v>675</v>
      </c>
      <c r="D25" s="120"/>
      <c r="E25" s="120"/>
      <c r="F25" s="120"/>
      <c r="G25" s="120">
        <v>46.42</v>
      </c>
      <c r="H25" s="120">
        <v>46.42</v>
      </c>
      <c r="I25" s="8" t="s">
        <v>670</v>
      </c>
      <c r="J25" s="3"/>
      <c r="K25" s="4"/>
      <c r="L25" s="3"/>
    </row>
    <row r="26" spans="1:12" ht="15.75" x14ac:dyDescent="0.25">
      <c r="A26" s="8" t="s">
        <v>667</v>
      </c>
      <c r="B26" s="8" t="s">
        <v>668</v>
      </c>
      <c r="C26" s="8" t="s">
        <v>676</v>
      </c>
      <c r="D26" s="120"/>
      <c r="E26" s="120"/>
      <c r="F26" s="120"/>
      <c r="G26" s="120">
        <v>56.76</v>
      </c>
      <c r="H26" s="120">
        <v>56.76</v>
      </c>
      <c r="I26" s="8" t="s">
        <v>670</v>
      </c>
      <c r="J26" s="3"/>
      <c r="K26" s="4"/>
      <c r="L26" s="3"/>
    </row>
    <row r="27" spans="1:12" ht="15.75" x14ac:dyDescent="0.25">
      <c r="A27" s="122" t="s">
        <v>667</v>
      </c>
      <c r="B27" s="122" t="s">
        <v>668</v>
      </c>
      <c r="C27" s="124" t="s">
        <v>677</v>
      </c>
      <c r="D27" s="125"/>
      <c r="E27" s="125"/>
      <c r="F27" s="125"/>
      <c r="G27" s="125">
        <v>77.92</v>
      </c>
      <c r="H27" s="125">
        <v>77.92</v>
      </c>
      <c r="I27" s="122" t="s">
        <v>670</v>
      </c>
      <c r="J27" s="3"/>
      <c r="K27" s="4"/>
      <c r="L27" s="3"/>
    </row>
    <row r="28" spans="1:12" ht="15.75" x14ac:dyDescent="0.25">
      <c r="A28" s="126"/>
      <c r="B28" s="126"/>
      <c r="C28" s="127"/>
      <c r="D28" s="127"/>
      <c r="E28" s="127"/>
      <c r="F28" s="127"/>
      <c r="G28" s="127"/>
      <c r="H28" s="127"/>
      <c r="I28" s="126"/>
      <c r="J28" s="126"/>
      <c r="K28" s="23"/>
      <c r="L28" s="23"/>
    </row>
    <row r="29" spans="1:12" ht="15.75" x14ac:dyDescent="0.25">
      <c r="A29" s="8" t="s">
        <v>667</v>
      </c>
      <c r="B29" s="8" t="s">
        <v>668</v>
      </c>
      <c r="C29" s="8" t="s">
        <v>0</v>
      </c>
      <c r="D29" s="120">
        <f>SUBTOTAL(9, D20:D28)</f>
        <v>0</v>
      </c>
      <c r="E29" s="120">
        <f>SUBTOTAL(9, E20:E28)</f>
        <v>0</v>
      </c>
      <c r="F29" s="120">
        <f>SUBTOTAL(9, F20:F28)</f>
        <v>0</v>
      </c>
      <c r="G29" s="120"/>
      <c r="H29" s="205">
        <f>SUM(H20:H28)</f>
        <v>5221.59</v>
      </c>
      <c r="I29" s="8" t="s">
        <v>0</v>
      </c>
      <c r="J29" s="3"/>
      <c r="K29" s="128"/>
      <c r="L29" s="128"/>
    </row>
    <row r="30" spans="1:12" ht="15.75" x14ac:dyDescent="0.25">
      <c r="A30" s="8" t="s">
        <v>227</v>
      </c>
      <c r="B30" s="8"/>
      <c r="C30" s="8"/>
      <c r="D30" s="120"/>
      <c r="E30" s="120"/>
      <c r="F30" s="120"/>
      <c r="G30" s="120"/>
      <c r="H30" s="120">
        <f>+H18+H29</f>
        <v>17830.370000000003</v>
      </c>
      <c r="I30" s="8"/>
      <c r="J30" s="3"/>
      <c r="K30" s="128"/>
      <c r="L30" s="128"/>
    </row>
    <row r="31" spans="1:12" ht="15.75" x14ac:dyDescent="0.25">
      <c r="A31" s="8"/>
      <c r="B31" s="8"/>
      <c r="C31" s="8"/>
      <c r="D31" s="120"/>
      <c r="E31" s="120"/>
      <c r="F31" s="120"/>
      <c r="G31" s="120"/>
      <c r="H31" s="120"/>
      <c r="I31" s="8"/>
      <c r="J31" s="3"/>
      <c r="K31" s="128"/>
      <c r="L31" s="128"/>
    </row>
    <row r="32" spans="1:12" ht="15.75" x14ac:dyDescent="0.25">
      <c r="A32" s="8" t="s">
        <v>678</v>
      </c>
      <c r="B32" s="8"/>
      <c r="C32" s="8"/>
      <c r="D32" s="120"/>
      <c r="E32" s="120"/>
      <c r="F32" s="120"/>
      <c r="G32" s="120"/>
      <c r="H32" s="129">
        <f>-H21-H23-H24-H27</f>
        <v>-3895.33</v>
      </c>
      <c r="I32" s="8"/>
      <c r="J32" s="3"/>
      <c r="K32" s="128"/>
      <c r="L32" s="128"/>
    </row>
    <row r="33" spans="1:12" ht="15.75" x14ac:dyDescent="0.25">
      <c r="A33" s="8" t="s">
        <v>679</v>
      </c>
      <c r="B33" s="8"/>
      <c r="C33" s="8"/>
      <c r="D33" s="120"/>
      <c r="E33" s="120"/>
      <c r="F33" s="120"/>
      <c r="G33" s="120"/>
      <c r="H33" s="120">
        <f>+H29+H32</f>
        <v>1326.2600000000002</v>
      </c>
      <c r="I33" s="8"/>
      <c r="J33" s="3"/>
      <c r="K33" s="128"/>
      <c r="L33" s="128"/>
    </row>
    <row r="34" spans="1:12" ht="15.75" x14ac:dyDescent="0.25">
      <c r="A34" s="8" t="s">
        <v>680</v>
      </c>
      <c r="B34" s="8"/>
      <c r="C34" s="8"/>
      <c r="D34" s="120"/>
      <c r="E34" s="120"/>
      <c r="F34" s="120"/>
      <c r="G34" s="120"/>
      <c r="H34" s="129">
        <f>+H18</f>
        <v>12608.78</v>
      </c>
      <c r="I34" s="8"/>
      <c r="J34" s="3"/>
      <c r="K34" s="128"/>
      <c r="L34" s="128"/>
    </row>
    <row r="35" spans="1:12" ht="15.75" x14ac:dyDescent="0.25">
      <c r="A35" s="8" t="s">
        <v>681</v>
      </c>
      <c r="B35" s="8"/>
      <c r="C35" s="8"/>
      <c r="D35" s="120"/>
      <c r="E35" s="120"/>
      <c r="F35" s="120"/>
      <c r="G35" s="120"/>
      <c r="H35" s="120">
        <f>SUM(H33:H34)</f>
        <v>13935.04</v>
      </c>
      <c r="I35" s="8"/>
      <c r="J35" s="3"/>
      <c r="K35" s="128"/>
      <c r="L35" s="128"/>
    </row>
    <row r="36" spans="1:12" ht="15.75" x14ac:dyDescent="0.25">
      <c r="A36" s="8"/>
      <c r="B36" s="8"/>
      <c r="C36" s="8"/>
      <c r="D36" s="120"/>
      <c r="E36" s="120"/>
      <c r="F36" s="120"/>
      <c r="G36" s="120"/>
      <c r="H36" s="120"/>
      <c r="I36" s="8"/>
      <c r="J36" s="3"/>
      <c r="K36" s="128"/>
      <c r="L36" s="128"/>
    </row>
    <row r="37" spans="1:12" ht="15.75" x14ac:dyDescent="0.25">
      <c r="A37" s="8"/>
      <c r="B37" s="8"/>
      <c r="C37" s="8"/>
      <c r="D37" s="120"/>
      <c r="E37" s="120"/>
      <c r="F37" s="120"/>
      <c r="G37" s="120"/>
      <c r="H37" s="120"/>
      <c r="I37" s="8"/>
      <c r="J37" s="3"/>
      <c r="K37" s="128"/>
      <c r="L37" s="128"/>
    </row>
    <row r="38" spans="1:12" ht="15.75" x14ac:dyDescent="0.25">
      <c r="A38" s="8"/>
      <c r="B38" s="8"/>
      <c r="C38" s="8"/>
      <c r="D38" s="120"/>
      <c r="E38" s="120"/>
      <c r="F38" s="120"/>
      <c r="G38" s="120"/>
      <c r="H38" s="120"/>
      <c r="I38" s="8"/>
      <c r="J38" s="3"/>
      <c r="K38" s="128"/>
      <c r="L38" s="128"/>
    </row>
    <row r="39" spans="1:12" ht="15.75" x14ac:dyDescent="0.25">
      <c r="A39" s="8" t="s">
        <v>683</v>
      </c>
      <c r="B39" s="8"/>
      <c r="C39" s="8" t="s">
        <v>231</v>
      </c>
      <c r="D39" s="120"/>
      <c r="E39" s="120"/>
      <c r="F39" s="120"/>
      <c r="G39" s="120"/>
      <c r="H39" s="120">
        <f>+H35</f>
        <v>13935.04</v>
      </c>
      <c r="I39" s="8"/>
      <c r="J39" s="3"/>
      <c r="K39" s="128"/>
      <c r="L39" s="128"/>
    </row>
    <row r="40" spans="1:12" ht="15.75" x14ac:dyDescent="0.25">
      <c r="A40" s="8"/>
      <c r="B40" s="8"/>
      <c r="C40" s="8" t="s">
        <v>682</v>
      </c>
      <c r="D40" s="120"/>
      <c r="E40" s="120"/>
      <c r="F40" s="120"/>
      <c r="G40" s="120"/>
      <c r="H40" s="129">
        <f>-H32</f>
        <v>3895.33</v>
      </c>
      <c r="I40" s="8"/>
      <c r="J40" s="3"/>
      <c r="K40" s="128"/>
      <c r="L40" s="128"/>
    </row>
    <row r="41" spans="1:12" ht="15.75" x14ac:dyDescent="0.25">
      <c r="A41" s="8"/>
      <c r="B41" s="8"/>
      <c r="C41" s="8"/>
      <c r="D41" s="120"/>
      <c r="E41" s="120"/>
      <c r="F41" s="120"/>
      <c r="G41" s="120"/>
      <c r="H41" s="120">
        <f>SUM(H39:H40)</f>
        <v>17830.370000000003</v>
      </c>
      <c r="I41" s="8"/>
      <c r="J41" s="3"/>
      <c r="K41" s="128"/>
      <c r="L41" s="128"/>
    </row>
    <row r="42" spans="1:12" ht="15.75" x14ac:dyDescent="0.25">
      <c r="A42" s="8"/>
      <c r="B42" s="8"/>
      <c r="C42" s="8"/>
      <c r="D42" s="120"/>
      <c r="E42" s="120"/>
      <c r="F42" s="120"/>
      <c r="G42" s="120"/>
      <c r="H42" s="120"/>
      <c r="I42" s="8"/>
      <c r="J42" s="3"/>
      <c r="K42" s="128"/>
      <c r="L42" s="128"/>
    </row>
  </sheetData>
  <pageMargins left="0.25" right="0.25" top="0.75" bottom="0.75" header="0.3" footer="0.3"/>
  <pageSetup scale="69" fitToHeight="0" orientation="portrait" r:id="rId1"/>
  <headerFooter>
    <oddHeader>&amp;CArrow Launch Service, Inc.
Bad Debts
Test Period ended 6/30/17</oddHeader>
    <oddFooter>&amp;L&amp;F  &amp;A  &amp;T 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216</IndustryCode>
    <CaseStatus xmlns="dc463f71-b30c-4ab2-9473-d307f9d35888">Closed</CaseStatus>
    <OpenedDate xmlns="dc463f71-b30c-4ab2-9473-d307f9d35888">2018-01-29T08:00:00+00:00</OpenedDate>
    <SignificantOrder xmlns="dc463f71-b30c-4ab2-9473-d307f9d35888">false</SignificantOrder>
    <Date1 xmlns="dc463f71-b30c-4ab2-9473-d307f9d35888">2018-01-29T08:00:00+00:00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</CaseCompanyNames>
    <Nickname xmlns="http://schemas.microsoft.com/sharepoint/v3" xsi:nil="true"/>
    <DocketNumber xmlns="dc463f71-b30c-4ab2-9473-d307f9d35888">180103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11A7F3A23C9C349B6735EC80B72BB22" ma:contentTypeVersion="68" ma:contentTypeDescription="" ma:contentTypeScope="" ma:versionID="6a2bd140965a9874f5379c957499590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5DE01-F08D-4F15-80D8-FF12098F37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5B394E9-9360-4F31-8263-35C17F55F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DEFA7E-6389-4DCC-A552-6B1384D5D9F9}"/>
</file>

<file path=customXml/itemProps4.xml><?xml version="1.0" encoding="utf-8"?>
<ds:datastoreItem xmlns:ds="http://schemas.openxmlformats.org/officeDocument/2006/customXml" ds:itemID="{EA715758-6D3A-4948-9740-3223C5192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Semi Annual </vt:lpstr>
      <vt:lpstr>Pro Forma</vt:lpstr>
      <vt:lpstr>Allocation Statistics</vt:lpstr>
      <vt:lpstr>Restaing Adjustments</vt:lpstr>
      <vt:lpstr>Accounting</vt:lpstr>
      <vt:lpstr>Legal </vt:lpstr>
      <vt:lpstr>Prior Rate Case Costs</vt:lpstr>
      <vt:lpstr>Depreciation</vt:lpstr>
      <vt:lpstr>Bad Debts</vt:lpstr>
      <vt:lpstr>Payroll</vt:lpstr>
      <vt:lpstr>Price Out</vt:lpstr>
      <vt:lpstr>Sheet7</vt:lpstr>
      <vt:lpstr>Accounting!Print_Area</vt:lpstr>
      <vt:lpstr>'Allocation Statistics'!Print_Area</vt:lpstr>
      <vt:lpstr>'Bad Debts'!Print_Area</vt:lpstr>
      <vt:lpstr>Depreciation!Print_Area</vt:lpstr>
      <vt:lpstr>'Legal '!Print_Area</vt:lpstr>
      <vt:lpstr>Payroll!Print_Area</vt:lpstr>
      <vt:lpstr>'Price Out'!Print_Area</vt:lpstr>
      <vt:lpstr>'Prior Rate Case Costs'!Print_Area</vt:lpstr>
      <vt:lpstr>'Pro Forma'!Print_Area</vt:lpstr>
      <vt:lpstr>'Restaing Adjustments'!Print_Area</vt:lpstr>
      <vt:lpstr>'Semi Annual '!Print_Area</vt:lpstr>
      <vt:lpstr>Accounting!Print_Titles</vt:lpstr>
      <vt:lpstr>Depreciation!Print_Titles</vt:lpstr>
      <vt:lpstr>'Legal '!Print_Titles</vt:lpstr>
      <vt:lpstr>Payroll!Print_Titles</vt:lpstr>
      <vt:lpstr>'Pro Forma'!Print_Titles</vt:lpstr>
      <vt:lpstr>'Restaing Adjustments'!Print_Titles</vt:lpstr>
      <vt:lpstr>'Semi Annual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Johnson</dc:creator>
  <cp:lastModifiedBy>Huey, Lorilyn (UTC)</cp:lastModifiedBy>
  <cp:lastPrinted>2018-01-30T00:08:05Z</cp:lastPrinted>
  <dcterms:created xsi:type="dcterms:W3CDTF">2016-08-09T20:59:14Z</dcterms:created>
  <dcterms:modified xsi:type="dcterms:W3CDTF">2018-02-03T00:23:47Z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0x0101006E56B4D1795A2E4DB2F0B01679ED314A00A11A7F3A23C9C349B6735EC80B72BB22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