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790" yWindow="45" windowWidth="6930" windowHeight="12315" activeTab="1"/>
  </bookViews>
  <sheets>
    <sheet name="References" sheetId="4" r:id="rId1"/>
    <sheet name="Staff Calcs " sheetId="7" r:id="rId2"/>
    <sheet name="Proposed Rates" sheetId="13" r:id="rId3"/>
    <sheet name="Co Provided Priceout" sheetId="12" r:id="rId4"/>
  </sheets>
  <definedNames>
    <definedName name="_xlnm.Print_Area" localSheetId="3">'Co Provided Priceout'!$A$1:$K$89</definedName>
    <definedName name="_xlnm.Print_Area" localSheetId="1">'Staff Calcs '!$A$1:$W$48,'Staff Calcs '!$A$49:$T$80</definedName>
    <definedName name="_xlnm.Print_Titles" localSheetId="3">'Co Provided Priceout'!$1:$7</definedName>
    <definedName name="_xlnm.Print_Titles" localSheetId="2">'Proposed Rates'!$1:$6</definedName>
    <definedName name="_xlnm.Print_Titles" localSheetId="1">'Staff Calcs '!$A:$C,'Staff Calcs '!$1:$6</definedName>
  </definedNames>
  <calcPr calcId="145621" concurrentManualCount="4"/>
</workbook>
</file>

<file path=xl/calcChain.xml><?xml version="1.0" encoding="utf-8"?>
<calcChain xmlns="http://schemas.openxmlformats.org/spreadsheetml/2006/main">
  <c r="B57" i="4" l="1"/>
  <c r="D68" i="13" l="1"/>
  <c r="C68" i="13"/>
  <c r="R61" i="7" l="1"/>
  <c r="M71" i="7" l="1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42" i="7" l="1"/>
  <c r="M43" i="7"/>
  <c r="M44" i="7"/>
  <c r="M41" i="7"/>
  <c r="M46" i="7"/>
  <c r="M45" i="7"/>
  <c r="M40" i="7"/>
  <c r="M39" i="7"/>
  <c r="M38" i="7"/>
  <c r="M37" i="7"/>
  <c r="M36" i="7"/>
  <c r="M35" i="7"/>
  <c r="M34" i="7"/>
  <c r="M32" i="7"/>
  <c r="M33" i="7" s="1"/>
  <c r="M31" i="7"/>
  <c r="M30" i="7"/>
  <c r="M29" i="7"/>
  <c r="M28" i="7"/>
  <c r="M27" i="7"/>
  <c r="M26" i="7"/>
  <c r="M25" i="7"/>
  <c r="M24" i="7"/>
  <c r="M22" i="7"/>
  <c r="M21" i="7"/>
  <c r="M20" i="7"/>
  <c r="M18" i="7"/>
  <c r="M19" i="7" s="1"/>
  <c r="M17" i="7"/>
  <c r="M16" i="7"/>
  <c r="M14" i="7"/>
  <c r="M15" i="7" s="1"/>
  <c r="M13" i="7"/>
  <c r="M12" i="7"/>
  <c r="M8" i="7"/>
  <c r="M9" i="7"/>
  <c r="M10" i="7"/>
  <c r="M11" i="7"/>
  <c r="M7" i="7"/>
  <c r="G61" i="7" l="1"/>
  <c r="G60" i="7"/>
  <c r="G59" i="7"/>
  <c r="F59" i="7"/>
  <c r="H59" i="7" l="1"/>
  <c r="Y47" i="7" l="1"/>
  <c r="Y23" i="7"/>
  <c r="D47" i="7" l="1"/>
  <c r="G42" i="7"/>
  <c r="G43" i="7"/>
  <c r="G44" i="7"/>
  <c r="G41" i="7"/>
  <c r="F44" i="7"/>
  <c r="F43" i="7"/>
  <c r="F42" i="7"/>
  <c r="G35" i="7"/>
  <c r="G36" i="7"/>
  <c r="G30" i="7"/>
  <c r="G25" i="7"/>
  <c r="G26" i="7"/>
  <c r="F47" i="7" l="1"/>
  <c r="G70" i="7"/>
  <c r="G69" i="7"/>
  <c r="G68" i="7"/>
  <c r="G71" i="7"/>
  <c r="F15" i="7"/>
  <c r="P41" i="7" l="1"/>
  <c r="P42" i="7"/>
  <c r="P43" i="7"/>
  <c r="P44" i="7"/>
  <c r="P45" i="7"/>
  <c r="P15" i="7"/>
  <c r="P19" i="7"/>
  <c r="G19" i="7"/>
  <c r="D23" i="7"/>
  <c r="P21" i="7"/>
  <c r="P22" i="7"/>
  <c r="P20" i="7"/>
  <c r="G66" i="7"/>
  <c r="F66" i="7"/>
  <c r="G65" i="7"/>
  <c r="G64" i="7"/>
  <c r="G63" i="7"/>
  <c r="G62" i="7"/>
  <c r="G67" i="7"/>
  <c r="H67" i="7" s="1"/>
  <c r="G58" i="7"/>
  <c r="G56" i="7"/>
  <c r="G55" i="7"/>
  <c r="F62" i="7"/>
  <c r="F63" i="7"/>
  <c r="F67" i="7"/>
  <c r="F64" i="7"/>
  <c r="F65" i="7"/>
  <c r="G46" i="7"/>
  <c r="G45" i="7"/>
  <c r="G40" i="7"/>
  <c r="G37" i="7"/>
  <c r="G38" i="7"/>
  <c r="G39" i="7"/>
  <c r="G34" i="7"/>
  <c r="G31" i="7"/>
  <c r="G32" i="7"/>
  <c r="G33" i="7"/>
  <c r="G29" i="7"/>
  <c r="G28" i="7"/>
  <c r="G27" i="7"/>
  <c r="G24" i="7"/>
  <c r="G22" i="7"/>
  <c r="G21" i="7"/>
  <c r="G20" i="7"/>
  <c r="G18" i="7"/>
  <c r="G17" i="7"/>
  <c r="G16" i="7"/>
  <c r="G13" i="7"/>
  <c r="G12" i="7"/>
  <c r="G11" i="7"/>
  <c r="H62" i="7" l="1"/>
  <c r="H63" i="7"/>
  <c r="H64" i="7"/>
  <c r="H65" i="7"/>
  <c r="H66" i="7"/>
  <c r="D48" i="7"/>
  <c r="G57" i="7"/>
  <c r="H57" i="7" s="1"/>
  <c r="G54" i="7"/>
  <c r="H54" i="7" s="1"/>
  <c r="G53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6" i="7"/>
  <c r="P24" i="7"/>
  <c r="H46" i="7"/>
  <c r="H45" i="7"/>
  <c r="P9" i="7"/>
  <c r="P10" i="7"/>
  <c r="P11" i="7"/>
  <c r="P12" i="7"/>
  <c r="P13" i="7"/>
  <c r="P14" i="7"/>
  <c r="P16" i="7"/>
  <c r="P17" i="7"/>
  <c r="P18" i="7"/>
  <c r="G14" i="7"/>
  <c r="G7" i="7"/>
  <c r="H20" i="7"/>
  <c r="H21" i="7"/>
  <c r="H22" i="7"/>
  <c r="H15" i="7"/>
  <c r="B63" i="4"/>
  <c r="H19" i="7" l="1"/>
  <c r="P47" i="7"/>
  <c r="G52" i="7" l="1"/>
  <c r="G10" i="7"/>
  <c r="G9" i="7"/>
  <c r="G8" i="7"/>
  <c r="F58" i="7" l="1"/>
  <c r="H58" i="7" s="1"/>
  <c r="P8" i="7"/>
  <c r="H29" i="7"/>
  <c r="H30" i="7"/>
  <c r="H40" i="7"/>
  <c r="H41" i="7"/>
  <c r="H42" i="7"/>
  <c r="H43" i="7"/>
  <c r="H44" i="7"/>
  <c r="B8" i="4" l="1"/>
  <c r="B9" i="4"/>
  <c r="B10" i="4"/>
  <c r="B11" i="4"/>
  <c r="H25" i="7" l="1"/>
  <c r="H28" i="7"/>
  <c r="D10" i="4"/>
  <c r="C9" i="4"/>
  <c r="E9" i="4"/>
  <c r="G9" i="4"/>
  <c r="F10" i="4"/>
  <c r="C10" i="4"/>
  <c r="D9" i="4"/>
  <c r="F9" i="4"/>
  <c r="H9" i="4"/>
  <c r="C11" i="4"/>
  <c r="H11" i="4"/>
  <c r="E10" i="4"/>
  <c r="G10" i="4"/>
  <c r="H10" i="4"/>
  <c r="C8" i="4"/>
  <c r="D8" i="4"/>
  <c r="E8" i="4"/>
  <c r="F8" i="4"/>
  <c r="G8" i="4"/>
  <c r="H8" i="4"/>
  <c r="G11" i="4" l="1"/>
  <c r="F11" i="4"/>
  <c r="E11" i="4"/>
  <c r="D11" i="4"/>
  <c r="D78" i="7" l="1"/>
  <c r="P7" i="7"/>
  <c r="P23" i="7" s="1"/>
  <c r="G56" i="4" l="1"/>
  <c r="G57" i="4"/>
  <c r="B58" i="4"/>
  <c r="D58" i="4" s="1"/>
  <c r="S64" i="7" s="1"/>
  <c r="C57" i="4"/>
  <c r="C56" i="4"/>
  <c r="B14" i="4"/>
  <c r="B13" i="4"/>
  <c r="B12" i="4"/>
  <c r="E71" i="7" l="1"/>
  <c r="F71" i="7" s="1"/>
  <c r="H71" i="7" s="1"/>
  <c r="E69" i="7"/>
  <c r="F69" i="7" s="1"/>
  <c r="H69" i="7" s="1"/>
  <c r="E60" i="7"/>
  <c r="F60" i="7" s="1"/>
  <c r="H60" i="7" s="1"/>
  <c r="E70" i="7"/>
  <c r="F70" i="7" s="1"/>
  <c r="H70" i="7" s="1"/>
  <c r="E61" i="7"/>
  <c r="F61" i="7" s="1"/>
  <c r="H61" i="7" s="1"/>
  <c r="E68" i="7"/>
  <c r="F68" i="7" s="1"/>
  <c r="H68" i="7" s="1"/>
  <c r="B61" i="4"/>
  <c r="R64" i="7" s="1"/>
  <c r="C45" i="13"/>
  <c r="D45" i="13" s="1"/>
  <c r="E15" i="7"/>
  <c r="E12" i="7"/>
  <c r="F12" i="7" s="1"/>
  <c r="H12" i="7" s="1"/>
  <c r="E56" i="7"/>
  <c r="F56" i="7" s="1"/>
  <c r="H56" i="7" s="1"/>
  <c r="E55" i="7"/>
  <c r="F55" i="7" s="1"/>
  <c r="H55" i="7" s="1"/>
  <c r="E18" i="7"/>
  <c r="F18" i="7" s="1"/>
  <c r="H18" i="7" s="1"/>
  <c r="E57" i="7"/>
  <c r="E16" i="7"/>
  <c r="F16" i="7" s="1"/>
  <c r="H16" i="7" s="1"/>
  <c r="E14" i="7"/>
  <c r="F14" i="7" s="1"/>
  <c r="H14" i="7" s="1"/>
  <c r="E54" i="7"/>
  <c r="E17" i="7"/>
  <c r="F17" i="7" s="1"/>
  <c r="H17" i="7" s="1"/>
  <c r="E53" i="7"/>
  <c r="F53" i="7" s="1"/>
  <c r="H53" i="7" s="1"/>
  <c r="H27" i="7"/>
  <c r="E11" i="7"/>
  <c r="F11" i="7" s="1"/>
  <c r="H11" i="7" s="1"/>
  <c r="E9" i="7"/>
  <c r="F9" i="7" s="1"/>
  <c r="H9" i="7" s="1"/>
  <c r="E52" i="7"/>
  <c r="F52" i="7" s="1"/>
  <c r="H52" i="7" s="1"/>
  <c r="H26" i="7"/>
  <c r="E10" i="7"/>
  <c r="F10" i="7" s="1"/>
  <c r="H10" i="7" s="1"/>
  <c r="E13" i="7"/>
  <c r="F13" i="7" s="1"/>
  <c r="H13" i="7" s="1"/>
  <c r="E7" i="7"/>
  <c r="F7" i="7" s="1"/>
  <c r="E8" i="7"/>
  <c r="F8" i="7" s="1"/>
  <c r="H8" i="7" s="1"/>
  <c r="H13" i="4"/>
  <c r="G13" i="4"/>
  <c r="F13" i="4"/>
  <c r="E13" i="4"/>
  <c r="D13" i="4"/>
  <c r="C13" i="4"/>
  <c r="H12" i="4"/>
  <c r="C12" i="4"/>
  <c r="G12" i="4"/>
  <c r="F12" i="4"/>
  <c r="E12" i="4"/>
  <c r="D12" i="4"/>
  <c r="H14" i="4"/>
  <c r="G14" i="4"/>
  <c r="F14" i="4"/>
  <c r="E14" i="4"/>
  <c r="D14" i="4"/>
  <c r="C14" i="4"/>
  <c r="E19" i="7" s="1"/>
  <c r="G59" i="4"/>
  <c r="G61" i="4" s="1"/>
  <c r="C58" i="4"/>
  <c r="F23" i="7" l="1"/>
  <c r="H7" i="7"/>
  <c r="H23" i="7" s="1"/>
  <c r="H35" i="7"/>
  <c r="H32" i="7"/>
  <c r="H24" i="7"/>
  <c r="H31" i="7"/>
  <c r="H37" i="7"/>
  <c r="H34" i="7"/>
  <c r="B62" i="4"/>
  <c r="B64" i="4" s="1"/>
  <c r="H33" i="7" l="1"/>
  <c r="H36" i="7"/>
  <c r="H39" i="7"/>
  <c r="H38" i="7"/>
  <c r="F48" i="7"/>
  <c r="H47" i="7" l="1"/>
  <c r="H48" i="7" s="1"/>
  <c r="D80" i="7" s="1"/>
  <c r="P48" i="7"/>
  <c r="D79" i="7"/>
  <c r="I60" i="7" l="1"/>
  <c r="J60" i="7" s="1"/>
  <c r="K60" i="7" s="1"/>
  <c r="L60" i="7" s="1"/>
  <c r="I61" i="7"/>
  <c r="J61" i="7" s="1"/>
  <c r="K61" i="7" s="1"/>
  <c r="L61" i="7" s="1"/>
  <c r="N61" i="7" s="1"/>
  <c r="I59" i="7"/>
  <c r="J59" i="7" s="1"/>
  <c r="K59" i="7" s="1"/>
  <c r="L59" i="7" s="1"/>
  <c r="I71" i="7"/>
  <c r="J71" i="7" s="1"/>
  <c r="K71" i="7" s="1"/>
  <c r="L71" i="7" s="1"/>
  <c r="I68" i="7"/>
  <c r="J68" i="7" s="1"/>
  <c r="K68" i="7" s="1"/>
  <c r="L68" i="7" s="1"/>
  <c r="I69" i="7"/>
  <c r="J69" i="7" s="1"/>
  <c r="K69" i="7" s="1"/>
  <c r="L69" i="7" s="1"/>
  <c r="I70" i="7"/>
  <c r="J70" i="7" s="1"/>
  <c r="K70" i="7" s="1"/>
  <c r="L70" i="7" s="1"/>
  <c r="I66" i="7"/>
  <c r="J66" i="7" s="1"/>
  <c r="K66" i="7" s="1"/>
  <c r="I63" i="7"/>
  <c r="J63" i="7" s="1"/>
  <c r="K63" i="7" s="1"/>
  <c r="I62" i="7"/>
  <c r="J62" i="7" s="1"/>
  <c r="K62" i="7" s="1"/>
  <c r="I67" i="7"/>
  <c r="J67" i="7" s="1"/>
  <c r="K67" i="7" s="1"/>
  <c r="I64" i="7"/>
  <c r="J64" i="7" s="1"/>
  <c r="K64" i="7" s="1"/>
  <c r="I65" i="7"/>
  <c r="J65" i="7" s="1"/>
  <c r="K65" i="7" s="1"/>
  <c r="I56" i="7"/>
  <c r="J56" i="7" s="1"/>
  <c r="K56" i="7" s="1"/>
  <c r="I55" i="7"/>
  <c r="J55" i="7" s="1"/>
  <c r="K55" i="7" s="1"/>
  <c r="I7" i="7"/>
  <c r="J7" i="7" s="1"/>
  <c r="I54" i="7"/>
  <c r="J54" i="7" s="1"/>
  <c r="K54" i="7" s="1"/>
  <c r="I57" i="7"/>
  <c r="J57" i="7" s="1"/>
  <c r="K57" i="7" s="1"/>
  <c r="I45" i="7"/>
  <c r="J45" i="7" s="1"/>
  <c r="K45" i="7" s="1"/>
  <c r="L45" i="7" s="1"/>
  <c r="I46" i="7"/>
  <c r="J46" i="7" s="1"/>
  <c r="K46" i="7" s="1"/>
  <c r="L46" i="7" s="1"/>
  <c r="I9" i="7"/>
  <c r="J9" i="7" s="1"/>
  <c r="K9" i="7" s="1"/>
  <c r="I11" i="7"/>
  <c r="J11" i="7" s="1"/>
  <c r="K11" i="7" s="1"/>
  <c r="I13" i="7"/>
  <c r="J13" i="7" s="1"/>
  <c r="K13" i="7" s="1"/>
  <c r="I15" i="7"/>
  <c r="J15" i="7" s="1"/>
  <c r="K15" i="7" s="1"/>
  <c r="L15" i="7" s="1"/>
  <c r="I17" i="7"/>
  <c r="J17" i="7" s="1"/>
  <c r="K17" i="7" s="1"/>
  <c r="I19" i="7"/>
  <c r="J19" i="7" s="1"/>
  <c r="K19" i="7" s="1"/>
  <c r="L19" i="7" s="1"/>
  <c r="I21" i="7"/>
  <c r="J21" i="7" s="1"/>
  <c r="K21" i="7" s="1"/>
  <c r="I8" i="7"/>
  <c r="J8" i="7" s="1"/>
  <c r="K8" i="7" s="1"/>
  <c r="I10" i="7"/>
  <c r="J10" i="7" s="1"/>
  <c r="K10" i="7" s="1"/>
  <c r="I12" i="7"/>
  <c r="J12" i="7" s="1"/>
  <c r="K12" i="7" s="1"/>
  <c r="I14" i="7"/>
  <c r="J14" i="7" s="1"/>
  <c r="K14" i="7" s="1"/>
  <c r="L14" i="7" s="1"/>
  <c r="C20" i="13" s="1"/>
  <c r="I16" i="7"/>
  <c r="J16" i="7" s="1"/>
  <c r="K16" i="7" s="1"/>
  <c r="I18" i="7"/>
  <c r="J18" i="7" s="1"/>
  <c r="K18" i="7" s="1"/>
  <c r="L18" i="7" s="1"/>
  <c r="I20" i="7"/>
  <c r="J20" i="7" s="1"/>
  <c r="K20" i="7" s="1"/>
  <c r="I22" i="7"/>
  <c r="J22" i="7" s="1"/>
  <c r="K22" i="7" s="1"/>
  <c r="I52" i="7"/>
  <c r="J52" i="7" s="1"/>
  <c r="I53" i="7"/>
  <c r="J53" i="7" s="1"/>
  <c r="I58" i="7"/>
  <c r="J58" i="7" s="1"/>
  <c r="I24" i="7"/>
  <c r="I25" i="7"/>
  <c r="J25" i="7" s="1"/>
  <c r="I44" i="7"/>
  <c r="J44" i="7" s="1"/>
  <c r="I29" i="7"/>
  <c r="J29" i="7" s="1"/>
  <c r="I28" i="7"/>
  <c r="J28" i="7" s="1"/>
  <c r="I37" i="7"/>
  <c r="J37" i="7" s="1"/>
  <c r="I36" i="7"/>
  <c r="J36" i="7" s="1"/>
  <c r="I42" i="7"/>
  <c r="J42" i="7" s="1"/>
  <c r="I41" i="7"/>
  <c r="J41" i="7" s="1"/>
  <c r="I33" i="7"/>
  <c r="J33" i="7" s="1"/>
  <c r="I40" i="7"/>
  <c r="J40" i="7" s="1"/>
  <c r="I32" i="7"/>
  <c r="J32" i="7" s="1"/>
  <c r="I43" i="7"/>
  <c r="J43" i="7" s="1"/>
  <c r="I39" i="7"/>
  <c r="J39" i="7" s="1"/>
  <c r="I35" i="7"/>
  <c r="J35" i="7" s="1"/>
  <c r="I27" i="7"/>
  <c r="J27" i="7" s="1"/>
  <c r="I31" i="7"/>
  <c r="J31" i="7" s="1"/>
  <c r="I38" i="7"/>
  <c r="J38" i="7" s="1"/>
  <c r="I34" i="7"/>
  <c r="J34" i="7" s="1"/>
  <c r="I30" i="7"/>
  <c r="J30" i="7" s="1"/>
  <c r="I26" i="7"/>
  <c r="J26" i="7" s="1"/>
  <c r="C24" i="13" l="1"/>
  <c r="D24" i="13" s="1"/>
  <c r="O18" i="7" s="1"/>
  <c r="C106" i="13"/>
  <c r="C83" i="13"/>
  <c r="D83" i="13" s="1"/>
  <c r="O46" i="7" s="1"/>
  <c r="Q46" i="7" s="1"/>
  <c r="R46" i="7" s="1"/>
  <c r="C86" i="13"/>
  <c r="C75" i="13"/>
  <c r="C76" i="13" s="1"/>
  <c r="N60" i="7"/>
  <c r="C51" i="13"/>
  <c r="N59" i="7"/>
  <c r="C91" i="13"/>
  <c r="D91" i="13" s="1"/>
  <c r="O67" i="7" s="1"/>
  <c r="N71" i="7"/>
  <c r="C53" i="13"/>
  <c r="C96" i="13"/>
  <c r="N68" i="7"/>
  <c r="C93" i="13"/>
  <c r="N69" i="7"/>
  <c r="C94" i="13"/>
  <c r="N70" i="7"/>
  <c r="C95" i="13"/>
  <c r="C52" i="13"/>
  <c r="D20" i="13"/>
  <c r="N18" i="7"/>
  <c r="S18" i="7" s="1"/>
  <c r="N46" i="7"/>
  <c r="S46" i="7" s="1"/>
  <c r="N45" i="7"/>
  <c r="S45" i="7" s="1"/>
  <c r="L54" i="7"/>
  <c r="N54" i="7" s="1"/>
  <c r="L55" i="7"/>
  <c r="L65" i="7"/>
  <c r="N65" i="7" s="1"/>
  <c r="L67" i="7"/>
  <c r="L62" i="7"/>
  <c r="N62" i="7" s="1"/>
  <c r="L66" i="7"/>
  <c r="N66" i="7" s="1"/>
  <c r="L57" i="7"/>
  <c r="C87" i="13" s="1"/>
  <c r="L56" i="7"/>
  <c r="L64" i="7"/>
  <c r="L63" i="7"/>
  <c r="N63" i="7" s="1"/>
  <c r="L22" i="7"/>
  <c r="N14" i="7"/>
  <c r="L10" i="7"/>
  <c r="L21" i="7"/>
  <c r="C30" i="13" s="1"/>
  <c r="L17" i="7"/>
  <c r="L13" i="7"/>
  <c r="L9" i="7"/>
  <c r="L20" i="7"/>
  <c r="L16" i="7"/>
  <c r="L12" i="7"/>
  <c r="L8" i="7"/>
  <c r="N19" i="7"/>
  <c r="S19" i="7" s="1"/>
  <c r="N15" i="7"/>
  <c r="S15" i="7" s="1"/>
  <c r="L11" i="7"/>
  <c r="J24" i="7"/>
  <c r="K24" i="7" s="1"/>
  <c r="L24" i="7" s="1"/>
  <c r="C48" i="13" s="1"/>
  <c r="I47" i="7"/>
  <c r="I23" i="7"/>
  <c r="K53" i="7"/>
  <c r="K58" i="7"/>
  <c r="K52" i="7"/>
  <c r="K7" i="7"/>
  <c r="K30" i="7"/>
  <c r="L30" i="7" s="1"/>
  <c r="K38" i="7"/>
  <c r="L38" i="7" s="1"/>
  <c r="K27" i="7"/>
  <c r="L27" i="7" s="1"/>
  <c r="K39" i="7"/>
  <c r="L39" i="7" s="1"/>
  <c r="K32" i="7"/>
  <c r="L32" i="7" s="1"/>
  <c r="K33" i="7"/>
  <c r="L33" i="7" s="1"/>
  <c r="K42" i="7"/>
  <c r="L42" i="7" s="1"/>
  <c r="K37" i="7"/>
  <c r="L37" i="7" s="1"/>
  <c r="K29" i="7"/>
  <c r="L29" i="7" s="1"/>
  <c r="C49" i="13" s="1"/>
  <c r="K25" i="7"/>
  <c r="L25" i="7" s="1"/>
  <c r="K26" i="7"/>
  <c r="L26" i="7" s="1"/>
  <c r="K34" i="7"/>
  <c r="L34" i="7" s="1"/>
  <c r="C50" i="13" s="1"/>
  <c r="K31" i="7"/>
  <c r="L31" i="7" s="1"/>
  <c r="K35" i="7"/>
  <c r="L35" i="7" s="1"/>
  <c r="K43" i="7"/>
  <c r="L43" i="7" s="1"/>
  <c r="K40" i="7"/>
  <c r="L40" i="7" s="1"/>
  <c r="C37" i="13" s="1"/>
  <c r="K41" i="7"/>
  <c r="L41" i="7" s="1"/>
  <c r="K36" i="7"/>
  <c r="L36" i="7" s="1"/>
  <c r="K28" i="7"/>
  <c r="L28" i="7" s="1"/>
  <c r="K44" i="7"/>
  <c r="L44" i="7" s="1"/>
  <c r="O19" i="7" l="1"/>
  <c r="Q19" i="7" s="1"/>
  <c r="R19" i="7" s="1"/>
  <c r="Q18" i="7"/>
  <c r="R18" i="7" s="1"/>
  <c r="C81" i="13"/>
  <c r="D81" i="13" s="1"/>
  <c r="O40" i="7" s="1"/>
  <c r="Q40" i="7" s="1"/>
  <c r="R40" i="7" s="1"/>
  <c r="C39" i="13"/>
  <c r="D39" i="13" s="1"/>
  <c r="C104" i="13"/>
  <c r="C38" i="13"/>
  <c r="D38" i="13" s="1"/>
  <c r="C42" i="13"/>
  <c r="D42" i="13" s="1"/>
  <c r="C57" i="13"/>
  <c r="C64" i="13"/>
  <c r="C21" i="13"/>
  <c r="D21" i="13" s="1"/>
  <c r="O16" i="7" s="1"/>
  <c r="Q16" i="7" s="1"/>
  <c r="R16" i="7" s="1"/>
  <c r="C22" i="13"/>
  <c r="D22" i="13" s="1"/>
  <c r="O17" i="7" s="1"/>
  <c r="Q17" i="7" s="1"/>
  <c r="R17" i="7" s="1"/>
  <c r="C8" i="13"/>
  <c r="D8" i="13" s="1"/>
  <c r="O22" i="7" s="1"/>
  <c r="Q22" i="7" s="1"/>
  <c r="R22" i="7" s="1"/>
  <c r="D52" i="13"/>
  <c r="O60" i="7" s="1"/>
  <c r="C59" i="13"/>
  <c r="D59" i="13" s="1"/>
  <c r="C34" i="13"/>
  <c r="D34" i="13" s="1"/>
  <c r="O20" i="7" s="1"/>
  <c r="Q20" i="7" s="1"/>
  <c r="R20" i="7" s="1"/>
  <c r="C31" i="13"/>
  <c r="C32" i="13" s="1"/>
  <c r="C33" i="13" s="1"/>
  <c r="D33" i="13" s="1"/>
  <c r="D53" i="13"/>
  <c r="O61" i="7" s="1"/>
  <c r="C60" i="13"/>
  <c r="D60" i="13" s="1"/>
  <c r="C62" i="13"/>
  <c r="C55" i="13"/>
  <c r="C12" i="13"/>
  <c r="D12" i="13" s="1"/>
  <c r="O8" i="7" s="1"/>
  <c r="Q8" i="7" s="1"/>
  <c r="R8" i="7" s="1"/>
  <c r="C13" i="13"/>
  <c r="D13" i="13" s="1"/>
  <c r="O9" i="7" s="1"/>
  <c r="Q9" i="7" s="1"/>
  <c r="R9" i="7" s="1"/>
  <c r="C14" i="13"/>
  <c r="D14" i="13" s="1"/>
  <c r="O10" i="7" s="1"/>
  <c r="Q10" i="7" s="1"/>
  <c r="R10" i="7" s="1"/>
  <c r="D51" i="13"/>
  <c r="O59" i="7" s="1"/>
  <c r="C58" i="13"/>
  <c r="N41" i="7"/>
  <c r="S41" i="7" s="1"/>
  <c r="C90" i="13"/>
  <c r="D90" i="13" s="1"/>
  <c r="C108" i="13"/>
  <c r="C63" i="13"/>
  <c r="C56" i="13"/>
  <c r="C15" i="13"/>
  <c r="D15" i="13" s="1"/>
  <c r="O11" i="7" s="1"/>
  <c r="Q11" i="7" s="1"/>
  <c r="R11" i="7" s="1"/>
  <c r="D17" i="13"/>
  <c r="O12" i="7" s="1"/>
  <c r="Q12" i="7" s="1"/>
  <c r="R12" i="7" s="1"/>
  <c r="C17" i="13"/>
  <c r="C18" i="13"/>
  <c r="D18" i="13" s="1"/>
  <c r="O13" i="7" s="1"/>
  <c r="Q13" i="7" s="1"/>
  <c r="R13" i="7" s="1"/>
  <c r="O14" i="7"/>
  <c r="O15" i="7" s="1"/>
  <c r="Q15" i="7" s="1"/>
  <c r="R15" i="7" s="1"/>
  <c r="D58" i="13"/>
  <c r="C65" i="13"/>
  <c r="D65" i="13" s="1"/>
  <c r="N64" i="7"/>
  <c r="D76" i="13"/>
  <c r="O64" i="7" s="1"/>
  <c r="D96" i="13"/>
  <c r="O71" i="7" s="1"/>
  <c r="C102" i="13"/>
  <c r="D102" i="13" s="1"/>
  <c r="N55" i="7"/>
  <c r="C72" i="13"/>
  <c r="C85" i="13"/>
  <c r="D85" i="13" s="1"/>
  <c r="D94" i="13"/>
  <c r="O69" i="7" s="1"/>
  <c r="C100" i="13"/>
  <c r="D100" i="13" s="1"/>
  <c r="N57" i="7"/>
  <c r="D87" i="13"/>
  <c r="C78" i="13"/>
  <c r="D78" i="13" s="1"/>
  <c r="O65" i="7" s="1"/>
  <c r="C79" i="13"/>
  <c r="D79" i="13" s="1"/>
  <c r="O66" i="7" s="1"/>
  <c r="D104" i="13"/>
  <c r="N56" i="7"/>
  <c r="D86" i="13"/>
  <c r="D75" i="13"/>
  <c r="N67" i="7"/>
  <c r="D95" i="13"/>
  <c r="O70" i="7" s="1"/>
  <c r="C101" i="13"/>
  <c r="D101" i="13" s="1"/>
  <c r="D93" i="13"/>
  <c r="O68" i="7" s="1"/>
  <c r="C99" i="13"/>
  <c r="D99" i="13" s="1"/>
  <c r="D64" i="13"/>
  <c r="D50" i="13"/>
  <c r="O55" i="7"/>
  <c r="C25" i="13"/>
  <c r="D25" i="13" s="1"/>
  <c r="D49" i="13"/>
  <c r="D48" i="13"/>
  <c r="C23" i="13"/>
  <c r="D23" i="13" s="1"/>
  <c r="O54" i="7" s="1"/>
  <c r="D37" i="13"/>
  <c r="C26" i="13"/>
  <c r="D26" i="13" s="1"/>
  <c r="O56" i="7" s="1"/>
  <c r="D30" i="13"/>
  <c r="O21" i="7" s="1"/>
  <c r="Q21" i="7" s="1"/>
  <c r="R21" i="7" s="1"/>
  <c r="O57" i="7"/>
  <c r="C27" i="13"/>
  <c r="D27" i="13" s="1"/>
  <c r="N8" i="7"/>
  <c r="U8" i="7" s="1"/>
  <c r="N26" i="7"/>
  <c r="S26" i="7" s="1"/>
  <c r="N22" i="7"/>
  <c r="S22" i="7" s="1"/>
  <c r="N36" i="7"/>
  <c r="N20" i="7"/>
  <c r="S20" i="7" s="1"/>
  <c r="N29" i="7"/>
  <c r="U29" i="7" s="1"/>
  <c r="N37" i="7"/>
  <c r="N11" i="7"/>
  <c r="U11" i="7" s="1"/>
  <c r="N13" i="7"/>
  <c r="U13" i="7" s="1"/>
  <c r="N32" i="7"/>
  <c r="S32" i="7" s="1"/>
  <c r="N10" i="7"/>
  <c r="U10" i="7" s="1"/>
  <c r="N39" i="7"/>
  <c r="N28" i="7"/>
  <c r="S28" i="7" s="1"/>
  <c r="N16" i="7"/>
  <c r="S16" i="7" s="1"/>
  <c r="N38" i="7"/>
  <c r="S38" i="7" s="1"/>
  <c r="N30" i="7"/>
  <c r="S30" i="7" s="1"/>
  <c r="N9" i="7"/>
  <c r="U9" i="7" s="1"/>
  <c r="N17" i="7"/>
  <c r="U17" i="7" s="1"/>
  <c r="N31" i="7"/>
  <c r="N34" i="7"/>
  <c r="S34" i="7" s="1"/>
  <c r="N12" i="7"/>
  <c r="U12" i="7" s="1"/>
  <c r="N27" i="7"/>
  <c r="N25" i="7"/>
  <c r="S25" i="7" s="1"/>
  <c r="N24" i="7"/>
  <c r="S24" i="7" s="1"/>
  <c r="N40" i="7"/>
  <c r="S40" i="7" s="1"/>
  <c r="N35" i="7"/>
  <c r="N33" i="7"/>
  <c r="S33" i="7" s="1"/>
  <c r="N21" i="7"/>
  <c r="S21" i="7" s="1"/>
  <c r="N43" i="7"/>
  <c r="N42" i="7"/>
  <c r="S42" i="7" s="1"/>
  <c r="L52" i="7"/>
  <c r="N52" i="7" s="1"/>
  <c r="L53" i="7"/>
  <c r="N53" i="7" s="1"/>
  <c r="N44" i="7"/>
  <c r="S44" i="7" s="1"/>
  <c r="L58" i="7"/>
  <c r="N58" i="7" s="1"/>
  <c r="U15" i="7"/>
  <c r="U18" i="7"/>
  <c r="U19" i="7"/>
  <c r="T19" i="7"/>
  <c r="U14" i="7"/>
  <c r="S14" i="7"/>
  <c r="L7" i="7"/>
  <c r="U45" i="7"/>
  <c r="U46" i="7"/>
  <c r="Y46" i="7" s="1"/>
  <c r="T46" i="7"/>
  <c r="I48" i="7"/>
  <c r="T18" i="7" l="1"/>
  <c r="C66" i="13"/>
  <c r="D66" i="13" s="1"/>
  <c r="C11" i="13"/>
  <c r="D11" i="13" s="1"/>
  <c r="O7" i="7" s="1"/>
  <c r="Q7" i="7" s="1"/>
  <c r="D31" i="13"/>
  <c r="D32" i="13"/>
  <c r="O45" i="7"/>
  <c r="Q45" i="7" s="1"/>
  <c r="R45" i="7" s="1"/>
  <c r="O39" i="7"/>
  <c r="Q39" i="7" s="1"/>
  <c r="R39" i="7" s="1"/>
  <c r="T15" i="7"/>
  <c r="Y15" i="7"/>
  <c r="Q14" i="7"/>
  <c r="R14" i="7" s="1"/>
  <c r="U16" i="7"/>
  <c r="Y16" i="7" s="1"/>
  <c r="O24" i="7"/>
  <c r="Q24" i="7" s="1"/>
  <c r="R24" i="7" s="1"/>
  <c r="O25" i="7"/>
  <c r="Q25" i="7" s="1"/>
  <c r="R25" i="7" s="1"/>
  <c r="O26" i="7"/>
  <c r="Q26" i="7" s="1"/>
  <c r="R26" i="7" s="1"/>
  <c r="O27" i="7"/>
  <c r="Q27" i="7" s="1"/>
  <c r="R27" i="7" s="1"/>
  <c r="O44" i="7"/>
  <c r="Q44" i="7" s="1"/>
  <c r="R44" i="7" s="1"/>
  <c r="O41" i="7"/>
  <c r="Q41" i="7" s="1"/>
  <c r="R41" i="7" s="1"/>
  <c r="O42" i="7"/>
  <c r="Q42" i="7" s="1"/>
  <c r="R42" i="7" s="1"/>
  <c r="O43" i="7"/>
  <c r="Q43" i="7" s="1"/>
  <c r="R43" i="7" s="1"/>
  <c r="O29" i="7"/>
  <c r="Q29" i="7" s="1"/>
  <c r="R29" i="7" s="1"/>
  <c r="O30" i="7"/>
  <c r="Q30" i="7" s="1"/>
  <c r="R30" i="7" s="1"/>
  <c r="O31" i="7"/>
  <c r="Q31" i="7" s="1"/>
  <c r="R31" i="7" s="1"/>
  <c r="O35" i="7"/>
  <c r="Q35" i="7" s="1"/>
  <c r="R35" i="7" s="1"/>
  <c r="O36" i="7"/>
  <c r="Q36" i="7" s="1"/>
  <c r="R36" i="7" s="1"/>
  <c r="O34" i="7"/>
  <c r="Q34" i="7" s="1"/>
  <c r="R34" i="7" s="1"/>
  <c r="O37" i="7"/>
  <c r="Q37" i="7" s="1"/>
  <c r="R37" i="7" s="1"/>
  <c r="D108" i="13"/>
  <c r="D106" i="13"/>
  <c r="C73" i="13"/>
  <c r="D73" i="13" s="1"/>
  <c r="O63" i="7" s="1"/>
  <c r="D72" i="13"/>
  <c r="O62" i="7" s="1"/>
  <c r="D55" i="13"/>
  <c r="D62" i="13"/>
  <c r="D56" i="13"/>
  <c r="D63" i="13"/>
  <c r="D57" i="13"/>
  <c r="S13" i="7"/>
  <c r="T13" i="7" s="1"/>
  <c r="T16" i="7"/>
  <c r="S17" i="7"/>
  <c r="T17" i="7" s="1"/>
  <c r="S8" i="7"/>
  <c r="T8" i="7" s="1"/>
  <c r="T20" i="7"/>
  <c r="U20" i="7"/>
  <c r="Y20" i="7" s="1"/>
  <c r="S9" i="7"/>
  <c r="T9" i="7" s="1"/>
  <c r="C19" i="13"/>
  <c r="D19" i="13" s="1"/>
  <c r="O53" i="7" s="1"/>
  <c r="S12" i="7"/>
  <c r="T12" i="7" s="1"/>
  <c r="U33" i="7"/>
  <c r="V33" i="7" s="1"/>
  <c r="W33" i="7" s="1"/>
  <c r="C16" i="13"/>
  <c r="D16" i="13" s="1"/>
  <c r="O52" i="7" s="1"/>
  <c r="T21" i="7"/>
  <c r="U21" i="7"/>
  <c r="Y21" i="7" s="1"/>
  <c r="S11" i="7"/>
  <c r="T11" i="7" s="1"/>
  <c r="N7" i="7"/>
  <c r="U7" i="7" s="1"/>
  <c r="T22" i="7"/>
  <c r="U22" i="7"/>
  <c r="Y22" i="7" s="1"/>
  <c r="S10" i="7"/>
  <c r="T10" i="7" s="1"/>
  <c r="V45" i="7"/>
  <c r="W45" i="7" s="1"/>
  <c r="V9" i="7"/>
  <c r="W9" i="7" s="1"/>
  <c r="Y9" i="7"/>
  <c r="V17" i="7"/>
  <c r="W17" i="7" s="1"/>
  <c r="Y17" i="7"/>
  <c r="V29" i="7"/>
  <c r="W29" i="7" s="1"/>
  <c r="V19" i="7"/>
  <c r="W19" i="7" s="1"/>
  <c r="Y19" i="7"/>
  <c r="V8" i="7"/>
  <c r="W8" i="7" s="1"/>
  <c r="Y8" i="7"/>
  <c r="V13" i="7"/>
  <c r="W13" i="7" s="1"/>
  <c r="Y13" i="7"/>
  <c r="V11" i="7"/>
  <c r="W11" i="7" s="1"/>
  <c r="Y11" i="7"/>
  <c r="V18" i="7"/>
  <c r="W18" i="7" s="1"/>
  <c r="Y18" i="7"/>
  <c r="V10" i="7"/>
  <c r="W10" i="7" s="1"/>
  <c r="Y10" i="7"/>
  <c r="V14" i="7"/>
  <c r="W14" i="7" s="1"/>
  <c r="Y14" i="7"/>
  <c r="V12" i="7"/>
  <c r="W12" i="7" s="1"/>
  <c r="Y12" i="7"/>
  <c r="S43" i="7"/>
  <c r="V15" i="7"/>
  <c r="W15" i="7" s="1"/>
  <c r="U43" i="7"/>
  <c r="U44" i="7"/>
  <c r="V46" i="7"/>
  <c r="W46" i="7" s="1"/>
  <c r="S29" i="7"/>
  <c r="S27" i="7"/>
  <c r="S39" i="7"/>
  <c r="U37" i="7"/>
  <c r="S37" i="7"/>
  <c r="S35" i="7"/>
  <c r="U36" i="7"/>
  <c r="S36" i="7"/>
  <c r="S31" i="7"/>
  <c r="U42" i="7"/>
  <c r="U40" i="7"/>
  <c r="U41" i="7"/>
  <c r="U25" i="7"/>
  <c r="U28" i="7"/>
  <c r="U24" i="7"/>
  <c r="U34" i="7"/>
  <c r="U30" i="7"/>
  <c r="U26" i="7"/>
  <c r="U38" i="7"/>
  <c r="U39" i="7"/>
  <c r="U35" i="7"/>
  <c r="T40" i="7"/>
  <c r="U27" i="7"/>
  <c r="U32" i="7"/>
  <c r="U31" i="7"/>
  <c r="V16" i="7" l="1"/>
  <c r="W16" i="7" s="1"/>
  <c r="T39" i="7"/>
  <c r="Y45" i="7"/>
  <c r="T14" i="7"/>
  <c r="T45" i="7"/>
  <c r="T31" i="7"/>
  <c r="T37" i="7"/>
  <c r="Y43" i="7"/>
  <c r="T41" i="7"/>
  <c r="O32" i="7"/>
  <c r="O33" i="7" s="1"/>
  <c r="Q33" i="7" s="1"/>
  <c r="O28" i="7"/>
  <c r="Q28" i="7" s="1"/>
  <c r="R28" i="7" s="1"/>
  <c r="O38" i="7"/>
  <c r="Q38" i="7" s="1"/>
  <c r="R38" i="7" s="1"/>
  <c r="O58" i="7"/>
  <c r="Y29" i="7"/>
  <c r="T30" i="7"/>
  <c r="T34" i="7"/>
  <c r="T43" i="7"/>
  <c r="Y25" i="7"/>
  <c r="T25" i="7"/>
  <c r="T26" i="7"/>
  <c r="T24" i="7"/>
  <c r="T42" i="7"/>
  <c r="T36" i="7"/>
  <c r="T44" i="7"/>
  <c r="T35" i="7"/>
  <c r="T29" i="7"/>
  <c r="Y24" i="7"/>
  <c r="T27" i="7"/>
  <c r="V21" i="7"/>
  <c r="W21" i="7" s="1"/>
  <c r="V20" i="7"/>
  <c r="W20" i="7" s="1"/>
  <c r="Q23" i="7"/>
  <c r="R7" i="7"/>
  <c r="R23" i="7" s="1"/>
  <c r="R56" i="7" s="1"/>
  <c r="S56" i="7" s="1"/>
  <c r="V22" i="7"/>
  <c r="W22" i="7" s="1"/>
  <c r="S7" i="7"/>
  <c r="S23" i="7" s="1"/>
  <c r="V35" i="7"/>
  <c r="W35" i="7" s="1"/>
  <c r="Y35" i="7"/>
  <c r="V34" i="7"/>
  <c r="W34" i="7" s="1"/>
  <c r="Y34" i="7"/>
  <c r="V41" i="7"/>
  <c r="W41" i="7" s="1"/>
  <c r="Y41" i="7"/>
  <c r="V7" i="7"/>
  <c r="W7" i="7" s="1"/>
  <c r="Y7" i="7"/>
  <c r="V42" i="7"/>
  <c r="W42" i="7" s="1"/>
  <c r="Y42" i="7"/>
  <c r="V26" i="7"/>
  <c r="W26" i="7" s="1"/>
  <c r="Y26" i="7"/>
  <c r="V40" i="7"/>
  <c r="W40" i="7" s="1"/>
  <c r="Y40" i="7"/>
  <c r="V31" i="7"/>
  <c r="W31" i="7" s="1"/>
  <c r="Y31" i="7"/>
  <c r="V37" i="7"/>
  <c r="W37" i="7" s="1"/>
  <c r="Y37" i="7"/>
  <c r="V27" i="7"/>
  <c r="W27" i="7" s="1"/>
  <c r="Y27" i="7"/>
  <c r="V39" i="7"/>
  <c r="W39" i="7" s="1"/>
  <c r="Y39" i="7"/>
  <c r="V36" i="7"/>
  <c r="W36" i="7" s="1"/>
  <c r="Y36" i="7"/>
  <c r="V38" i="7"/>
  <c r="V44" i="7"/>
  <c r="W44" i="7" s="1"/>
  <c r="Y44" i="7"/>
  <c r="V32" i="7"/>
  <c r="W32" i="7" s="1"/>
  <c r="V30" i="7"/>
  <c r="W30" i="7" s="1"/>
  <c r="Y30" i="7"/>
  <c r="V43" i="7"/>
  <c r="W43" i="7" s="1"/>
  <c r="S47" i="7"/>
  <c r="V24" i="7"/>
  <c r="V28" i="7"/>
  <c r="W28" i="7" s="1"/>
  <c r="V25" i="7"/>
  <c r="W25" i="7" s="1"/>
  <c r="Y28" i="7" l="1"/>
  <c r="Y32" i="7"/>
  <c r="Q32" i="7"/>
  <c r="T32" i="7" s="1"/>
  <c r="T28" i="7"/>
  <c r="Y38" i="7"/>
  <c r="T38" i="7"/>
  <c r="Y33" i="7"/>
  <c r="T7" i="7"/>
  <c r="T23" i="7" s="1"/>
  <c r="R33" i="7"/>
  <c r="T33" i="7"/>
  <c r="W23" i="7"/>
  <c r="V23" i="7"/>
  <c r="W24" i="7"/>
  <c r="V47" i="7"/>
  <c r="S48" i="7"/>
  <c r="W38" i="7"/>
  <c r="Q47" i="7" l="1"/>
  <c r="Q48" i="7" s="1"/>
  <c r="R32" i="7"/>
  <c r="R47" i="7" s="1"/>
  <c r="T47" i="7"/>
  <c r="T48" i="7" s="1"/>
  <c r="V48" i="7"/>
  <c r="W47" i="7"/>
  <c r="W48" i="7" s="1"/>
  <c r="R48" i="7" l="1"/>
  <c r="R50" i="7" s="1"/>
  <c r="R57" i="7"/>
  <c r="R58" i="7" l="1"/>
  <c r="R66" i="7" s="1"/>
  <c r="S57" i="7"/>
  <c r="R51" i="7"/>
  <c r="R52" i="7" s="1"/>
  <c r="B69" i="4"/>
  <c r="B70" i="4" s="1"/>
</calcChain>
</file>

<file path=xl/comments1.xml><?xml version="1.0" encoding="utf-8"?>
<comments xmlns="http://schemas.openxmlformats.org/spreadsheetml/2006/main">
  <authors>
    <author>Ann LaRue</author>
  </authors>
  <commentList>
    <comment ref="E15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
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Per pcik up rate applies here.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annual pick ups and use single can weight.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tripled annual pick ups and use single can weight.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quadrupled annual pick ups and use single can weight.</t>
        </r>
      </text>
    </comment>
  </commentList>
</comments>
</file>

<file path=xl/sharedStrings.xml><?xml version="1.0" encoding="utf-8"?>
<sst xmlns="http://schemas.openxmlformats.org/spreadsheetml/2006/main" count="469" uniqueCount="379">
  <si>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</si>
  <si>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</si>
  <si>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</si>
  <si>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</si>
  <si>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</si>
  <si>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</si>
  <si>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</si>
  <si>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</si>
  <si>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</si>
  <si>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</si>
  <si>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</si>
  <si>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</si>
  <si>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</si>
  <si>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</si>
  <si>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</si>
  <si>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</si>
  <si>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</si>
  <si>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</si>
  <si>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</si>
  <si>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</si>
  <si>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</si>
  <si>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</si>
  <si>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</si>
  <si>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</si>
  <si>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</si>
  <si>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</si>
  <si>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</si>
  <si>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</si>
  <si>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</si>
  <si>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</si>
  <si>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</si>
  <si>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</si>
  <si>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</si>
  <si>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</si>
  <si>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</si>
  <si>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</si>
  <si>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</si>
  <si>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</si>
  <si>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</si>
  <si>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</si>
  <si>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</si>
  <si>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</si>
  <si>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</si>
  <si>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</si>
  <si>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Tariff Rate Increase</t>
  </si>
  <si>
    <t>Company Increased Revenue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</si>
  <si>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</si>
  <si>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</si>
  <si>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</si>
  <si>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</si>
  <si>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</si>
  <si>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</si>
  <si>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</si>
  <si>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</si>
  <si>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</si>
  <si>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</si>
  <si>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</si>
  <si>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</si>
  <si>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</si>
  <si>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</si>
  <si>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</si>
  <si>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</si>
  <si>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</si>
  <si>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</si>
  <si>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</si>
  <si>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</si>
  <si>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</si>
  <si>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</si>
  <si>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</si>
  <si>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</si>
  <si>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</si>
  <si>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</si>
  <si>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</si>
  <si>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</si>
  <si>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</si>
  <si>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</si>
  <si>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</si>
  <si>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</si>
  <si>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</si>
  <si>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</si>
  <si>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</si>
  <si>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</si>
  <si>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</si>
  <si>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</si>
  <si>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</si>
  <si>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</si>
  <si>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</si>
  <si>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</si>
  <si>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</si>
  <si>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</si>
  <si>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Annual</t>
  </si>
  <si>
    <t>Revenue</t>
  </si>
  <si>
    <t>Customers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</si>
  <si>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</si>
  <si>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</si>
  <si>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</si>
  <si>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</si>
  <si>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</si>
  <si>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</si>
  <si>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</si>
  <si>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</si>
  <si>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</si>
  <si>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Service Code</t>
  </si>
  <si>
    <t>Service Code Description</t>
  </si>
  <si>
    <t>* not on meeks - calculated by staff</t>
  </si>
  <si>
    <t>6 yd container (2)</t>
  </si>
  <si>
    <t>4 yd container (2)</t>
  </si>
  <si>
    <t>3 yd container (2)</t>
  </si>
  <si>
    <t>1.5 yd container (2)</t>
  </si>
  <si>
    <t>Jefferson County</t>
  </si>
  <si>
    <t>Transfer Station</t>
  </si>
  <si>
    <t>1-20 GAL CAN WEEKLY SVC</t>
  </si>
  <si>
    <t>1-32 GAL CAN-WEEKLY SVC</t>
  </si>
  <si>
    <t>2-32 GAL CANS-WEEKLY SVC</t>
  </si>
  <si>
    <t>3-32 GAL CANS-WEEKLY SVC</t>
  </si>
  <si>
    <t>1-35 GAL CART WEEKLY SVC</t>
  </si>
  <si>
    <t>1-60 GAL CART WEEKLY SVC</t>
  </si>
  <si>
    <t>1-32 GAL CAN-EOW SVC</t>
  </si>
  <si>
    <t>2-32 GAL CAN-EOW SVC</t>
  </si>
  <si>
    <t>1-35 GAL CART EOW SVC</t>
  </si>
  <si>
    <t>1-60GAL CART EOW SVC</t>
  </si>
  <si>
    <t>1-32 GAL CAN-MONTHLY SVC</t>
  </si>
  <si>
    <t>2-32 GAL CANS MONTHLY SVC</t>
  </si>
  <si>
    <t>1-32 GAL CAN-ON CALL SVC</t>
  </si>
  <si>
    <t>EXTRA CAN/BAGS</t>
  </si>
  <si>
    <t>OVERFILL/OVERWEIGHT CHG</t>
  </si>
  <si>
    <t>1YD CONT 1xWEEKLY SVC</t>
  </si>
  <si>
    <t>1.5YD CONT 1xWEEKLY SVC</t>
  </si>
  <si>
    <t>2YD CONT 1xWEEKLY SVC</t>
  </si>
  <si>
    <t>2YD CONT 2xWEEKLY SVC</t>
  </si>
  <si>
    <t>1YD CONT EOW SVC</t>
  </si>
  <si>
    <t>1.5YD CONT EOW SVC</t>
  </si>
  <si>
    <t>2YD CONT EOW SVC</t>
  </si>
  <si>
    <t>1YD TEMP CONT PU</t>
  </si>
  <si>
    <t>1.5YD CONTAINER EXTRA PU</t>
  </si>
  <si>
    <t>1.5YD TEMP CONTAINER PU</t>
  </si>
  <si>
    <t>2YD CONTAINER EXTRA PU</t>
  </si>
  <si>
    <t>2YD TEMP CONTAINER PU</t>
  </si>
  <si>
    <t>1-32 GAL CAN WEEKLY SVC</t>
  </si>
  <si>
    <t>3-32 GAL CANS WKLY SVC</t>
  </si>
  <si>
    <t>1-60 GAL CART CMML WKLY</t>
  </si>
  <si>
    <t>Frequency</t>
  </si>
  <si>
    <t>Pick-Ups</t>
  </si>
  <si>
    <t>Lbs</t>
  </si>
  <si>
    <t>20RW1</t>
  </si>
  <si>
    <t>32RW1</t>
  </si>
  <si>
    <t>32RW2</t>
  </si>
  <si>
    <t>32RW3</t>
  </si>
  <si>
    <t>60 Gal</t>
  </si>
  <si>
    <t>35RW1</t>
  </si>
  <si>
    <t>60RW1</t>
  </si>
  <si>
    <t>32RE1</t>
  </si>
  <si>
    <t>32RE2</t>
  </si>
  <si>
    <t>35RE1</t>
  </si>
  <si>
    <t>60RE1</t>
  </si>
  <si>
    <t>32RM1</t>
  </si>
  <si>
    <t>32RM2</t>
  </si>
  <si>
    <t>32ROCPU</t>
  </si>
  <si>
    <t>EXTRAR</t>
  </si>
  <si>
    <t>OFOWR</t>
  </si>
  <si>
    <t>ADJOTHR</t>
  </si>
  <si>
    <t>ADJUSTMENT</t>
  </si>
  <si>
    <t>CARRYRE</t>
  </si>
  <si>
    <t>CARRYOUT PER CAN-EOW</t>
  </si>
  <si>
    <t>CARRYRW</t>
  </si>
  <si>
    <t>CARRYOUT PER CAN-WKLY</t>
  </si>
  <si>
    <t>DRVNRW2</t>
  </si>
  <si>
    <t>DRIVE IN OVER 250'</t>
  </si>
  <si>
    <t>DRVNRE2</t>
  </si>
  <si>
    <t>DRIVE IN OVER 250'-EOW</t>
  </si>
  <si>
    <t>DRVNRM2</t>
  </si>
  <si>
    <t>DRIVE IN OVER 250'-MTHLY</t>
  </si>
  <si>
    <t>DRVNRW1</t>
  </si>
  <si>
    <t>DRIVE IN UP TO 250'</t>
  </si>
  <si>
    <t>DRVNRE1</t>
  </si>
  <si>
    <t>DRIVE IN UP TO 250'-EOW</t>
  </si>
  <si>
    <t>RCARRYOUT OVER 25</t>
  </si>
  <si>
    <t>RESI CARRYOUT FEE 25+ FT</t>
  </si>
  <si>
    <t>RCARRYOUT 5-25</t>
  </si>
  <si>
    <t>RESI CARRYOUT FEE 5-25 FT</t>
  </si>
  <si>
    <t>TRIPRCANS</t>
  </si>
  <si>
    <t>RETURN TRIP CHARGE - CANS</t>
  </si>
  <si>
    <t>RESTART</t>
  </si>
  <si>
    <t>SERVICE RESTART FEE</t>
  </si>
  <si>
    <t>R1YD1W</t>
  </si>
  <si>
    <t>R1.5YD1W</t>
  </si>
  <si>
    <t>R2YD1W</t>
  </si>
  <si>
    <t>R2YD2W</t>
  </si>
  <si>
    <t>R1YDEOW</t>
  </si>
  <si>
    <t>R1.5YDEOW</t>
  </si>
  <si>
    <t>R2YDEOW</t>
  </si>
  <si>
    <t>R1YDTPU</t>
  </si>
  <si>
    <t>R1.5YDEX</t>
  </si>
  <si>
    <t>R1.5YDTPU</t>
  </si>
  <si>
    <t>R2YDEX</t>
  </si>
  <si>
    <t>R2YDTPU</t>
  </si>
  <si>
    <t>32CW1</t>
  </si>
  <si>
    <t>32CW3</t>
  </si>
  <si>
    <t>60CW1</t>
  </si>
  <si>
    <t>ADJOTHC</t>
  </si>
  <si>
    <t>CEXYD</t>
  </si>
  <si>
    <t>CMML EXTRA YARDAGE</t>
  </si>
  <si>
    <t>R1YDRENTT</t>
  </si>
  <si>
    <t>1YD TEMP CONT RENT</t>
  </si>
  <si>
    <t>R1.5YDRENTTD</t>
  </si>
  <si>
    <t>1.5 YD TEMP CONT RENT DAILY</t>
  </si>
  <si>
    <t>R1.5YDRENTT</t>
  </si>
  <si>
    <t>1.5YD TEMP CONTAINER RENT</t>
  </si>
  <si>
    <t>R2YDRENTTD</t>
  </si>
  <si>
    <t>2 YD TEMP CONT RENT DAILY</t>
  </si>
  <si>
    <t>R2YDRENTT</t>
  </si>
  <si>
    <t>2YD TEMP CONTAINER RENT</t>
  </si>
  <si>
    <t>R2YDRENTM</t>
  </si>
  <si>
    <t>2YD CONTAINER RENT-MTHLY</t>
  </si>
  <si>
    <t>DRVNCW2</t>
  </si>
  <si>
    <t>COMM DRIVE IN OVER 125'</t>
  </si>
  <si>
    <t>CGATE</t>
  </si>
  <si>
    <t>GATE CHARGE</t>
  </si>
  <si>
    <t>CLOCKEOW</t>
  </si>
  <si>
    <t>LOCK CHARGE - CONT EOW</t>
  </si>
  <si>
    <t>CLOCKWKLY</t>
  </si>
  <si>
    <t>LOCK CHARGE-CONTAINER WKL</t>
  </si>
  <si>
    <t>RDELTO8</t>
  </si>
  <si>
    <t>REDELIVERY FEE UP TO 8YDS</t>
  </si>
  <si>
    <t>CTRIPCAN</t>
  </si>
  <si>
    <t>RETURN TRIP CHG - CANS</t>
  </si>
  <si>
    <t>CTDEL</t>
  </si>
  <si>
    <t>TEMP CONTAINER DELIV</t>
  </si>
  <si>
    <t>Comments</t>
  </si>
  <si>
    <t>Not on Meeks</t>
  </si>
  <si>
    <t>Differ from Company</t>
  </si>
  <si>
    <t>4-32 GAL CANS-WEEKLY SVC</t>
  </si>
  <si>
    <t>35 gallon Can</t>
  </si>
  <si>
    <t>provided by wcon</t>
  </si>
  <si>
    <t xml:space="preserve">Tariff </t>
  </si>
  <si>
    <t xml:space="preserve">Monthly </t>
  </si>
  <si>
    <t xml:space="preserve">Meeks </t>
  </si>
  <si>
    <t xml:space="preserve">Projected </t>
  </si>
  <si>
    <t>Adjusted</t>
  </si>
  <si>
    <t>Rate</t>
  </si>
  <si>
    <t>Weights</t>
  </si>
  <si>
    <t>Tons</t>
  </si>
  <si>
    <t>32RW4</t>
  </si>
  <si>
    <t>CARRYRM</t>
  </si>
  <si>
    <t>CARRYOUT PER CAN -MONTHLY</t>
  </si>
  <si>
    <t>DRVNRM1</t>
  </si>
  <si>
    <t>DRIVE IN UP TO 250'-MTHLY</t>
  </si>
  <si>
    <t>(Monthly Rate)</t>
  </si>
  <si>
    <t>R1YD2W</t>
  </si>
  <si>
    <t>1YD CONT 2xWEEKLY SVC</t>
  </si>
  <si>
    <t>R1YD3W</t>
  </si>
  <si>
    <t>1YD CONT 3xWEEKLY SVC</t>
  </si>
  <si>
    <t>R1.5YD2W</t>
  </si>
  <si>
    <t>1.5YD CONT 2xWEEKLY SVC</t>
  </si>
  <si>
    <t>R2YD3W</t>
  </si>
  <si>
    <t>2YD CONT 3xWEEKLY SVC</t>
  </si>
  <si>
    <t>32CW2</t>
  </si>
  <si>
    <t>2-32 GAL CANS WKLY SVC</t>
  </si>
  <si>
    <t>32CW4</t>
  </si>
  <si>
    <t>4-32 GAL CANS WKLY SVC</t>
  </si>
  <si>
    <t>CEX</t>
  </si>
  <si>
    <t>EXTRA CANS</t>
  </si>
  <si>
    <t>60CRE1</t>
  </si>
  <si>
    <t>1-60 GAL CART RECY EOW</t>
  </si>
  <si>
    <t>R1.5YDRENTM</t>
  </si>
  <si>
    <t>1.5YD CONTAINER RENT-MTH</t>
  </si>
  <si>
    <t>R2YDOCCW</t>
  </si>
  <si>
    <t>2YD OCC-WEEKLY</t>
  </si>
  <si>
    <t>CRENT</t>
  </si>
  <si>
    <t>CONTAINER RENT</t>
  </si>
  <si>
    <t>CTRIP</t>
  </si>
  <si>
    <t>RETURN TRIP CHARGE - CONT</t>
  </si>
  <si>
    <t>Actual Lbs</t>
  </si>
  <si>
    <t>1-35 GAL CART MG</t>
  </si>
  <si>
    <t>1-60 GAL CART MG</t>
  </si>
  <si>
    <t>1YD CONTAINER Special PU</t>
  </si>
  <si>
    <t>21A</t>
  </si>
  <si>
    <t>32 gal can Temp</t>
  </si>
  <si>
    <t xml:space="preserve">35 gal can </t>
  </si>
  <si>
    <t>35 gal can Temp</t>
  </si>
  <si>
    <t>60 gal can Temp</t>
  </si>
  <si>
    <t>28,32,35 &amp; 36</t>
  </si>
  <si>
    <t>35.5 &amp; 36</t>
  </si>
  <si>
    <t>2 Yard</t>
  </si>
  <si>
    <t>3 Yard</t>
  </si>
  <si>
    <t>4 Yard</t>
  </si>
  <si>
    <t>6  Yard</t>
  </si>
  <si>
    <t>Murrey's Disposal Co. Inc. G-09</t>
  </si>
  <si>
    <t>Item 55, Pg. 16</t>
  </si>
  <si>
    <t>Oversized Container</t>
  </si>
  <si>
    <t>Item 100, Pg. 21</t>
  </si>
  <si>
    <t>Mini Can</t>
  </si>
  <si>
    <t>1 Can Weekly</t>
  </si>
  <si>
    <t>2 Can Weekly</t>
  </si>
  <si>
    <t>3 Can Weekly</t>
  </si>
  <si>
    <t>4 Can Weekly</t>
  </si>
  <si>
    <t>5 Can Weekly</t>
  </si>
  <si>
    <t>35 Gal Weekly</t>
  </si>
  <si>
    <t>60 Gal Weekly</t>
  </si>
  <si>
    <t>96 Gal Weekly</t>
  </si>
  <si>
    <t>1 Can EOW</t>
  </si>
  <si>
    <t>35 Gal EOW</t>
  </si>
  <si>
    <t>60 Gal EOW</t>
  </si>
  <si>
    <t>96 Gal EOW</t>
  </si>
  <si>
    <t>1 Can Monthly</t>
  </si>
  <si>
    <t>35 Gal Monthly</t>
  </si>
  <si>
    <t>60 Gal Monthly</t>
  </si>
  <si>
    <t>96 Gal Monthly</t>
  </si>
  <si>
    <t>Item 100, Pg. 21A</t>
  </si>
  <si>
    <t>32 Gal Extra</t>
  </si>
  <si>
    <t>Mini-Can Extra</t>
  </si>
  <si>
    <t>35 Gal Extra</t>
  </si>
  <si>
    <t>60 Gal Extra</t>
  </si>
  <si>
    <t>On-Call</t>
  </si>
  <si>
    <t>Item 150, Pg. 28</t>
  </si>
  <si>
    <t>Loose Material 1-4yd</t>
  </si>
  <si>
    <t>Loose Material per Yard</t>
  </si>
  <si>
    <t>Loose Material Min Charge</t>
  </si>
  <si>
    <t>Item 207, Pg. 32</t>
  </si>
  <si>
    <t>Overfilled Container</t>
  </si>
  <si>
    <t>Item 230, Pg. 34</t>
  </si>
  <si>
    <t>Item 240, Pg. 35</t>
  </si>
  <si>
    <t>1 Yard</t>
  </si>
  <si>
    <t>1.5 Yard</t>
  </si>
  <si>
    <t>6 Yard</t>
  </si>
  <si>
    <t>1 Yard - Special</t>
  </si>
  <si>
    <t>1.5 Yard - Special</t>
  </si>
  <si>
    <t>2 Yard - Special</t>
  </si>
  <si>
    <t>6 Yard - Special</t>
  </si>
  <si>
    <t>1 Yard - Temp</t>
  </si>
  <si>
    <t>1.5 Yard - Temp</t>
  </si>
  <si>
    <t>2 Yard - Temp</t>
  </si>
  <si>
    <t>Item 240, Pg 35.5</t>
  </si>
  <si>
    <t>35 Gal</t>
  </si>
  <si>
    <t>35 Gal - Temp</t>
  </si>
  <si>
    <t>60 Gal - Temp</t>
  </si>
  <si>
    <t>96 Gal</t>
  </si>
  <si>
    <t>96 Gal - Temp</t>
  </si>
  <si>
    <t>Extra Yard</t>
  </si>
  <si>
    <t>Additional Unit</t>
  </si>
  <si>
    <t>35 Gal - Minimum</t>
  </si>
  <si>
    <t>60 Gal - Minimum</t>
  </si>
  <si>
    <t>96 Gal - Minimum</t>
  </si>
  <si>
    <t>Item 245, Pg. 36</t>
  </si>
  <si>
    <t>32 Gal</t>
  </si>
  <si>
    <t>32 Gal - Temp</t>
  </si>
  <si>
    <t>Over-filled Container</t>
  </si>
  <si>
    <t>Extra Unit</t>
  </si>
  <si>
    <t>32 Gal - Minimum</t>
  </si>
  <si>
    <t>Cart/Toter 95 Weekly-SVC</t>
  </si>
  <si>
    <t>5 Can  Weekly-SVC</t>
  </si>
  <si>
    <t xml:space="preserve">Cart 95 gal EOW </t>
  </si>
  <si>
    <t xml:space="preserve">Cart 95 gal MG </t>
  </si>
  <si>
    <t xml:space="preserve">2 Yard </t>
  </si>
  <si>
    <t xml:space="preserve">6 Yard </t>
  </si>
  <si>
    <t xml:space="preserve">96 gal Can Temp </t>
  </si>
  <si>
    <t>3 Yard - Temp</t>
  </si>
  <si>
    <t>4 Yard - Temp</t>
  </si>
  <si>
    <t xml:space="preserve">3 Yard - Special </t>
  </si>
  <si>
    <t>4 Yard -Special</t>
  </si>
  <si>
    <t>Item 245, Pg. 36, Special/Temp</t>
  </si>
  <si>
    <t>96 gal Can</t>
  </si>
  <si>
    <t>Note from Heather Garland:  The schedule below was prepared by the auditor in TG-132228.  All comments/notations are from that audit.  The only change that was made was the linking of column M to the "Proposed Rates" tab so the proper starting tariff rate would flow through into this schedule.</t>
  </si>
  <si>
    <t>Revenue Increase:</t>
  </si>
  <si>
    <t>Roll-off Tons</t>
  </si>
  <si>
    <t>TG--132228    2-1-2014</t>
  </si>
  <si>
    <t>For tonnage verification see -</t>
  </si>
  <si>
    <t>Current Tariff Rate</t>
  </si>
  <si>
    <t>Proposed Increase</t>
  </si>
  <si>
    <t>NOTE from Heather Garland:  As instructed by the auditor in TG-132228 we used the revenue, customer counts and disposal tonnage from the last general rate filing.  The information shaded gray was taken directly from the final audited file in TG-132228 as there has not been another general rate filing since Jefferson's DF increased on 2-1-2014.</t>
  </si>
  <si>
    <t>Test Period October 1,2012 - September 30, 2013</t>
  </si>
  <si>
    <t>dba Olympic Disposal</t>
  </si>
  <si>
    <t>Jefferson Dump Fee Calc References</t>
  </si>
  <si>
    <t>Jefferson Dump Fee Calculation</t>
  </si>
  <si>
    <t>Proposed Jefferson Rates Effective</t>
  </si>
  <si>
    <t>New 1/1/2018 Rate</t>
  </si>
  <si>
    <t>New Rate per ton 1/1/18</t>
  </si>
  <si>
    <t>Effective 1-1-2018</t>
  </si>
  <si>
    <t>Note from Heather Garland:  The entire schedule below was taken from the audit in TG-132228.  Only the cells highlighted in green were updated for the change in the DF effective 1-1-2018.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</si>
</sst>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_(* #,##0.0000_);_(* \(#,##0.0000\);_(* &quot;-&quot;??_);_(@_)"/>
    <numFmt numFmtId="173" formatCode="#,##0.0000_);\(#,##0.0000\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6" fontId="4" fillId="3" borderId="0" applyFont="0" applyFill="0" applyBorder="0" applyAlignment="0" applyProtection="0">
      <alignment wrapText="1"/>
    </xf>
    <xf numFmtId="0" fontId="1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3" borderId="4" applyNumberFormat="0" applyAlignment="0" applyProtection="0"/>
    <xf numFmtId="0" fontId="32" fillId="23" borderId="4" applyNumberFormat="0" applyAlignment="0" applyProtection="0"/>
    <xf numFmtId="0" fontId="17" fillId="24" borderId="5" applyNumberFormat="0" applyAlignment="0" applyProtection="0"/>
    <xf numFmtId="0" fontId="17" fillId="25" borderId="6" applyNumberFormat="0" applyAlignment="0" applyProtection="0"/>
    <xf numFmtId="0" fontId="2" fillId="26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7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8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8" borderId="0">
      <alignment horizontal="right"/>
      <protection locked="0"/>
    </xf>
    <xf numFmtId="0" fontId="21" fillId="10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2" borderId="4" applyNumberFormat="0" applyAlignment="0" applyProtection="0"/>
    <xf numFmtId="0" fontId="41" fillId="12" borderId="4" applyNumberFormat="0" applyAlignment="0" applyProtection="0"/>
    <xf numFmtId="3" fontId="10" fillId="30" borderId="0">
      <protection locked="0"/>
    </xf>
    <xf numFmtId="4" fontId="10" fillId="30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2" borderId="0" applyNumberFormat="0" applyBorder="0" applyAlignment="0" applyProtection="0"/>
    <xf numFmtId="0" fontId="43" fillId="12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9" borderId="15" applyNumberFormat="0" applyFont="0" applyAlignment="0" applyProtection="0"/>
    <xf numFmtId="0" fontId="18" fillId="9" borderId="15" applyNumberFormat="0" applyFont="0" applyAlignment="0" applyProtection="0"/>
    <xf numFmtId="171" fontId="44" fillId="0" borderId="0" applyNumberFormat="0"/>
    <xf numFmtId="0" fontId="29" fillId="23" borderId="16" applyNumberFormat="0" applyAlignment="0" applyProtection="0"/>
    <xf numFmtId="0" fontId="24" fillId="23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35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15" borderId="0" applyNumberFormat="0" applyBorder="0" applyAlignment="0" applyProtection="0"/>
    <xf numFmtId="0" fontId="52" fillId="23" borderId="4" applyNumberFormat="0" applyAlignment="0" applyProtection="0"/>
    <xf numFmtId="0" fontId="52" fillId="11" borderId="4" applyNumberFormat="0" applyAlignment="0" applyProtection="0"/>
    <xf numFmtId="43" fontId="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8" applyNumberFormat="0" applyFill="0" applyAlignment="0" applyProtection="0"/>
    <xf numFmtId="0" fontId="54" fillId="0" borderId="29" applyNumberFormat="0" applyFill="0" applyAlignment="0" applyProtection="0"/>
    <xf numFmtId="0" fontId="23" fillId="0" borderId="10" applyNumberFormat="0" applyFill="0" applyAlignment="0" applyProtection="0"/>
    <xf numFmtId="0" fontId="55" fillId="0" borderId="10" applyNumberFormat="0" applyFill="0" applyAlignment="0" applyProtection="0"/>
    <xf numFmtId="0" fontId="24" fillId="0" borderId="30" applyNumberFormat="0" applyFill="0" applyAlignment="0" applyProtection="0"/>
    <xf numFmtId="0" fontId="56" fillId="0" borderId="31" applyNumberFormat="0" applyFill="0" applyAlignment="0" applyProtection="0"/>
    <xf numFmtId="0" fontId="57" fillId="0" borderId="32" applyNumberFormat="0" applyFill="0" applyAlignment="0" applyProtection="0"/>
    <xf numFmtId="0" fontId="58" fillId="12" borderId="0" applyNumberFormat="0" applyBorder="0" applyAlignment="0" applyProtection="0"/>
    <xf numFmtId="0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9" borderId="15" applyNumberFormat="0" applyFont="0" applyAlignment="0" applyProtection="0"/>
    <xf numFmtId="0" fontId="53" fillId="9" borderId="15" applyNumberFormat="0" applyFont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37" fontId="60" fillId="0" borderId="0"/>
    <xf numFmtId="0" fontId="31" fillId="0" borderId="33" applyNumberFormat="0" applyFill="0" applyAlignment="0" applyProtection="0"/>
    <xf numFmtId="0" fontId="31" fillId="0" borderId="34" applyNumberFormat="0" applyFill="0" applyAlignment="0" applyProtection="0"/>
    <xf numFmtId="0" fontId="2" fillId="0" borderId="0"/>
    <xf numFmtId="0" fontId="2" fillId="0" borderId="0"/>
  </cellStyleXfs>
  <cellXfs count="178">
    <xf numFmtId="0" fontId="0" fillId="0" borderId="0" xfId="0"/>
    <xf numFmtId="43" fontId="0" fillId="0" borderId="0" xfId="1" applyFont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44" fontId="3" fillId="0" borderId="0" xfId="0" applyNumberFormat="1" applyFont="1"/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0" fontId="0" fillId="4" borderId="0" xfId="0" applyFont="1" applyFill="1" applyAlignment="1">
      <alignment horizontal="center"/>
    </xf>
    <xf numFmtId="168" fontId="0" fillId="0" borderId="0" xfId="0" applyNumberFormat="1" applyFont="1"/>
    <xf numFmtId="44" fontId="0" fillId="0" borderId="0" xfId="0" applyNumberFormat="1" applyFont="1"/>
    <xf numFmtId="0" fontId="0" fillId="0" borderId="0" xfId="0" applyFont="1" applyFill="1" applyBorder="1" applyAlignment="1">
      <alignment horizontal="center" vertical="center"/>
    </xf>
    <xf numFmtId="170" fontId="0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ont="1" applyFill="1" applyBorder="1" applyAlignment="1">
      <alignment vertical="center" textRotation="90"/>
    </xf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0" fontId="0" fillId="0" borderId="0" xfId="0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4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4" fontId="3" fillId="5" borderId="1" xfId="2" applyFont="1" applyFill="1" applyBorder="1"/>
    <xf numFmtId="44" fontId="0" fillId="5" borderId="1" xfId="2" applyFont="1" applyFill="1" applyBorder="1"/>
    <xf numFmtId="44" fontId="3" fillId="0" borderId="0" xfId="2" applyFont="1" applyBorder="1" applyAlignment="1">
      <alignment horizontal="right"/>
    </xf>
    <xf numFmtId="0" fontId="0" fillId="31" borderId="0" xfId="0" applyFont="1" applyFill="1" applyBorder="1"/>
    <xf numFmtId="0" fontId="0" fillId="31" borderId="0" xfId="0" applyFont="1" applyFill="1" applyBorder="1" applyAlignment="1">
      <alignment horizontal="center"/>
    </xf>
    <xf numFmtId="0" fontId="0" fillId="31" borderId="0" xfId="0" applyFont="1" applyFill="1" applyBorder="1" applyAlignment="1">
      <alignment horizontal="right"/>
    </xf>
    <xf numFmtId="166" fontId="0" fillId="31" borderId="0" xfId="1" applyNumberFormat="1" applyFont="1" applyFill="1" applyBorder="1"/>
    <xf numFmtId="44" fontId="0" fillId="31" borderId="0" xfId="1" applyNumberFormat="1" applyFont="1" applyFill="1" applyBorder="1"/>
    <xf numFmtId="0" fontId="3" fillId="31" borderId="0" xfId="0" applyFont="1" applyFill="1" applyBorder="1"/>
    <xf numFmtId="43" fontId="0" fillId="0" borderId="1" xfId="1" applyFont="1" applyBorder="1" applyAlignment="1">
      <alignment horizontal="right"/>
    </xf>
    <xf numFmtId="0" fontId="3" fillId="5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0" fontId="11" fillId="0" borderId="0" xfId="278" applyFont="1" applyBorder="1"/>
    <xf numFmtId="0" fontId="0" fillId="4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0" fontId="0" fillId="32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 wrapText="1"/>
    </xf>
    <xf numFmtId="44" fontId="0" fillId="0" borderId="1" xfId="2" applyFont="1" applyBorder="1"/>
    <xf numFmtId="0" fontId="11" fillId="0" borderId="0" xfId="271" applyFont="1" applyBorder="1"/>
    <xf numFmtId="0" fontId="11" fillId="0" borderId="1" xfId="278" applyFont="1" applyBorder="1"/>
    <xf numFmtId="43" fontId="0" fillId="0" borderId="1" xfId="1" applyFont="1" applyBorder="1"/>
    <xf numFmtId="44" fontId="0" fillId="0" borderId="0" xfId="2" applyFont="1" applyBorder="1"/>
    <xf numFmtId="44" fontId="0" fillId="0" borderId="1" xfId="2" applyFont="1" applyFill="1" applyBorder="1"/>
    <xf numFmtId="166" fontId="0" fillId="4" borderId="0" xfId="1" applyNumberFormat="1" applyFont="1" applyFill="1" applyBorder="1"/>
    <xf numFmtId="0" fontId="11" fillId="0" borderId="1" xfId="274" applyFont="1" applyBorder="1" applyAlignment="1">
      <alignment horizontal="left"/>
    </xf>
    <xf numFmtId="166" fontId="0" fillId="0" borderId="1" xfId="1" applyNumberFormat="1" applyFont="1" applyFill="1" applyBorder="1"/>
    <xf numFmtId="43" fontId="0" fillId="0" borderId="0" xfId="1" applyNumberFormat="1" applyFont="1"/>
    <xf numFmtId="44" fontId="0" fillId="33" borderId="0" xfId="2" applyFont="1" applyFill="1" applyBorder="1"/>
    <xf numFmtId="0" fontId="3" fillId="0" borderId="21" xfId="0" applyFont="1" applyBorder="1"/>
    <xf numFmtId="0" fontId="0" fillId="5" borderId="27" xfId="0" applyFont="1" applyFill="1" applyBorder="1" applyAlignment="1">
      <alignment horizontal="center"/>
    </xf>
    <xf numFmtId="0" fontId="0" fillId="0" borderId="22" xfId="0" applyFont="1" applyBorder="1"/>
    <xf numFmtId="44" fontId="0" fillId="0" borderId="23" xfId="2" applyFont="1" applyBorder="1"/>
    <xf numFmtId="41" fontId="0" fillId="0" borderId="0" xfId="0" applyNumberFormat="1" applyFont="1" applyFill="1" applyBorder="1"/>
    <xf numFmtId="10" fontId="0" fillId="0" borderId="0" xfId="0" applyNumberFormat="1" applyFont="1" applyBorder="1"/>
    <xf numFmtId="173" fontId="0" fillId="0" borderId="0" xfId="0" applyNumberFormat="1" applyFont="1"/>
    <xf numFmtId="166" fontId="0" fillId="34" borderId="0" xfId="1" applyNumberFormat="1" applyFont="1" applyFill="1" applyBorder="1"/>
    <xf numFmtId="166" fontId="0" fillId="34" borderId="1" xfId="1" applyNumberFormat="1" applyFont="1" applyFill="1" applyBorder="1"/>
    <xf numFmtId="44" fontId="0" fillId="0" borderId="0" xfId="0" applyNumberFormat="1" applyFont="1" applyFill="1" applyBorder="1"/>
    <xf numFmtId="42" fontId="0" fillId="0" borderId="0" xfId="0" applyNumberFormat="1" applyFont="1" applyBorder="1"/>
    <xf numFmtId="42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/>
    <xf numFmtId="164" fontId="0" fillId="4" borderId="0" xfId="0" applyNumberFormat="1" applyFont="1" applyFill="1" applyBorder="1"/>
    <xf numFmtId="0" fontId="0" fillId="4" borderId="0" xfId="0" applyFont="1" applyFill="1" applyBorder="1"/>
    <xf numFmtId="10" fontId="0" fillId="0" borderId="0" xfId="0" applyNumberFormat="1" applyFont="1"/>
    <xf numFmtId="0" fontId="0" fillId="0" borderId="24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43" fontId="0" fillId="0" borderId="0" xfId="0" applyNumberFormat="1" applyFont="1" applyFill="1" applyBorder="1"/>
    <xf numFmtId="4" fontId="0" fillId="0" borderId="0" xfId="0" applyNumberFormat="1" applyFont="1" applyFill="1" applyBorder="1"/>
    <xf numFmtId="166" fontId="0" fillId="0" borderId="0" xfId="1" applyNumberFormat="1" applyFont="1" applyFill="1" applyBorder="1" applyAlignment="1">
      <alignment horizontal="center" wrapText="1"/>
    </xf>
    <xf numFmtId="43" fontId="0" fillId="0" borderId="0" xfId="1" applyNumberFormat="1" applyFont="1" applyFill="1" applyBorder="1"/>
    <xf numFmtId="166" fontId="0" fillId="0" borderId="0" xfId="1" applyNumberFormat="1" applyFont="1" applyFill="1" applyBorder="1" applyAlignment="1">
      <alignment horizontal="right"/>
    </xf>
    <xf numFmtId="43" fontId="0" fillId="32" borderId="0" xfId="1" applyNumberFormat="1" applyFont="1" applyFill="1" applyBorder="1"/>
    <xf numFmtId="166" fontId="0" fillId="32" borderId="0" xfId="1" applyNumberFormat="1" applyFont="1" applyFill="1" applyBorder="1"/>
    <xf numFmtId="166" fontId="11" fillId="0" borderId="0" xfId="1" applyNumberFormat="1" applyFont="1" applyFill="1" applyBorder="1"/>
    <xf numFmtId="44" fontId="11" fillId="0" borderId="0" xfId="2" applyFont="1" applyFill="1" applyBorder="1"/>
    <xf numFmtId="44" fontId="9" fillId="0" borderId="0" xfId="2" applyFont="1" applyFill="1" applyBorder="1"/>
    <xf numFmtId="44" fontId="0" fillId="0" borderId="0" xfId="2" applyNumberFormat="1" applyFont="1" applyFill="1" applyBorder="1"/>
    <xf numFmtId="0" fontId="12" fillId="5" borderId="1" xfId="4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3" fontId="0" fillId="5" borderId="1" xfId="1" applyFont="1" applyFill="1" applyBorder="1"/>
    <xf numFmtId="166" fontId="3" fillId="5" borderId="1" xfId="0" applyNumberFormat="1" applyFont="1" applyFill="1" applyBorder="1"/>
    <xf numFmtId="43" fontId="0" fillId="5" borderId="1" xfId="0" applyNumberFormat="1" applyFont="1" applyFill="1" applyBorder="1"/>
    <xf numFmtId="3" fontId="3" fillId="5" borderId="1" xfId="0" applyNumberFormat="1" applyFont="1" applyFill="1" applyBorder="1"/>
    <xf numFmtId="166" fontId="3" fillId="5" borderId="1" xfId="1" applyNumberFormat="1" applyFont="1" applyFill="1" applyBorder="1"/>
    <xf numFmtId="166" fontId="0" fillId="0" borderId="0" xfId="1" applyNumberFormat="1" applyFont="1" applyFill="1" applyBorder="1" applyAlignment="1"/>
    <xf numFmtId="166" fontId="0" fillId="0" borderId="0" xfId="1" applyNumberFormat="1" applyFont="1" applyBorder="1" applyAlignment="1"/>
    <xf numFmtId="166" fontId="0" fillId="32" borderId="0" xfId="1" applyNumberFormat="1" applyFont="1" applyFill="1" applyBorder="1" applyAlignment="1"/>
    <xf numFmtId="44" fontId="0" fillId="34" borderId="0" xfId="2" applyFont="1" applyFill="1" applyBorder="1"/>
    <xf numFmtId="165" fontId="0" fillId="34" borderId="0" xfId="2" applyNumberFormat="1" applyFont="1" applyFill="1" applyBorder="1"/>
    <xf numFmtId="44" fontId="0" fillId="34" borderId="3" xfId="2" applyFont="1" applyFill="1" applyBorder="1"/>
    <xf numFmtId="169" fontId="0" fillId="34" borderId="3" xfId="2" applyNumberFormat="1" applyFont="1" applyFill="1" applyBorder="1"/>
    <xf numFmtId="44" fontId="0" fillId="0" borderId="25" xfId="2" applyFont="1" applyBorder="1"/>
    <xf numFmtId="4" fontId="3" fillId="5" borderId="0" xfId="1" applyNumberFormat="1" applyFont="1" applyFill="1" applyBorder="1" applyAlignment="1">
      <alignment horizontal="center" wrapText="1"/>
    </xf>
    <xf numFmtId="44" fontId="0" fillId="4" borderId="0" xfId="0" applyNumberFormat="1" applyFont="1" applyFill="1" applyBorder="1"/>
    <xf numFmtId="4" fontId="0" fillId="4" borderId="0" xfId="0" applyNumberFormat="1" applyFont="1" applyFill="1" applyBorder="1"/>
    <xf numFmtId="43" fontId="0" fillId="4" borderId="0" xfId="0" applyNumberFormat="1" applyFont="1" applyFill="1" applyBorder="1"/>
    <xf numFmtId="4" fontId="0" fillId="4" borderId="0" xfId="1" applyNumberFormat="1" applyFont="1" applyFill="1" applyBorder="1"/>
    <xf numFmtId="4" fontId="0" fillId="0" borderId="0" xfId="1" applyNumberFormat="1" applyFont="1" applyBorder="1"/>
    <xf numFmtId="4" fontId="3" fillId="0" borderId="0" xfId="1" applyNumberFormat="1" applyFont="1" applyBorder="1" applyAlignment="1">
      <alignment horizontal="center"/>
    </xf>
    <xf numFmtId="2" fontId="0" fillId="0" borderId="0" xfId="0" applyNumberFormat="1" applyFont="1" applyBorder="1"/>
    <xf numFmtId="4" fontId="0" fillId="0" borderId="0" xfId="0" applyNumberFormat="1" applyFont="1" applyBorder="1"/>
    <xf numFmtId="0" fontId="50" fillId="0" borderId="0" xfId="0" applyFont="1" applyBorder="1" applyAlignment="1">
      <alignment wrapText="1"/>
    </xf>
    <xf numFmtId="166" fontId="3" fillId="5" borderId="1" xfId="1" applyNumberFormat="1" applyFont="1" applyFill="1" applyBorder="1" applyAlignment="1">
      <alignment horizontal="center" wrapText="1"/>
    </xf>
    <xf numFmtId="0" fontId="50" fillId="5" borderId="1" xfId="0" applyFont="1" applyFill="1" applyBorder="1" applyAlignment="1">
      <alignment horizontal="center" wrapText="1"/>
    </xf>
    <xf numFmtId="0" fontId="3" fillId="41" borderId="0" xfId="0" applyFont="1" applyFill="1" applyBorder="1"/>
    <xf numFmtId="4" fontId="0" fillId="41" borderId="0" xfId="0" applyNumberFormat="1" applyFont="1" applyFill="1" applyBorder="1"/>
    <xf numFmtId="0" fontId="0" fillId="41" borderId="0" xfId="0" applyFont="1" applyFill="1" applyBorder="1"/>
    <xf numFmtId="0" fontId="0" fillId="41" borderId="0" xfId="0" applyFont="1" applyFill="1"/>
    <xf numFmtId="0" fontId="3" fillId="41" borderId="0" xfId="0" applyFont="1" applyFill="1" applyBorder="1" applyAlignment="1">
      <alignment horizontal="center"/>
    </xf>
    <xf numFmtId="0" fontId="51" fillId="41" borderId="0" xfId="0" applyFont="1" applyFill="1" applyBorder="1"/>
    <xf numFmtId="43" fontId="0" fillId="41" borderId="0" xfId="0" applyNumberFormat="1" applyFont="1" applyFill="1" applyBorder="1"/>
    <xf numFmtId="43" fontId="0" fillId="41" borderId="0" xfId="1" applyFont="1" applyFill="1" applyBorder="1"/>
    <xf numFmtId="1" fontId="0" fillId="41" borderId="0" xfId="0" applyNumberFormat="1" applyFont="1" applyFill="1" applyBorder="1"/>
    <xf numFmtId="2" fontId="0" fillId="41" borderId="0" xfId="0" applyNumberFormat="1" applyFont="1" applyFill="1" applyBorder="1"/>
    <xf numFmtId="166" fontId="0" fillId="41" borderId="0" xfId="1" applyNumberFormat="1" applyFont="1" applyFill="1" applyBorder="1"/>
    <xf numFmtId="166" fontId="3" fillId="41" borderId="20" xfId="0" applyNumberFormat="1" applyFont="1" applyFill="1" applyBorder="1"/>
    <xf numFmtId="166" fontId="0" fillId="41" borderId="0" xfId="0" applyNumberFormat="1" applyFont="1" applyFill="1" applyBorder="1"/>
    <xf numFmtId="166" fontId="3" fillId="41" borderId="26" xfId="0" applyNumberFormat="1" applyFont="1" applyFill="1" applyBorder="1"/>
    <xf numFmtId="0" fontId="3" fillId="41" borderId="0" xfId="0" applyFont="1" applyFill="1" applyBorder="1" applyAlignment="1">
      <alignment horizontal="right"/>
    </xf>
    <xf numFmtId="166" fontId="3" fillId="41" borderId="0" xfId="0" applyNumberFormat="1" applyFont="1" applyFill="1" applyBorder="1"/>
    <xf numFmtId="172" fontId="3" fillId="41" borderId="0" xfId="0" applyNumberFormat="1" applyFont="1" applyFill="1" applyBorder="1"/>
    <xf numFmtId="0" fontId="0" fillId="0" borderId="0" xfId="0" applyFont="1"/>
    <xf numFmtId="0" fontId="0" fillId="0" borderId="0" xfId="0" applyFont="1" applyFill="1"/>
    <xf numFmtId="0" fontId="51" fillId="41" borderId="0" xfId="0" applyFont="1" applyFill="1" applyBorder="1"/>
    <xf numFmtId="0" fontId="3" fillId="41" borderId="0" xfId="0" applyFont="1" applyFill="1" applyBorder="1" applyAlignment="1">
      <alignment horizontal="center"/>
    </xf>
    <xf numFmtId="0" fontId="0" fillId="41" borderId="0" xfId="0" applyFont="1" applyFill="1"/>
    <xf numFmtId="0" fontId="3" fillId="5" borderId="1" xfId="0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left"/>
    </xf>
    <xf numFmtId="4" fontId="0" fillId="0" borderId="0" xfId="1" applyNumberFormat="1" applyFont="1" applyFill="1" applyBorder="1"/>
    <xf numFmtId="166" fontId="11" fillId="4" borderId="0" xfId="1" applyNumberFormat="1" applyFont="1" applyFill="1" applyBorder="1" applyAlignment="1">
      <alignment horizontal="left"/>
    </xf>
    <xf numFmtId="0" fontId="0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50" fillId="0" borderId="0" xfId="0" applyFont="1" applyAlignment="1">
      <alignment horizontal="left" wrapText="1"/>
    </xf>
    <xf numFmtId="0" fontId="5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  <xf numFmtId="0" fontId="50" fillId="41" borderId="0" xfId="0" applyFont="1" applyFill="1" applyBorder="1" applyAlignment="1">
      <alignment horizontal="left" wrapText="1"/>
    </xf>
  </cellXfs>
  <cellStyles count="375">
    <cellStyle name="20% - Accent1 2" xfId="40"/>
    <cellStyle name="20% - Accent1 2 2" xfId="301"/>
    <cellStyle name="20% - Accent1 3" xfId="39"/>
    <cellStyle name="20% - Accent1 3 2" xfId="302"/>
    <cellStyle name="20% - Accent2 2" xfId="42"/>
    <cellStyle name="20% - Accent2 3" xfId="41"/>
    <cellStyle name="20% - Accent3 2" xfId="44"/>
    <cellStyle name="20% - Accent3 3" xfId="43"/>
    <cellStyle name="20% - Accent4 2" xfId="46"/>
    <cellStyle name="20% - Accent4 2 2" xfId="303"/>
    <cellStyle name="20% - Accent4 3" xfId="45"/>
    <cellStyle name="20% - Accent4 3 2" xfId="304"/>
    <cellStyle name="20% - Accent5 2" xfId="48"/>
    <cellStyle name="20% - Accent5 3" xfId="47"/>
    <cellStyle name="20% - Accent6 2" xfId="50"/>
    <cellStyle name="20% - Accent6 3" xfId="49"/>
    <cellStyle name="40% - Accent1 2" xfId="52"/>
    <cellStyle name="40% - Accent1 3" xfId="51"/>
    <cellStyle name="40% - Accent1 3 2" xfId="305"/>
    <cellStyle name="40% - Accent2 2" xfId="54"/>
    <cellStyle name="40% - Accent2 3" xfId="53"/>
    <cellStyle name="40% - Accent3 2" xfId="56"/>
    <cellStyle name="40% - Accent3 3" xfId="55"/>
    <cellStyle name="40% - Accent4 2" xfId="58"/>
    <cellStyle name="40% - Accent4 3" xfId="57"/>
    <cellStyle name="40% - Accent4 3 2" xfId="306"/>
    <cellStyle name="40% - Accent5 2" xfId="60"/>
    <cellStyle name="40% - Accent5 3" xfId="59"/>
    <cellStyle name="40% - Accent6 2" xfId="62"/>
    <cellStyle name="40% - Accent6 3" xfId="61"/>
    <cellStyle name="40% - Accent6 3 2" xfId="307"/>
    <cellStyle name="60% - Accent1 2" xfId="64"/>
    <cellStyle name="60% - Accent1 2 2" xfId="308"/>
    <cellStyle name="60% - Accent1 3" xfId="63"/>
    <cellStyle name="60% - Accent1 3 2" xfId="309"/>
    <cellStyle name="60% - Accent2 2" xfId="66"/>
    <cellStyle name="60% - Accent2 3" xfId="65"/>
    <cellStyle name="60% - Accent3 2" xfId="68"/>
    <cellStyle name="60% - Accent3 3" xfId="67"/>
    <cellStyle name="60% - Accent3 3 2" xfId="310"/>
    <cellStyle name="60% - Accent4 2" xfId="70"/>
    <cellStyle name="60% - Accent4 3" xfId="69"/>
    <cellStyle name="60% - Accent4 3 2" xfId="311"/>
    <cellStyle name="60% - Accent5 2" xfId="72"/>
    <cellStyle name="60% - Accent5 2 2" xfId="312"/>
    <cellStyle name="60% - Accent5 3" xfId="71"/>
    <cellStyle name="60% - Accent6 2" xfId="74"/>
    <cellStyle name="60% - Accent6 3" xfId="73"/>
    <cellStyle name="Accent1 2" xfId="76"/>
    <cellStyle name="Accent1 2 2" xfId="313"/>
    <cellStyle name="Accent1 3" xfId="75"/>
    <cellStyle name="Accent1 3 2" xfId="314"/>
    <cellStyle name="Accent2 2" xfId="78"/>
    <cellStyle name="Accent2 3" xfId="77"/>
    <cellStyle name="Accent3 2" xfId="80"/>
    <cellStyle name="Accent3 2 2" xfId="315"/>
    <cellStyle name="Accent3 3" xfId="79"/>
    <cellStyle name="Accent4 2" xfId="82"/>
    <cellStyle name="Accent4 3" xfId="81"/>
    <cellStyle name="Accent5 2" xfId="84"/>
    <cellStyle name="Accent5 3" xfId="83"/>
    <cellStyle name="Accent6 2" xfId="86"/>
    <cellStyle name="Accent6 2 2" xfId="316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2 2" xfId="317"/>
    <cellStyle name="Calculation 3" xfId="97"/>
    <cellStyle name="Calculation 3 2" xfId="318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12 3" xfId="282"/>
    <cellStyle name="Comma 13" xfId="283"/>
    <cellStyle name="Comma 14" xfId="284"/>
    <cellStyle name="Comma 15" xfId="285"/>
    <cellStyle name="Comma 16" xfId="286"/>
    <cellStyle name="Comma 17" xfId="319"/>
    <cellStyle name="Comma 18" xfId="320"/>
    <cellStyle name="Comma 18 2" xfId="321"/>
    <cellStyle name="Comma 19" xfId="322"/>
    <cellStyle name="Comma 2" xfId="5"/>
    <cellStyle name="Comma 2 2" xfId="6"/>
    <cellStyle name="Comma 2 2 2" xfId="323"/>
    <cellStyle name="Comma 2 3" xfId="105"/>
    <cellStyle name="Comma 2 4" xfId="324"/>
    <cellStyle name="Comma 2 5" xfId="300"/>
    <cellStyle name="Comma 2 6" xfId="7"/>
    <cellStyle name="Comma 2 6 2" xfId="8"/>
    <cellStyle name="Comma 3" xfId="9"/>
    <cellStyle name="Comma 3 2" xfId="106"/>
    <cellStyle name="Comma 3 2 2" xfId="107"/>
    <cellStyle name="Comma 3 3" xfId="287"/>
    <cellStyle name="Comma 3 4" xfId="325"/>
    <cellStyle name="Comma 4" xfId="108"/>
    <cellStyle name="Comma 4 2" xfId="109"/>
    <cellStyle name="Comma 4 2 2" xfId="288"/>
    <cellStyle name="Comma 4 3" xfId="110"/>
    <cellStyle name="Comma 4 3 2" xfId="289"/>
    <cellStyle name="Comma 4 4" xfId="290"/>
    <cellStyle name="Comma 4 5" xfId="111"/>
    <cellStyle name="Comma 4 6" xfId="280"/>
    <cellStyle name="Comma 5" xfId="112"/>
    <cellStyle name="Comma 6" xfId="113"/>
    <cellStyle name="Comma 6 2" xfId="326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10" xfId="327"/>
    <cellStyle name="Currency 2" xfId="10"/>
    <cellStyle name="Currency 2 2" xfId="11"/>
    <cellStyle name="Currency 2 2 2" xfId="123"/>
    <cellStyle name="Currency 2 3" xfId="122"/>
    <cellStyle name="Currency 2 3 2" xfId="328"/>
    <cellStyle name="Currency 2 6" xfId="12"/>
    <cellStyle name="Currency 2 6 2" xfId="13"/>
    <cellStyle name="Currency 3" xfId="14"/>
    <cellStyle name="Currency 3 2" xfId="125"/>
    <cellStyle name="Currency 3 3" xfId="124"/>
    <cellStyle name="Currency 3 4" xfId="291"/>
    <cellStyle name="Currency 4" xfId="15"/>
    <cellStyle name="Currency 4 2" xfId="16"/>
    <cellStyle name="Currency 5" xfId="121"/>
    <cellStyle name="Currency 5 2" xfId="276"/>
    <cellStyle name="Currency 5 3" xfId="292"/>
    <cellStyle name="Currency 6" xfId="293"/>
    <cellStyle name="Currency 7" xfId="294"/>
    <cellStyle name="Currency 8" xfId="329"/>
    <cellStyle name="Currency 9" xfId="330"/>
    <cellStyle name="Data Enter" xfId="126"/>
    <cellStyle name="date" xfId="331"/>
    <cellStyle name="Explanatory Text 2" xfId="128"/>
    <cellStyle name="Explanatory Text 3" xfId="127"/>
    <cellStyle name="FactSheet" xfId="129"/>
    <cellStyle name="fish" xfId="332"/>
    <cellStyle name="Good 2" xfId="131"/>
    <cellStyle name="Good 3" xfId="130"/>
    <cellStyle name="Heading 1 2" xfId="133"/>
    <cellStyle name="Heading 1 2 2" xfId="333"/>
    <cellStyle name="Heading 1 3" xfId="132"/>
    <cellStyle name="Heading 1 3 2" xfId="334"/>
    <cellStyle name="Heading 2 2" xfId="135"/>
    <cellStyle name="Heading 2 2 2" xfId="335"/>
    <cellStyle name="Heading 2 3" xfId="134"/>
    <cellStyle name="Heading 2 3 2" xfId="336"/>
    <cellStyle name="Heading 3 2" xfId="137"/>
    <cellStyle name="Heading 3 2 2" xfId="337"/>
    <cellStyle name="Heading 3 3" xfId="136"/>
    <cellStyle name="Heading 3 3 2" xfId="338"/>
    <cellStyle name="Heading 4 2" xfId="139"/>
    <cellStyle name="Heading 4 3" xfId="138"/>
    <cellStyle name="Hyperlink 2" xfId="140"/>
    <cellStyle name="Hyperlink 3" xfId="141"/>
    <cellStyle name="Hyperlink 3 2" xfId="295"/>
    <cellStyle name="Input 2" xfId="143"/>
    <cellStyle name="Input 3" xfId="142"/>
    <cellStyle name="input(0)" xfId="144"/>
    <cellStyle name="Input(2)" xfId="145"/>
    <cellStyle name="Linked Cell 2" xfId="147"/>
    <cellStyle name="Linked Cell 2 2" xfId="339"/>
    <cellStyle name="Linked Cell 3" xfId="146"/>
    <cellStyle name="Neutral 2" xfId="149"/>
    <cellStyle name="Neutral 2 2" xfId="340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0 2 2" xfId="341"/>
    <cellStyle name="Normal 10 2 3" xfId="342"/>
    <cellStyle name="Normal 10_2112 DF Schedule" xfId="343"/>
    <cellStyle name="Normal 11" xfId="157"/>
    <cellStyle name="Normal 12" xfId="158"/>
    <cellStyle name="Normal 12 2" xfId="344"/>
    <cellStyle name="Normal 13" xfId="159"/>
    <cellStyle name="Normal 13 2" xfId="345"/>
    <cellStyle name="Normal 14" xfId="160"/>
    <cellStyle name="Normal 14 2" xfId="346"/>
    <cellStyle name="Normal 15" xfId="161"/>
    <cellStyle name="Normal 15 2" xfId="347"/>
    <cellStyle name="Normal 16" xfId="162"/>
    <cellStyle name="Normal 16 2" xfId="348"/>
    <cellStyle name="Normal 17" xfId="163"/>
    <cellStyle name="Normal 17 2" xfId="349"/>
    <cellStyle name="Normal 18" xfId="164"/>
    <cellStyle name="Normal 18 2" xfId="350"/>
    <cellStyle name="Normal 19" xfId="165"/>
    <cellStyle name="Normal 19 2" xfId="351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 3 3" xfId="296"/>
    <cellStyle name="Normal 2 4" xfId="297"/>
    <cellStyle name="Normal 2 5" xfId="298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 4" xfId="281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_2112 DF Schedule" xfId="352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4 3" xfId="353"/>
    <cellStyle name="Normal 85" xfId="252"/>
    <cellStyle name="Normal 85 2" xfId="354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 92" xfId="299"/>
    <cellStyle name="Normal 93" xfId="373"/>
    <cellStyle name="Normal 94" xfId="374"/>
    <cellStyle name="Normal_Price out" xfId="4"/>
    <cellStyle name="Note 2" xfId="246"/>
    <cellStyle name="Note 2 2" xfId="355"/>
    <cellStyle name="Note 3" xfId="245"/>
    <cellStyle name="Note 3 2" xfId="356"/>
    <cellStyle name="Notes" xfId="247"/>
    <cellStyle name="Output 2" xfId="249"/>
    <cellStyle name="Output 3" xfId="248"/>
    <cellStyle name="Percent" xfId="3" builtinId="5"/>
    <cellStyle name="Percent 2" xfId="24"/>
    <cellStyle name="Percent 2 2" xfId="25"/>
    <cellStyle name="Percent 2 2 2" xfId="251"/>
    <cellStyle name="Percent 2 3" xfId="357"/>
    <cellStyle name="Percent 2 6" xfId="26"/>
    <cellStyle name="Percent 3" xfId="27"/>
    <cellStyle name="Percent 3 2" xfId="28"/>
    <cellStyle name="Percent 4" xfId="29"/>
    <cellStyle name="Percent 4 2" xfId="358"/>
    <cellStyle name="Percent 4 3" xfId="359"/>
    <cellStyle name="Percent 5" xfId="253"/>
    <cellStyle name="Percent 6" xfId="254"/>
    <cellStyle name="Percent 7" xfId="250"/>
    <cellStyle name="Percent 7 2" xfId="275"/>
    <cellStyle name="Percent 7 3" xfId="360"/>
    <cellStyle name="Percent 8" xfId="361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0 - Style1" xfId="362"/>
    <cellStyle name="STYL1 - Style2" xfId="363"/>
    <cellStyle name="STYL2 - Style3" xfId="364"/>
    <cellStyle name="STYL3 - Style4" xfId="365"/>
    <cellStyle name="STYL4 - Style5" xfId="366"/>
    <cellStyle name="STYL5 - Style6" xfId="367"/>
    <cellStyle name="STYL6 - Style7" xfId="368"/>
    <cellStyle name="STYL7 - Style8" xfId="369"/>
    <cellStyle name="Style 1" xfId="261"/>
    <cellStyle name="Style 1 2" xfId="262"/>
    <cellStyle name="STYLE1" xfId="263"/>
    <cellStyle name="sub heading" xfId="370"/>
    <cellStyle name="Title 2" xfId="265"/>
    <cellStyle name="Title 3" xfId="264"/>
    <cellStyle name="Total 2" xfId="267"/>
    <cellStyle name="Total 2 2" xfId="371"/>
    <cellStyle name="Total 3" xfId="266"/>
    <cellStyle name="Total 3 2" xfId="372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view="pageBreakPreview" zoomScale="85" zoomScaleNormal="85" zoomScaleSheetLayoutView="85" workbookViewId="0">
      <selection activeCell="P20" sqref="P20"/>
    </sheetView>
  </sheetViews>
  <sheetFormatPr defaultRowHeight="15"/>
  <cols>
    <col min="1" max="1" width="36.28515625" style="34" bestFit="1" customWidth="1"/>
    <col min="2" max="2" width="19" style="34" bestFit="1" customWidth="1"/>
    <col min="3" max="3" width="16" style="34" bestFit="1" customWidth="1"/>
    <col min="4" max="4" width="10.5703125" style="34" bestFit="1" customWidth="1"/>
    <col min="5" max="5" width="7" style="34" bestFit="1" customWidth="1"/>
    <col min="6" max="6" width="11.42578125" style="34" bestFit="1" customWidth="1"/>
    <col min="7" max="7" width="10" style="34" bestFit="1" customWidth="1"/>
    <col min="8" max="8" width="8" style="34" bestFit="1" customWidth="1"/>
    <col min="9" max="9" width="15.85546875" style="34" bestFit="1" customWidth="1"/>
    <col min="10" max="10" width="12" style="34" bestFit="1" customWidth="1"/>
    <col min="11" max="16384" width="9.140625" style="34"/>
  </cols>
  <sheetData>
    <row r="1" spans="1:8" s="41" customFormat="1">
      <c r="A1" s="95" t="s">
        <v>287</v>
      </c>
      <c r="B1" s="138"/>
    </row>
    <row r="2" spans="1:8" s="41" customFormat="1">
      <c r="A2" s="95" t="s">
        <v>371</v>
      </c>
      <c r="B2" s="138"/>
    </row>
    <row r="3" spans="1:8" s="41" customFormat="1">
      <c r="A3" s="95" t="s">
        <v>372</v>
      </c>
      <c r="B3" s="138"/>
    </row>
    <row r="4" spans="1:8" ht="32.25" customHeight="1">
      <c r="A4" s="171" t="s">
        <v>378</v>
      </c>
      <c r="B4" s="171"/>
      <c r="C4" s="171"/>
      <c r="D4" s="171"/>
      <c r="E4" s="171"/>
      <c r="F4" s="171"/>
      <c r="G4" s="171"/>
      <c r="H4" s="171"/>
    </row>
    <row r="6" spans="1:8">
      <c r="A6" s="168" t="s">
        <v>18</v>
      </c>
      <c r="B6" s="168"/>
      <c r="C6" s="168"/>
      <c r="D6" s="168"/>
      <c r="E6" s="168"/>
      <c r="F6" s="168"/>
      <c r="G6" s="168"/>
      <c r="H6" s="168"/>
    </row>
    <row r="7" spans="1:8">
      <c r="A7" s="34" t="s">
        <v>62</v>
      </c>
      <c r="B7" s="21" t="s">
        <v>49</v>
      </c>
      <c r="C7" s="21" t="s">
        <v>50</v>
      </c>
      <c r="D7" s="21" t="s">
        <v>51</v>
      </c>
      <c r="E7" s="22" t="s">
        <v>53</v>
      </c>
      <c r="F7" s="22" t="s">
        <v>54</v>
      </c>
      <c r="G7" s="22" t="s">
        <v>55</v>
      </c>
      <c r="H7" s="21" t="s">
        <v>58</v>
      </c>
    </row>
    <row r="8" spans="1:8">
      <c r="A8" s="34" t="s">
        <v>59</v>
      </c>
      <c r="B8" s="1">
        <f>52*5/12</f>
        <v>21.666666666666668</v>
      </c>
      <c r="C8" s="23">
        <f>$B$8*2</f>
        <v>43.333333333333336</v>
      </c>
      <c r="D8" s="23">
        <f>$B$8*3</f>
        <v>65</v>
      </c>
      <c r="E8" s="23">
        <f>$B$8*4</f>
        <v>86.666666666666671</v>
      </c>
      <c r="F8" s="23">
        <f>$B$8*5</f>
        <v>108.33333333333334</v>
      </c>
      <c r="G8" s="23">
        <f>$B$8*6</f>
        <v>130</v>
      </c>
      <c r="H8" s="23">
        <f>$B$8*7</f>
        <v>151.66666666666669</v>
      </c>
    </row>
    <row r="9" spans="1:8">
      <c r="A9" s="34" t="s">
        <v>97</v>
      </c>
      <c r="B9" s="1">
        <f>52*4/12</f>
        <v>17.333333333333332</v>
      </c>
      <c r="C9" s="23">
        <f>$B$9*2</f>
        <v>34.666666666666664</v>
      </c>
      <c r="D9" s="23">
        <f>$B$9*3</f>
        <v>52</v>
      </c>
      <c r="E9" s="23">
        <f>$B$9*4</f>
        <v>69.333333333333329</v>
      </c>
      <c r="F9" s="23">
        <f>$B$9*5</f>
        <v>86.666666666666657</v>
      </c>
      <c r="G9" s="23">
        <f>$B$9*6</f>
        <v>104</v>
      </c>
      <c r="H9" s="23">
        <f>$B$9*7</f>
        <v>121.33333333333333</v>
      </c>
    </row>
    <row r="10" spans="1:8">
      <c r="A10" s="34" t="s">
        <v>60</v>
      </c>
      <c r="B10" s="1">
        <f>52*3/12</f>
        <v>13</v>
      </c>
      <c r="C10" s="23">
        <f>$B$10*2</f>
        <v>26</v>
      </c>
      <c r="D10" s="23">
        <f>$B$10*3</f>
        <v>39</v>
      </c>
      <c r="E10" s="23">
        <f>$B$10*4</f>
        <v>52</v>
      </c>
      <c r="F10" s="23">
        <f>$B$10*5</f>
        <v>65</v>
      </c>
      <c r="G10" s="23">
        <f>$B$10*6</f>
        <v>78</v>
      </c>
      <c r="H10" s="23">
        <f>$B$10*7</f>
        <v>91</v>
      </c>
    </row>
    <row r="11" spans="1:8">
      <c r="A11" s="34" t="s">
        <v>61</v>
      </c>
      <c r="B11" s="1">
        <f>52*2/12</f>
        <v>8.6666666666666661</v>
      </c>
      <c r="C11" s="37">
        <f>$B$11*2</f>
        <v>17.333333333333332</v>
      </c>
      <c r="D11" s="37">
        <f>$B$11*3</f>
        <v>26</v>
      </c>
      <c r="E11" s="37">
        <f>$B$11*4</f>
        <v>34.666666666666664</v>
      </c>
      <c r="F11" s="37">
        <f>$B$11*5</f>
        <v>43.333333333333329</v>
      </c>
      <c r="G11" s="37">
        <f>$B$11*6</f>
        <v>52</v>
      </c>
      <c r="H11" s="37">
        <f>$B$11*7</f>
        <v>60.666666666666664</v>
      </c>
    </row>
    <row r="12" spans="1:8">
      <c r="A12" s="34" t="s">
        <v>21</v>
      </c>
      <c r="B12" s="1">
        <f>52/12</f>
        <v>4.333333333333333</v>
      </c>
      <c r="C12" s="37">
        <f>$B$12*2</f>
        <v>8.6666666666666661</v>
      </c>
      <c r="D12" s="37">
        <f>$B$12*3</f>
        <v>13</v>
      </c>
      <c r="E12" s="37">
        <f>$B$12*4</f>
        <v>17.333333333333332</v>
      </c>
      <c r="F12" s="37">
        <f>$B$12*5</f>
        <v>21.666666666666664</v>
      </c>
      <c r="G12" s="37">
        <f>$B$12*6</f>
        <v>26</v>
      </c>
      <c r="H12" s="37">
        <f>$B$12*7</f>
        <v>30.333333333333332</v>
      </c>
    </row>
    <row r="13" spans="1:8">
      <c r="A13" s="34" t="s">
        <v>23</v>
      </c>
      <c r="B13" s="81">
        <f>26/12</f>
        <v>2.1666666666666665</v>
      </c>
      <c r="C13" s="37">
        <f>$B$13*2</f>
        <v>4.333333333333333</v>
      </c>
      <c r="D13" s="37">
        <f>$B$13*3</f>
        <v>6.5</v>
      </c>
      <c r="E13" s="37">
        <f>$B$13*4</f>
        <v>8.6666666666666661</v>
      </c>
      <c r="F13" s="37">
        <f>$B$13*5</f>
        <v>10.833333333333332</v>
      </c>
      <c r="G13" s="37">
        <f>$B$13*6</f>
        <v>13</v>
      </c>
      <c r="H13" s="37">
        <f>$B$13*7</f>
        <v>15.166666666666666</v>
      </c>
    </row>
    <row r="14" spans="1:8">
      <c r="A14" s="34" t="s">
        <v>22</v>
      </c>
      <c r="B14" s="1">
        <f>12/12</f>
        <v>1</v>
      </c>
      <c r="C14" s="37">
        <f>$B$14*2</f>
        <v>2</v>
      </c>
      <c r="D14" s="37">
        <f>$B$14*3</f>
        <v>3</v>
      </c>
      <c r="E14" s="37">
        <f>$B$14*4</f>
        <v>4</v>
      </c>
      <c r="F14" s="37">
        <f>$B$14*5</f>
        <v>5</v>
      </c>
      <c r="G14" s="37">
        <f>$B$14*6</f>
        <v>6</v>
      </c>
      <c r="H14" s="37">
        <f>$B$14*7</f>
        <v>7</v>
      </c>
    </row>
    <row r="15" spans="1:8">
      <c r="B15" s="1"/>
      <c r="C15" s="37"/>
      <c r="D15" s="37"/>
      <c r="E15" s="37"/>
      <c r="F15" s="37"/>
      <c r="G15" s="37"/>
      <c r="H15" s="37"/>
    </row>
    <row r="16" spans="1:8">
      <c r="A16" s="168" t="s">
        <v>10</v>
      </c>
      <c r="B16" s="168"/>
      <c r="C16" s="37"/>
      <c r="D16" s="37"/>
      <c r="E16" s="37"/>
      <c r="F16" s="37"/>
      <c r="G16" s="37"/>
      <c r="H16" s="37"/>
    </row>
    <row r="17" spans="1:8">
      <c r="A17" s="35" t="s">
        <v>57</v>
      </c>
      <c r="B17" s="39" t="s">
        <v>87</v>
      </c>
      <c r="C17" s="37"/>
      <c r="D17" s="37"/>
      <c r="E17" s="37"/>
      <c r="F17" s="37"/>
      <c r="G17" s="37"/>
      <c r="H17" s="37"/>
    </row>
    <row r="18" spans="1:8">
      <c r="A18" s="38" t="s">
        <v>88</v>
      </c>
      <c r="B18" s="36">
        <v>20</v>
      </c>
      <c r="C18" s="37"/>
      <c r="D18" s="37"/>
      <c r="E18" s="37"/>
      <c r="F18" s="37"/>
      <c r="G18" s="37"/>
      <c r="H18" s="37"/>
    </row>
    <row r="19" spans="1:8">
      <c r="A19" s="38" t="s">
        <v>63</v>
      </c>
      <c r="B19" s="36">
        <v>34</v>
      </c>
      <c r="C19" s="37"/>
      <c r="D19" s="37"/>
      <c r="E19" s="37"/>
      <c r="F19" s="37"/>
      <c r="G19" s="37"/>
      <c r="H19" s="37"/>
    </row>
    <row r="20" spans="1:8">
      <c r="A20" s="38" t="s">
        <v>64</v>
      </c>
      <c r="B20" s="36">
        <v>51</v>
      </c>
      <c r="C20" s="37"/>
      <c r="D20" s="37"/>
      <c r="E20" s="37"/>
      <c r="F20" s="37"/>
      <c r="G20" s="37"/>
      <c r="H20" s="37"/>
    </row>
    <row r="21" spans="1:8">
      <c r="A21" s="38" t="s">
        <v>65</v>
      </c>
      <c r="B21" s="36">
        <v>77</v>
      </c>
      <c r="C21" s="37"/>
      <c r="D21" s="37"/>
      <c r="E21" s="37"/>
      <c r="F21" s="34" t="s">
        <v>19</v>
      </c>
      <c r="G21" s="36">
        <v>2000</v>
      </c>
      <c r="H21" s="37"/>
    </row>
    <row r="22" spans="1:8">
      <c r="A22" s="38" t="s">
        <v>66</v>
      </c>
      <c r="B22" s="36">
        <v>97</v>
      </c>
      <c r="C22" s="37"/>
      <c r="D22" s="37"/>
      <c r="E22" s="37"/>
      <c r="F22" s="34" t="s">
        <v>20</v>
      </c>
      <c r="G22" s="24" t="s">
        <v>52</v>
      </c>
      <c r="H22" s="37"/>
    </row>
    <row r="23" spans="1:8">
      <c r="A23" s="38" t="s">
        <v>67</v>
      </c>
      <c r="B23" s="36">
        <v>117</v>
      </c>
      <c r="C23" s="37"/>
      <c r="D23" s="37"/>
      <c r="E23" s="37"/>
      <c r="H23" s="37"/>
    </row>
    <row r="24" spans="1:8">
      <c r="A24" s="38" t="s">
        <v>68</v>
      </c>
      <c r="B24" s="36">
        <v>157</v>
      </c>
      <c r="C24" s="37"/>
      <c r="D24" s="37"/>
      <c r="E24" s="37"/>
      <c r="F24" s="14"/>
      <c r="G24" s="15"/>
      <c r="H24" s="37"/>
    </row>
    <row r="25" spans="1:8">
      <c r="A25" s="38" t="s">
        <v>232</v>
      </c>
      <c r="B25" s="36">
        <v>37</v>
      </c>
      <c r="C25" s="37" t="s">
        <v>233</v>
      </c>
      <c r="D25" s="37"/>
      <c r="E25" s="37"/>
      <c r="F25" s="14"/>
      <c r="G25" s="15"/>
      <c r="H25" s="37"/>
    </row>
    <row r="26" spans="1:8">
      <c r="A26" s="38" t="s">
        <v>69</v>
      </c>
      <c r="B26" s="36">
        <v>47</v>
      </c>
      <c r="C26" s="37"/>
      <c r="D26" s="37"/>
      <c r="E26" s="37"/>
      <c r="F26" s="37"/>
      <c r="G26" s="37"/>
      <c r="H26" s="37"/>
    </row>
    <row r="27" spans="1:8">
      <c r="A27" s="38" t="s">
        <v>70</v>
      </c>
      <c r="B27" s="36">
        <v>68</v>
      </c>
      <c r="C27" s="37"/>
      <c r="D27" s="37"/>
      <c r="E27" s="37"/>
      <c r="F27" s="37"/>
      <c r="G27" s="37"/>
      <c r="H27" s="37"/>
    </row>
    <row r="28" spans="1:8">
      <c r="A28" s="38" t="s">
        <v>71</v>
      </c>
      <c r="B28" s="36">
        <v>34</v>
      </c>
      <c r="C28" s="37"/>
      <c r="D28" s="37"/>
      <c r="E28" s="37"/>
      <c r="F28" s="37"/>
      <c r="G28" s="37"/>
      <c r="H28" s="37"/>
    </row>
    <row r="29" spans="1:8">
      <c r="A29" s="38" t="s">
        <v>31</v>
      </c>
      <c r="B29" s="36">
        <v>34</v>
      </c>
      <c r="C29" s="37"/>
      <c r="D29" s="37"/>
      <c r="E29" s="37"/>
      <c r="F29" s="37"/>
      <c r="G29" s="37"/>
      <c r="H29" s="37"/>
    </row>
    <row r="30" spans="1:8">
      <c r="A30" s="35" t="s">
        <v>72</v>
      </c>
      <c r="B30" s="36"/>
      <c r="C30" s="37"/>
      <c r="D30" s="37"/>
      <c r="E30" s="37"/>
      <c r="F30" s="37"/>
      <c r="G30" s="37"/>
      <c r="H30" s="37"/>
    </row>
    <row r="31" spans="1:8">
      <c r="A31" s="38" t="s">
        <v>73</v>
      </c>
      <c r="B31" s="36">
        <v>29</v>
      </c>
      <c r="C31" s="37"/>
      <c r="D31" s="37"/>
      <c r="E31" s="37"/>
      <c r="F31" s="37"/>
      <c r="G31" s="37"/>
      <c r="H31" s="37"/>
    </row>
    <row r="32" spans="1:8">
      <c r="A32" s="38" t="s">
        <v>74</v>
      </c>
      <c r="B32" s="36">
        <v>175</v>
      </c>
      <c r="C32" s="37"/>
      <c r="D32" s="37"/>
      <c r="E32" s="37"/>
      <c r="F32" s="37"/>
      <c r="G32" s="37"/>
      <c r="H32" s="37"/>
    </row>
    <row r="33" spans="1:8">
      <c r="A33" s="38" t="s">
        <v>75</v>
      </c>
      <c r="B33" s="36">
        <v>250</v>
      </c>
      <c r="C33" s="37"/>
      <c r="D33" s="37"/>
      <c r="E33" s="37"/>
      <c r="F33" s="37"/>
      <c r="G33" s="37"/>
      <c r="H33" s="37"/>
    </row>
    <row r="34" spans="1:8">
      <c r="A34" s="38" t="s">
        <v>108</v>
      </c>
      <c r="B34" s="36">
        <v>375</v>
      </c>
      <c r="C34" s="37" t="s">
        <v>89</v>
      </c>
      <c r="D34" s="37"/>
      <c r="E34" s="37"/>
      <c r="F34" s="37"/>
      <c r="G34" s="37"/>
      <c r="H34" s="37"/>
    </row>
    <row r="35" spans="1:8">
      <c r="A35" s="38" t="s">
        <v>76</v>
      </c>
      <c r="B35" s="36">
        <v>324</v>
      </c>
      <c r="C35" s="37"/>
      <c r="D35" s="37"/>
      <c r="E35" s="37"/>
      <c r="F35" s="37"/>
      <c r="G35" s="37"/>
      <c r="H35" s="37"/>
    </row>
    <row r="36" spans="1:8">
      <c r="A36" s="38" t="s">
        <v>77</v>
      </c>
      <c r="B36" s="36">
        <v>473</v>
      </c>
      <c r="C36" s="37"/>
      <c r="D36" s="37"/>
      <c r="E36" s="37"/>
      <c r="F36" s="37"/>
      <c r="G36" s="37"/>
      <c r="H36" s="37"/>
    </row>
    <row r="37" spans="1:8">
      <c r="A37" s="38" t="s">
        <v>107</v>
      </c>
      <c r="B37" s="36">
        <v>710</v>
      </c>
      <c r="C37" s="37" t="s">
        <v>89</v>
      </c>
      <c r="D37" s="37"/>
      <c r="E37" s="37"/>
      <c r="F37" s="37"/>
      <c r="G37" s="37"/>
      <c r="H37" s="37"/>
    </row>
    <row r="38" spans="1:8">
      <c r="A38" s="38" t="s">
        <v>78</v>
      </c>
      <c r="B38" s="36">
        <v>613</v>
      </c>
      <c r="C38" s="37"/>
      <c r="D38" s="37"/>
      <c r="E38" s="37"/>
      <c r="F38" s="37"/>
      <c r="G38" s="37"/>
      <c r="H38" s="37"/>
    </row>
    <row r="39" spans="1:8">
      <c r="A39" s="38" t="s">
        <v>106</v>
      </c>
      <c r="B39" s="36">
        <v>920</v>
      </c>
      <c r="C39" s="37" t="s">
        <v>89</v>
      </c>
      <c r="D39" s="37"/>
      <c r="E39" s="37"/>
      <c r="F39" s="37"/>
      <c r="G39" s="37"/>
      <c r="H39" s="37"/>
    </row>
    <row r="40" spans="1:8">
      <c r="A40" s="38" t="s">
        <v>79</v>
      </c>
      <c r="B40" s="36">
        <v>840</v>
      </c>
      <c r="C40" s="37"/>
      <c r="D40" s="37"/>
      <c r="E40" s="37"/>
      <c r="F40" s="37"/>
      <c r="G40" s="37"/>
      <c r="H40" s="37"/>
    </row>
    <row r="41" spans="1:8">
      <c r="A41" s="38" t="s">
        <v>105</v>
      </c>
      <c r="B41" s="36">
        <v>1260</v>
      </c>
      <c r="C41" s="37" t="s">
        <v>89</v>
      </c>
      <c r="D41" s="37"/>
      <c r="E41" s="37"/>
      <c r="F41" s="37"/>
      <c r="G41" s="37"/>
      <c r="H41" s="37"/>
    </row>
    <row r="42" spans="1:8">
      <c r="A42" s="38" t="s">
        <v>80</v>
      </c>
      <c r="B42" s="36">
        <v>980</v>
      </c>
      <c r="C42" s="37"/>
      <c r="D42" s="37"/>
      <c r="E42" s="37"/>
      <c r="F42" s="37"/>
      <c r="G42" s="37"/>
      <c r="H42" s="37"/>
    </row>
    <row r="43" spans="1:8">
      <c r="A43" s="38" t="s">
        <v>98</v>
      </c>
      <c r="B43" s="36">
        <v>482</v>
      </c>
      <c r="C43" s="37" t="s">
        <v>89</v>
      </c>
      <c r="D43" s="37"/>
      <c r="E43" s="37"/>
      <c r="F43" s="37"/>
      <c r="G43" s="37"/>
      <c r="H43" s="37"/>
    </row>
    <row r="44" spans="1:8">
      <c r="A44" s="38" t="s">
        <v>99</v>
      </c>
      <c r="B44" s="36">
        <v>689</v>
      </c>
      <c r="C44" s="37" t="s">
        <v>89</v>
      </c>
      <c r="D44" s="37"/>
      <c r="E44" s="37"/>
      <c r="F44" s="37"/>
      <c r="G44" s="37"/>
      <c r="H44" s="37"/>
    </row>
    <row r="45" spans="1:8">
      <c r="A45" s="38" t="s">
        <v>82</v>
      </c>
      <c r="B45" s="36">
        <v>892</v>
      </c>
      <c r="C45" s="37" t="s">
        <v>89</v>
      </c>
      <c r="D45" s="37"/>
      <c r="E45" s="37"/>
      <c r="F45" s="37"/>
      <c r="G45" s="37"/>
      <c r="H45" s="37"/>
    </row>
    <row r="46" spans="1:8">
      <c r="A46" s="38" t="s">
        <v>81</v>
      </c>
      <c r="B46" s="36">
        <v>1301</v>
      </c>
      <c r="C46" s="37"/>
      <c r="D46" s="37"/>
      <c r="E46" s="37"/>
      <c r="F46" s="37"/>
      <c r="G46" s="37"/>
      <c r="H46" s="37"/>
    </row>
    <row r="47" spans="1:8">
      <c r="A47" s="38" t="s">
        <v>83</v>
      </c>
      <c r="B47" s="36">
        <v>1686</v>
      </c>
      <c r="C47" s="37"/>
      <c r="D47" s="37"/>
      <c r="E47" s="37"/>
      <c r="F47" s="37"/>
      <c r="G47" s="37"/>
      <c r="H47" s="37"/>
    </row>
    <row r="48" spans="1:8">
      <c r="A48" s="38" t="s">
        <v>84</v>
      </c>
      <c r="B48" s="36">
        <v>2046</v>
      </c>
      <c r="C48" s="37"/>
      <c r="D48" s="37"/>
      <c r="E48" s="37"/>
      <c r="F48" s="37"/>
      <c r="G48" s="37"/>
      <c r="H48" s="37"/>
    </row>
    <row r="49" spans="1:8">
      <c r="A49" s="38" t="s">
        <v>85</v>
      </c>
      <c r="B49" s="36">
        <v>2310</v>
      </c>
      <c r="C49" s="37"/>
      <c r="D49" s="37"/>
      <c r="E49" s="37"/>
      <c r="F49" s="37"/>
      <c r="G49" s="37"/>
      <c r="H49" s="37"/>
    </row>
    <row r="50" spans="1:8">
      <c r="A50" s="38" t="s">
        <v>100</v>
      </c>
      <c r="B50" s="36">
        <v>2800</v>
      </c>
      <c r="C50" s="37" t="s">
        <v>89</v>
      </c>
      <c r="D50" s="37"/>
      <c r="E50" s="37"/>
      <c r="F50" s="37"/>
      <c r="G50" s="37"/>
      <c r="H50" s="37"/>
    </row>
    <row r="51" spans="1:8">
      <c r="A51" s="38" t="s">
        <v>86</v>
      </c>
      <c r="B51" s="36">
        <v>125</v>
      </c>
      <c r="C51" s="37"/>
      <c r="D51" s="37"/>
      <c r="E51" s="37"/>
      <c r="F51" s="37"/>
      <c r="G51" s="37"/>
      <c r="H51" s="37"/>
    </row>
    <row r="52" spans="1:8">
      <c r="B52" s="170" t="s">
        <v>104</v>
      </c>
      <c r="C52" s="170"/>
    </row>
    <row r="55" spans="1:8">
      <c r="A55" s="30" t="s">
        <v>109</v>
      </c>
      <c r="B55" s="29" t="s">
        <v>6</v>
      </c>
      <c r="C55" s="29" t="s">
        <v>7</v>
      </c>
      <c r="F55" s="169" t="s">
        <v>26</v>
      </c>
      <c r="G55" s="169"/>
    </row>
    <row r="56" spans="1:8">
      <c r="A56" s="102" t="s">
        <v>8</v>
      </c>
      <c r="B56" s="125">
        <v>149.69</v>
      </c>
      <c r="C56" s="126">
        <f>B56/2000</f>
        <v>7.4844999999999995E-2</v>
      </c>
      <c r="F56" s="34" t="s">
        <v>27</v>
      </c>
      <c r="G56" s="8">
        <f>0.015</f>
        <v>1.4999999999999999E-2</v>
      </c>
    </row>
    <row r="57" spans="1:8">
      <c r="A57" s="102" t="s">
        <v>376</v>
      </c>
      <c r="B57" s="125">
        <f>ROUND(B56*1.025,2)</f>
        <v>153.43</v>
      </c>
      <c r="C57" s="126">
        <f>B57/2000</f>
        <v>7.6715000000000005E-2</v>
      </c>
      <c r="F57" s="34" t="s">
        <v>28</v>
      </c>
      <c r="G57" s="9">
        <f>0.004275</f>
        <v>4.2750000000000002E-3</v>
      </c>
    </row>
    <row r="58" spans="1:8">
      <c r="A58" s="38" t="s">
        <v>9</v>
      </c>
      <c r="B58" s="127">
        <f>B57-B56</f>
        <v>3.7400000000000091</v>
      </c>
      <c r="C58" s="128">
        <f>C57-C56</f>
        <v>1.8700000000000105E-3</v>
      </c>
      <c r="D58" s="99">
        <f>B58/B56</f>
        <v>2.4984968935800714E-2</v>
      </c>
      <c r="F58" s="34" t="s">
        <v>56</v>
      </c>
      <c r="G58" s="10"/>
    </row>
    <row r="59" spans="1:8">
      <c r="C59" s="89"/>
      <c r="F59" s="34" t="s">
        <v>16</v>
      </c>
      <c r="G59" s="25">
        <f>SUM(G56:G58)</f>
        <v>1.9275E-2</v>
      </c>
    </row>
    <row r="60" spans="1:8">
      <c r="B60" s="29" t="s">
        <v>110</v>
      </c>
    </row>
    <row r="61" spans="1:8">
      <c r="A61" s="34" t="s">
        <v>4</v>
      </c>
      <c r="B61" s="26">
        <f>B58</f>
        <v>3.7400000000000091</v>
      </c>
      <c r="F61" s="34" t="s">
        <v>29</v>
      </c>
      <c r="G61" s="28">
        <f>1-G59</f>
        <v>0.98072499999999996</v>
      </c>
    </row>
    <row r="62" spans="1:8">
      <c r="A62" s="34" t="s">
        <v>25</v>
      </c>
      <c r="B62" s="26">
        <f>B61/$G$61</f>
        <v>3.8135053149455853</v>
      </c>
    </row>
    <row r="63" spans="1:8">
      <c r="A63" s="34" t="s">
        <v>24</v>
      </c>
      <c r="B63" s="13">
        <f>'Staff Calcs '!D77</f>
        <v>3856.73</v>
      </c>
    </row>
    <row r="64" spans="1:8">
      <c r="A64" s="35" t="s">
        <v>30</v>
      </c>
      <c r="B64" s="5">
        <f>B62*B63</f>
        <v>14707.660353310088</v>
      </c>
      <c r="D64" s="43"/>
      <c r="E64" s="92"/>
    </row>
    <row r="65" spans="1:7">
      <c r="F65" s="43"/>
      <c r="G65" s="92"/>
    </row>
    <row r="66" spans="1:7">
      <c r="F66" s="43"/>
      <c r="G66" s="92"/>
    </row>
    <row r="67" spans="1:7" ht="15.75" thickBot="1"/>
    <row r="68" spans="1:7">
      <c r="A68" s="83" t="s">
        <v>95</v>
      </c>
      <c r="B68" s="84" t="s">
        <v>93</v>
      </c>
      <c r="D68" s="26"/>
    </row>
    <row r="69" spans="1:7">
      <c r="A69" s="85" t="s">
        <v>94</v>
      </c>
      <c r="B69" s="86">
        <f>'Staff Calcs '!R48</f>
        <v>14722.795409460854</v>
      </c>
    </row>
    <row r="70" spans="1:7">
      <c r="A70" s="85" t="s">
        <v>12</v>
      </c>
      <c r="B70" s="86">
        <f>B69-B64</f>
        <v>15.135056150766104</v>
      </c>
    </row>
    <row r="71" spans="1:7" ht="15.75" thickBot="1">
      <c r="A71" s="100"/>
      <c r="B71" s="129"/>
    </row>
    <row r="72" spans="1:7">
      <c r="A72" s="95"/>
      <c r="B72" s="101"/>
    </row>
    <row r="73" spans="1:7">
      <c r="A73" s="41"/>
      <c r="B73" s="76"/>
    </row>
    <row r="74" spans="1:7">
      <c r="A74" s="19"/>
      <c r="B74" s="76"/>
    </row>
  </sheetData>
  <mergeCells count="5">
    <mergeCell ref="A6:H6"/>
    <mergeCell ref="F55:G55"/>
    <mergeCell ref="A16:B16"/>
    <mergeCell ref="B52:C52"/>
    <mergeCell ref="A4:H4"/>
  </mergeCells>
  <pageMargins left="0.7" right="0.7" top="0.75" bottom="0.75" header="0.3" footer="0.3"/>
  <pageSetup scale="65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0"/>
  <sheetViews>
    <sheetView tabSelected="1" view="pageBreakPreview" zoomScale="85" zoomScaleNormal="85" zoomScaleSheetLayoutView="85" workbookViewId="0">
      <selection activeCell="P20" sqref="P20"/>
    </sheetView>
  </sheetViews>
  <sheetFormatPr defaultColWidth="8.85546875" defaultRowHeight="15"/>
  <cols>
    <col min="1" max="1" width="4.5703125" style="41" customWidth="1"/>
    <col min="2" max="2" width="13.42578125" style="45" bestFit="1" customWidth="1"/>
    <col min="3" max="3" width="29.28515625" style="41" bestFit="1" customWidth="1"/>
    <col min="4" max="4" width="12.28515625" style="42" bestFit="1" customWidth="1"/>
    <col min="5" max="5" width="10.28515625" style="41" bestFit="1" customWidth="1"/>
    <col min="6" max="6" width="11.7109375" style="41" bestFit="1" customWidth="1"/>
    <col min="7" max="7" width="15.140625" style="41" bestFit="1" customWidth="1"/>
    <col min="8" max="8" width="17.28515625" style="41" bestFit="1" customWidth="1"/>
    <col min="9" max="9" width="16.28515625" style="40" bestFit="1" customWidth="1"/>
    <col min="10" max="11" width="12.28515625" style="41" bestFit="1" customWidth="1"/>
    <col min="12" max="12" width="10.7109375" style="41" bestFit="1" customWidth="1"/>
    <col min="13" max="13" width="16.5703125" style="41" bestFit="1" customWidth="1"/>
    <col min="14" max="14" width="20.140625" style="41" bestFit="1" customWidth="1"/>
    <col min="15" max="15" width="18.140625" style="41" bestFit="1" customWidth="1"/>
    <col min="16" max="16" width="16.5703125" style="41" bestFit="1" customWidth="1"/>
    <col min="17" max="17" width="18.42578125" style="41" bestFit="1" customWidth="1"/>
    <col min="18" max="18" width="18.7109375" style="41" bestFit="1" customWidth="1"/>
    <col min="19" max="19" width="15.28515625" style="41" bestFit="1" customWidth="1"/>
    <col min="20" max="20" width="22.85546875" style="41" bestFit="1" customWidth="1"/>
    <col min="21" max="21" width="13.5703125" style="41" bestFit="1" customWidth="1"/>
    <col min="22" max="23" width="16.5703125" style="41" bestFit="1" customWidth="1"/>
    <col min="24" max="16384" width="8.85546875" style="41"/>
  </cols>
  <sheetData>
    <row r="1" spans="1:25">
      <c r="A1" s="95" t="s">
        <v>287</v>
      </c>
      <c r="B1" s="138"/>
      <c r="D1" s="41"/>
      <c r="I1" s="41"/>
    </row>
    <row r="2" spans="1:25">
      <c r="A2" s="95" t="s">
        <v>371</v>
      </c>
      <c r="B2" s="138"/>
      <c r="D2" s="41"/>
      <c r="I2" s="41"/>
    </row>
    <row r="3" spans="1:25">
      <c r="A3" s="95" t="s">
        <v>373</v>
      </c>
      <c r="B3" s="138"/>
      <c r="D3" s="41"/>
      <c r="I3" s="41"/>
    </row>
    <row r="4" spans="1:25">
      <c r="A4" s="95" t="s">
        <v>377</v>
      </c>
      <c r="B4" s="138"/>
      <c r="D4" s="41"/>
      <c r="I4" s="41"/>
    </row>
    <row r="5" spans="1:25" ht="31.5" customHeight="1">
      <c r="A5" s="172" t="s">
        <v>362</v>
      </c>
      <c r="B5" s="172"/>
      <c r="C5" s="172"/>
      <c r="D5" s="172"/>
      <c r="E5" s="172"/>
      <c r="F5" s="172"/>
      <c r="G5" s="172"/>
      <c r="H5" s="172"/>
      <c r="I5" s="172"/>
      <c r="J5" s="139"/>
    </row>
    <row r="6" spans="1:25" ht="30">
      <c r="A6" s="30"/>
      <c r="B6" s="63" t="s">
        <v>15</v>
      </c>
      <c r="C6" s="164" t="s">
        <v>17</v>
      </c>
      <c r="D6" s="63" t="s">
        <v>42</v>
      </c>
      <c r="E6" s="63" t="s">
        <v>0</v>
      </c>
      <c r="F6" s="63" t="s">
        <v>1</v>
      </c>
      <c r="G6" s="63" t="s">
        <v>10</v>
      </c>
      <c r="H6" s="63" t="s">
        <v>34</v>
      </c>
      <c r="I6" s="140" t="s">
        <v>35</v>
      </c>
      <c r="J6" s="140" t="s">
        <v>9</v>
      </c>
      <c r="K6" s="63" t="s">
        <v>2</v>
      </c>
      <c r="L6" s="63" t="s">
        <v>44</v>
      </c>
      <c r="M6" s="141" t="s">
        <v>39</v>
      </c>
      <c r="N6" s="63" t="s">
        <v>36</v>
      </c>
      <c r="O6" s="63" t="s">
        <v>37</v>
      </c>
      <c r="P6" s="63" t="s">
        <v>40</v>
      </c>
      <c r="Q6" s="63" t="s">
        <v>38</v>
      </c>
      <c r="R6" s="63" t="s">
        <v>45</v>
      </c>
      <c r="S6" s="63" t="s">
        <v>41</v>
      </c>
      <c r="T6" s="63" t="s">
        <v>43</v>
      </c>
      <c r="U6" s="63" t="s">
        <v>46</v>
      </c>
      <c r="V6" s="63" t="s">
        <v>48</v>
      </c>
      <c r="W6" s="63" t="s">
        <v>47</v>
      </c>
    </row>
    <row r="7" spans="1:25" s="43" customFormat="1" ht="15" customHeight="1">
      <c r="A7" s="173" t="s">
        <v>13</v>
      </c>
      <c r="B7" s="27">
        <v>21</v>
      </c>
      <c r="C7" s="41" t="s">
        <v>111</v>
      </c>
      <c r="D7" s="7">
        <v>9.6300000000000008</v>
      </c>
      <c r="E7" s="107">
        <f>References!B12</f>
        <v>4.333333333333333</v>
      </c>
      <c r="F7" s="52">
        <f>D7*E7*12</f>
        <v>500.76000000000005</v>
      </c>
      <c r="G7" s="52">
        <f>References!B18</f>
        <v>20</v>
      </c>
      <c r="H7" s="52">
        <f>F7*G7</f>
        <v>10015.200000000001</v>
      </c>
      <c r="I7" s="106">
        <f t="shared" ref="I7:I22" si="0">$D$80*H7</f>
        <v>8272.6948491328112</v>
      </c>
      <c r="J7" s="51">
        <f>(References!$C$58*I7)</f>
        <v>15.469939367878444</v>
      </c>
      <c r="K7" s="51">
        <f>J7/References!$G$61</f>
        <v>15.773982888045522</v>
      </c>
      <c r="L7" s="51">
        <f>K7/F7*E7</f>
        <v>0.13650037113227345</v>
      </c>
      <c r="M7" s="76">
        <f>'Proposed Rates'!B11</f>
        <v>17.91</v>
      </c>
      <c r="N7" s="51">
        <f>L7+M7</f>
        <v>18.046500371132275</v>
      </c>
      <c r="O7" s="76">
        <f>'Proposed Rates'!D11</f>
        <v>18.046500371132275</v>
      </c>
      <c r="P7" s="51">
        <f>D7*M7*12</f>
        <v>2069.6796000000004</v>
      </c>
      <c r="Q7" s="51">
        <f>D7*O7*12</f>
        <v>2085.4535828880462</v>
      </c>
      <c r="R7" s="51">
        <f>Q7-P7</f>
        <v>15.773982888045794</v>
      </c>
      <c r="S7" s="51">
        <f>D7*N7*12</f>
        <v>2085.4535828880462</v>
      </c>
      <c r="T7" s="51">
        <f>Q7-S7</f>
        <v>0</v>
      </c>
      <c r="U7" s="82">
        <f t="shared" ref="U7:U8" si="1">N7</f>
        <v>18.046500371132275</v>
      </c>
      <c r="V7" s="82">
        <f>D7*U7*12</f>
        <v>2085.4535828880462</v>
      </c>
      <c r="W7" s="82">
        <f>V7-P7</f>
        <v>15.773982888045794</v>
      </c>
      <c r="Y7" s="87">
        <f>O7-U7</f>
        <v>0</v>
      </c>
    </row>
    <row r="8" spans="1:25" s="43" customFormat="1" ht="15" customHeight="1">
      <c r="A8" s="173"/>
      <c r="B8" s="27">
        <v>21</v>
      </c>
      <c r="C8" s="41" t="s">
        <v>112</v>
      </c>
      <c r="D8" s="7">
        <v>1517.59</v>
      </c>
      <c r="E8" s="107">
        <f>References!B12</f>
        <v>4.333333333333333</v>
      </c>
      <c r="F8" s="52">
        <f t="shared" ref="F8:F18" si="2">D8*E8*12</f>
        <v>78914.679999999993</v>
      </c>
      <c r="G8" s="52">
        <f>References!B19</f>
        <v>34</v>
      </c>
      <c r="H8" s="52">
        <f t="shared" ref="H8:H22" si="3">F8*G8</f>
        <v>2683099.1199999996</v>
      </c>
      <c r="I8" s="106">
        <f t="shared" si="0"/>
        <v>2216277.285499718</v>
      </c>
      <c r="J8" s="51">
        <f>(References!$C$58*I8)</f>
        <v>4144.4385238844961</v>
      </c>
      <c r="K8" s="51">
        <f>J8/References!$G$61</f>
        <v>4225.8926038231884</v>
      </c>
      <c r="L8" s="51">
        <f t="shared" ref="L8:L17" si="4">K8/F8*E8</f>
        <v>0.23205063092486489</v>
      </c>
      <c r="M8" s="76">
        <f>'Proposed Rates'!B12</f>
        <v>23.07</v>
      </c>
      <c r="N8" s="51">
        <f t="shared" ref="N8:N46" si="5">L8+M8</f>
        <v>23.302050630924864</v>
      </c>
      <c r="O8" s="76">
        <f>'Proposed Rates'!D12</f>
        <v>23.302050630924864</v>
      </c>
      <c r="P8" s="51">
        <f t="shared" ref="P8" si="6">D8*M8*12</f>
        <v>420129.61560000002</v>
      </c>
      <c r="Q8" s="51">
        <f t="shared" ref="Q8" si="7">D8*O8*12</f>
        <v>424355.50820382312</v>
      </c>
      <c r="R8" s="51">
        <f>Q8-P8</f>
        <v>4225.8926038231002</v>
      </c>
      <c r="S8" s="51">
        <f t="shared" ref="S8" si="8">D8*N8*12</f>
        <v>424355.50820382312</v>
      </c>
      <c r="T8" s="51">
        <f t="shared" ref="T8" si="9">Q8-S8</f>
        <v>0</v>
      </c>
      <c r="U8" s="82">
        <f t="shared" si="1"/>
        <v>23.302050630924864</v>
      </c>
      <c r="V8" s="82">
        <f>D8*U8*12</f>
        <v>424355.50820382312</v>
      </c>
      <c r="W8" s="82">
        <f>V8-P8</f>
        <v>4225.8926038231002</v>
      </c>
      <c r="Y8" s="87">
        <f t="shared" ref="Y8:Y47" si="10">O8-U8</f>
        <v>0</v>
      </c>
    </row>
    <row r="9" spans="1:25" s="43" customFormat="1">
      <c r="A9" s="173"/>
      <c r="B9" s="27">
        <v>21</v>
      </c>
      <c r="C9" s="41" t="s">
        <v>113</v>
      </c>
      <c r="D9" s="7">
        <v>190.35</v>
      </c>
      <c r="E9" s="107">
        <f>References!B12</f>
        <v>4.333333333333333</v>
      </c>
      <c r="F9" s="52">
        <f t="shared" si="2"/>
        <v>9898.1999999999989</v>
      </c>
      <c r="G9" s="52">
        <f>References!B20</f>
        <v>51</v>
      </c>
      <c r="H9" s="52">
        <f t="shared" si="3"/>
        <v>504808.19999999995</v>
      </c>
      <c r="I9" s="106">
        <f t="shared" si="0"/>
        <v>416978.61210360308</v>
      </c>
      <c r="J9" s="51">
        <f>(References!$C$58*I9)</f>
        <v>779.75000463374215</v>
      </c>
      <c r="K9" s="51">
        <f>J9/References!$G$61</f>
        <v>795.07507673786449</v>
      </c>
      <c r="L9" s="51">
        <f t="shared" si="4"/>
        <v>0.34807594638729733</v>
      </c>
      <c r="M9" s="76">
        <f>'Proposed Rates'!B13</f>
        <v>34.14</v>
      </c>
      <c r="N9" s="51">
        <f t="shared" si="5"/>
        <v>34.488075946387298</v>
      </c>
      <c r="O9" s="76">
        <f>'Proposed Rates'!D13</f>
        <v>34.488075946387298</v>
      </c>
      <c r="P9" s="51">
        <f t="shared" ref="P9:P18" si="11">D9*M9*12</f>
        <v>77982.588000000003</v>
      </c>
      <c r="Q9" s="51">
        <f t="shared" ref="Q9:Q17" si="12">D9*O9*12</f>
        <v>78777.663076737867</v>
      </c>
      <c r="R9" s="51">
        <f t="shared" ref="R9:R22" si="13">Q9-P9</f>
        <v>795.07507673786313</v>
      </c>
      <c r="S9" s="51">
        <f t="shared" ref="S9:S17" si="14">D9*N9*12</f>
        <v>78777.663076737867</v>
      </c>
      <c r="T9" s="51">
        <f t="shared" ref="T9:T22" si="15">Q9-S9</f>
        <v>0</v>
      </c>
      <c r="U9" s="82">
        <f t="shared" ref="U9:U22" si="16">N9</f>
        <v>34.488075946387298</v>
      </c>
      <c r="V9" s="82">
        <f t="shared" ref="V9:V18" si="17">D9*U9*12</f>
        <v>78777.663076737867</v>
      </c>
      <c r="W9" s="82">
        <f t="shared" ref="W9:W22" si="18">V9-P9</f>
        <v>795.07507673786313</v>
      </c>
      <c r="Y9" s="87">
        <f t="shared" si="10"/>
        <v>0</v>
      </c>
    </row>
    <row r="10" spans="1:25" s="43" customFormat="1">
      <c r="A10" s="173"/>
      <c r="B10" s="27">
        <v>21</v>
      </c>
      <c r="C10" s="41" t="s">
        <v>114</v>
      </c>
      <c r="D10" s="7">
        <v>7.71</v>
      </c>
      <c r="E10" s="107">
        <f>References!B12</f>
        <v>4.333333333333333</v>
      </c>
      <c r="F10" s="52">
        <f t="shared" si="2"/>
        <v>400.91999999999996</v>
      </c>
      <c r="G10" s="52">
        <f>References!B21</f>
        <v>77</v>
      </c>
      <c r="H10" s="52">
        <f t="shared" si="3"/>
        <v>30870.839999999997</v>
      </c>
      <c r="I10" s="106">
        <f t="shared" si="0"/>
        <v>25499.744294312957</v>
      </c>
      <c r="J10" s="51">
        <f>(References!$C$58*I10)</f>
        <v>47.684521830365497</v>
      </c>
      <c r="K10" s="51">
        <f>J10/References!$G$61</f>
        <v>48.621705198058066</v>
      </c>
      <c r="L10" s="51">
        <f t="shared" si="4"/>
        <v>0.52552642885925283</v>
      </c>
      <c r="M10" s="76">
        <f>'Proposed Rates'!B14</f>
        <v>45.87</v>
      </c>
      <c r="N10" s="51">
        <f t="shared" si="5"/>
        <v>46.395526428859249</v>
      </c>
      <c r="O10" s="76">
        <f>'Proposed Rates'!D14</f>
        <v>46.395526428859249</v>
      </c>
      <c r="P10" s="51">
        <f t="shared" si="11"/>
        <v>4243.8923999999997</v>
      </c>
      <c r="Q10" s="51">
        <f t="shared" si="12"/>
        <v>4292.5141051980581</v>
      </c>
      <c r="R10" s="51">
        <f t="shared" si="13"/>
        <v>48.621705198058407</v>
      </c>
      <c r="S10" s="51">
        <f t="shared" si="14"/>
        <v>4292.5141051980581</v>
      </c>
      <c r="T10" s="51">
        <f t="shared" si="15"/>
        <v>0</v>
      </c>
      <c r="U10" s="82">
        <f t="shared" si="16"/>
        <v>46.395526428859249</v>
      </c>
      <c r="V10" s="82">
        <f t="shared" si="17"/>
        <v>4292.5141051980581</v>
      </c>
      <c r="W10" s="82">
        <f t="shared" si="18"/>
        <v>48.621705198058407</v>
      </c>
      <c r="Y10" s="87">
        <f t="shared" si="10"/>
        <v>0</v>
      </c>
    </row>
    <row r="11" spans="1:25" s="43" customFormat="1">
      <c r="A11" s="173"/>
      <c r="B11" s="27">
        <v>21</v>
      </c>
      <c r="C11" s="41" t="s">
        <v>231</v>
      </c>
      <c r="D11" s="7">
        <v>1.42</v>
      </c>
      <c r="E11" s="107">
        <f>References!B12</f>
        <v>4.333333333333333</v>
      </c>
      <c r="F11" s="52">
        <f t="shared" si="2"/>
        <v>73.839999999999989</v>
      </c>
      <c r="G11" s="52">
        <f>References!B22</f>
        <v>97</v>
      </c>
      <c r="H11" s="52">
        <f t="shared" si="3"/>
        <v>7162.4799999999987</v>
      </c>
      <c r="I11" s="106">
        <f t="shared" si="0"/>
        <v>5916.3083516072338</v>
      </c>
      <c r="J11" s="51">
        <f>(References!$C$58*I11)</f>
        <v>11.06349661750559</v>
      </c>
      <c r="K11" s="51">
        <f>J11/References!$G$61</f>
        <v>11.280936671855608</v>
      </c>
      <c r="L11" s="51">
        <f t="shared" si="4"/>
        <v>0.66202679999152636</v>
      </c>
      <c r="M11" s="76">
        <f>'Proposed Rates'!B15</f>
        <v>57.69</v>
      </c>
      <c r="N11" s="51">
        <f t="shared" si="5"/>
        <v>58.352026799991521</v>
      </c>
      <c r="O11" s="76">
        <f>'Proposed Rates'!D15</f>
        <v>58.352026799991521</v>
      </c>
      <c r="P11" s="51">
        <f t="shared" si="11"/>
        <v>983.03759999999988</v>
      </c>
      <c r="Q11" s="51">
        <f t="shared" si="12"/>
        <v>994.31853667185533</v>
      </c>
      <c r="R11" s="51">
        <f t="shared" si="13"/>
        <v>11.280936671855443</v>
      </c>
      <c r="S11" s="51">
        <f t="shared" si="14"/>
        <v>994.31853667185533</v>
      </c>
      <c r="T11" s="51">
        <f t="shared" si="15"/>
        <v>0</v>
      </c>
      <c r="U11" s="82">
        <f t="shared" si="16"/>
        <v>58.352026799991521</v>
      </c>
      <c r="V11" s="82">
        <f t="shared" si="17"/>
        <v>994.31853667185533</v>
      </c>
      <c r="W11" s="82">
        <f t="shared" si="18"/>
        <v>11.280936671855443</v>
      </c>
      <c r="Y11" s="87">
        <f t="shared" si="10"/>
        <v>0</v>
      </c>
    </row>
    <row r="12" spans="1:25" s="43" customFormat="1">
      <c r="A12" s="173"/>
      <c r="B12" s="27">
        <v>21</v>
      </c>
      <c r="C12" s="41" t="s">
        <v>115</v>
      </c>
      <c r="D12" s="7">
        <v>0.49</v>
      </c>
      <c r="E12" s="107">
        <f>References!B12</f>
        <v>4.333333333333333</v>
      </c>
      <c r="F12" s="52">
        <f t="shared" si="2"/>
        <v>25.479999999999997</v>
      </c>
      <c r="G12" s="52">
        <f>References!B25</f>
        <v>37</v>
      </c>
      <c r="H12" s="52">
        <f t="shared" si="3"/>
        <v>942.75999999999988</v>
      </c>
      <c r="I12" s="106">
        <f t="shared" si="0"/>
        <v>778.73290558036263</v>
      </c>
      <c r="J12" s="51">
        <f>(References!$C$58*I12)</f>
        <v>1.4562305334352863</v>
      </c>
      <c r="K12" s="51">
        <f>J12/References!$G$61</f>
        <v>1.4848510371768706</v>
      </c>
      <c r="L12" s="51">
        <f t="shared" si="4"/>
        <v>0.25252568659470587</v>
      </c>
      <c r="M12" s="76">
        <f>'Proposed Rates'!B17</f>
        <v>25.19</v>
      </c>
      <c r="N12" s="51">
        <f t="shared" si="5"/>
        <v>25.442525686594706</v>
      </c>
      <c r="O12" s="76">
        <f>'Proposed Rates'!D17</f>
        <v>25.442525686594706</v>
      </c>
      <c r="P12" s="51">
        <f t="shared" si="11"/>
        <v>148.1172</v>
      </c>
      <c r="Q12" s="51">
        <f t="shared" si="12"/>
        <v>149.60205103717686</v>
      </c>
      <c r="R12" s="51">
        <f t="shared" si="13"/>
        <v>1.4848510371768668</v>
      </c>
      <c r="S12" s="51">
        <f t="shared" si="14"/>
        <v>149.60205103717686</v>
      </c>
      <c r="T12" s="51">
        <f t="shared" si="15"/>
        <v>0</v>
      </c>
      <c r="U12" s="82">
        <f t="shared" si="16"/>
        <v>25.442525686594706</v>
      </c>
      <c r="V12" s="82">
        <f t="shared" si="17"/>
        <v>149.60205103717686</v>
      </c>
      <c r="W12" s="82">
        <f t="shared" si="18"/>
        <v>1.4848510371768668</v>
      </c>
      <c r="Y12" s="87">
        <f t="shared" si="10"/>
        <v>0</v>
      </c>
    </row>
    <row r="13" spans="1:25" s="43" customFormat="1">
      <c r="A13" s="173"/>
      <c r="B13" s="27">
        <v>21</v>
      </c>
      <c r="C13" s="41" t="s">
        <v>116</v>
      </c>
      <c r="D13" s="7">
        <v>2.1</v>
      </c>
      <c r="E13" s="107">
        <f>References!B12</f>
        <v>4.333333333333333</v>
      </c>
      <c r="F13" s="52">
        <f t="shared" si="2"/>
        <v>109.19999999999999</v>
      </c>
      <c r="G13" s="52">
        <f>References!B26</f>
        <v>47</v>
      </c>
      <c r="H13" s="52">
        <f t="shared" si="3"/>
        <v>5132.3999999999996</v>
      </c>
      <c r="I13" s="106">
        <f t="shared" si="0"/>
        <v>4239.4339647425149</v>
      </c>
      <c r="J13" s="51">
        <f>(References!$C$58*I13)</f>
        <v>7.9277415140685479</v>
      </c>
      <c r="K13" s="51">
        <f>J13/References!$G$61</f>
        <v>8.0835519784532348</v>
      </c>
      <c r="L13" s="51">
        <f t="shared" si="4"/>
        <v>0.32077587216084263</v>
      </c>
      <c r="M13" s="76">
        <f>'Proposed Rates'!B18</f>
        <v>32.450000000000003</v>
      </c>
      <c r="N13" s="51">
        <f t="shared" si="5"/>
        <v>32.770775872160847</v>
      </c>
      <c r="O13" s="76">
        <f>'Proposed Rates'!D18</f>
        <v>32.770775872160847</v>
      </c>
      <c r="P13" s="51">
        <f t="shared" si="11"/>
        <v>817.74000000000012</v>
      </c>
      <c r="Q13" s="51">
        <f t="shared" si="12"/>
        <v>825.82355197845334</v>
      </c>
      <c r="R13" s="51">
        <f t="shared" si="13"/>
        <v>8.0835519784532153</v>
      </c>
      <c r="S13" s="51">
        <f t="shared" si="14"/>
        <v>825.82355197845334</v>
      </c>
      <c r="T13" s="51">
        <f t="shared" si="15"/>
        <v>0</v>
      </c>
      <c r="U13" s="82">
        <f t="shared" si="16"/>
        <v>32.770775872160847</v>
      </c>
      <c r="V13" s="82">
        <f t="shared" si="17"/>
        <v>825.82355197845334</v>
      </c>
      <c r="W13" s="82">
        <f t="shared" si="18"/>
        <v>8.0835519784532153</v>
      </c>
      <c r="Y13" s="87">
        <f t="shared" si="10"/>
        <v>0</v>
      </c>
    </row>
    <row r="14" spans="1:25" s="43" customFormat="1">
      <c r="A14" s="173"/>
      <c r="B14" s="27">
        <v>21</v>
      </c>
      <c r="C14" s="41" t="s">
        <v>117</v>
      </c>
      <c r="D14" s="7">
        <v>766.66</v>
      </c>
      <c r="E14" s="107">
        <f>References!B13</f>
        <v>2.1666666666666665</v>
      </c>
      <c r="F14" s="52">
        <f t="shared" si="2"/>
        <v>19933.16</v>
      </c>
      <c r="G14" s="52">
        <f>References!B19</f>
        <v>34</v>
      </c>
      <c r="H14" s="52">
        <f t="shared" si="3"/>
        <v>677727.44</v>
      </c>
      <c r="I14" s="106">
        <f t="shared" si="0"/>
        <v>559812.31548086565</v>
      </c>
      <c r="J14" s="51">
        <f>(References!$C$58*I14)</f>
        <v>1046.8490299492246</v>
      </c>
      <c r="K14" s="51">
        <f>J14/References!$G$61</f>
        <v>1067.4236202291413</v>
      </c>
      <c r="L14" s="51">
        <f>K14/F14*E14</f>
        <v>0.11602531546243242</v>
      </c>
      <c r="M14" s="76">
        <f>'Proposed Rates'!B20</f>
        <v>13.54</v>
      </c>
      <c r="N14" s="51">
        <f t="shared" si="5"/>
        <v>13.656025315462431</v>
      </c>
      <c r="O14" s="76">
        <f>'Proposed Rates'!D20</f>
        <v>13.656025315462431</v>
      </c>
      <c r="P14" s="51">
        <f t="shared" si="11"/>
        <v>124566.91679999998</v>
      </c>
      <c r="Q14" s="51">
        <f t="shared" si="12"/>
        <v>125634.34042022913</v>
      </c>
      <c r="R14" s="51">
        <f t="shared" si="13"/>
        <v>1067.4236202291504</v>
      </c>
      <c r="S14" s="51">
        <f t="shared" si="14"/>
        <v>125634.34042022913</v>
      </c>
      <c r="T14" s="51">
        <f t="shared" si="15"/>
        <v>0</v>
      </c>
      <c r="U14" s="82">
        <f t="shared" si="16"/>
        <v>13.656025315462431</v>
      </c>
      <c r="V14" s="82">
        <f t="shared" si="17"/>
        <v>125634.34042022913</v>
      </c>
      <c r="W14" s="82">
        <f t="shared" si="18"/>
        <v>1067.4236202291504</v>
      </c>
      <c r="Y14" s="87">
        <f t="shared" si="10"/>
        <v>0</v>
      </c>
    </row>
    <row r="15" spans="1:25" s="43" customFormat="1">
      <c r="A15" s="173"/>
      <c r="B15" s="27"/>
      <c r="C15" s="43" t="s">
        <v>118</v>
      </c>
      <c r="D15" s="108">
        <v>3.13</v>
      </c>
      <c r="E15" s="109">
        <f>References!B12</f>
        <v>4.333333333333333</v>
      </c>
      <c r="F15" s="52">
        <f>81.19</f>
        <v>81.19</v>
      </c>
      <c r="G15" s="110">
        <v>34</v>
      </c>
      <c r="H15" s="111">
        <f t="shared" si="3"/>
        <v>2760.46</v>
      </c>
      <c r="I15" s="106">
        <f t="shared" si="0"/>
        <v>2280.1784510780776</v>
      </c>
      <c r="J15" s="51">
        <f>(References!$C$58*I15)</f>
        <v>4.2639337035160292</v>
      </c>
      <c r="K15" s="51">
        <f>J15/References!$G$61</f>
        <v>4.3477363211053346</v>
      </c>
      <c r="L15" s="112">
        <f>K15/F15*E15</f>
        <v>0.23205063092486491</v>
      </c>
      <c r="M15" s="51">
        <f>M14*2</f>
        <v>27.08</v>
      </c>
      <c r="N15" s="51">
        <f t="shared" si="5"/>
        <v>27.312050630924862</v>
      </c>
      <c r="O15" s="51">
        <f>O14*2</f>
        <v>27.312050630924862</v>
      </c>
      <c r="P15" s="51">
        <f>F15*M15</f>
        <v>2198.6251999999999</v>
      </c>
      <c r="Q15" s="51">
        <f t="shared" ref="Q15" si="19">F15*O15</f>
        <v>2217.4653907247894</v>
      </c>
      <c r="R15" s="51">
        <f t="shared" si="13"/>
        <v>18.840190724789409</v>
      </c>
      <c r="S15" s="51">
        <f t="shared" ref="S15" si="20">F15*N15</f>
        <v>2217.4653907247894</v>
      </c>
      <c r="T15" s="51">
        <f t="shared" si="15"/>
        <v>0</v>
      </c>
      <c r="U15" s="82">
        <f t="shared" si="16"/>
        <v>27.312050630924862</v>
      </c>
      <c r="V15" s="82">
        <f>F15*U15</f>
        <v>2217.4653907247894</v>
      </c>
      <c r="W15" s="82">
        <f t="shared" si="18"/>
        <v>18.840190724789409</v>
      </c>
      <c r="Y15" s="87">
        <f t="shared" si="10"/>
        <v>0</v>
      </c>
    </row>
    <row r="16" spans="1:25" s="43" customFormat="1" ht="14.45" customHeight="1">
      <c r="A16" s="173"/>
      <c r="B16" s="27">
        <v>21</v>
      </c>
      <c r="C16" s="41" t="s">
        <v>119</v>
      </c>
      <c r="D16" s="40">
        <v>2.75</v>
      </c>
      <c r="E16" s="107">
        <f>References!B13</f>
        <v>2.1666666666666665</v>
      </c>
      <c r="F16" s="52">
        <f t="shared" si="2"/>
        <v>71.5</v>
      </c>
      <c r="G16" s="78">
        <f>References!B25</f>
        <v>37</v>
      </c>
      <c r="H16" s="52">
        <f t="shared" si="3"/>
        <v>2645.5</v>
      </c>
      <c r="I16" s="106">
        <f t="shared" si="0"/>
        <v>2185.2198881081608</v>
      </c>
      <c r="J16" s="51">
        <f>(References!$C$58*I16)</f>
        <v>4.0863611907622834</v>
      </c>
      <c r="K16" s="51">
        <f>J16/References!$G$61</f>
        <v>4.1666738288126473</v>
      </c>
      <c r="L16" s="51">
        <f t="shared" si="4"/>
        <v>0.12626284329735293</v>
      </c>
      <c r="M16" s="76">
        <f>'Proposed Rates'!B21</f>
        <v>14.88</v>
      </c>
      <c r="N16" s="51">
        <f t="shared" si="5"/>
        <v>15.006262843297353</v>
      </c>
      <c r="O16" s="76">
        <f>'Proposed Rates'!D21</f>
        <v>15.006262843297353</v>
      </c>
      <c r="P16" s="51">
        <f t="shared" si="11"/>
        <v>491.04</v>
      </c>
      <c r="Q16" s="51">
        <f t="shared" si="12"/>
        <v>495.20667382881265</v>
      </c>
      <c r="R16" s="51">
        <f t="shared" si="13"/>
        <v>4.1666738288126339</v>
      </c>
      <c r="S16" s="51">
        <f t="shared" si="14"/>
        <v>495.20667382881265</v>
      </c>
      <c r="T16" s="51">
        <f t="shared" si="15"/>
        <v>0</v>
      </c>
      <c r="U16" s="82">
        <f t="shared" si="16"/>
        <v>15.006262843297353</v>
      </c>
      <c r="V16" s="82">
        <f t="shared" si="17"/>
        <v>495.20667382881265</v>
      </c>
      <c r="W16" s="82">
        <f t="shared" si="18"/>
        <v>4.1666738288126339</v>
      </c>
      <c r="Y16" s="87">
        <f t="shared" si="10"/>
        <v>0</v>
      </c>
    </row>
    <row r="17" spans="1:25" s="43" customFormat="1">
      <c r="A17" s="173"/>
      <c r="B17" s="27">
        <v>21</v>
      </c>
      <c r="C17" s="41" t="s">
        <v>120</v>
      </c>
      <c r="D17" s="40">
        <v>1</v>
      </c>
      <c r="E17" s="107">
        <f>References!B13</f>
        <v>2.1666666666666665</v>
      </c>
      <c r="F17" s="52">
        <f t="shared" si="2"/>
        <v>26</v>
      </c>
      <c r="G17" s="52">
        <f>References!B26</f>
        <v>47</v>
      </c>
      <c r="H17" s="52">
        <f t="shared" si="3"/>
        <v>1222</v>
      </c>
      <c r="I17" s="106">
        <f t="shared" si="0"/>
        <v>1009.3890392244084</v>
      </c>
      <c r="J17" s="51">
        <f>(References!$C$58*I17)</f>
        <v>1.8875575033496543</v>
      </c>
      <c r="K17" s="51">
        <f>J17/References!$G$61</f>
        <v>1.9246552329650559</v>
      </c>
      <c r="L17" s="51">
        <f t="shared" si="4"/>
        <v>0.16038793608042132</v>
      </c>
      <c r="M17" s="76">
        <f>'Proposed Rates'!B22</f>
        <v>18.11</v>
      </c>
      <c r="N17" s="51">
        <f t="shared" si="5"/>
        <v>18.270387936080422</v>
      </c>
      <c r="O17" s="76">
        <f>'Proposed Rates'!D22</f>
        <v>18.270387936080422</v>
      </c>
      <c r="P17" s="51">
        <f t="shared" si="11"/>
        <v>217.32</v>
      </c>
      <c r="Q17" s="51">
        <f t="shared" si="12"/>
        <v>219.24465523296504</v>
      </c>
      <c r="R17" s="51">
        <f t="shared" si="13"/>
        <v>1.9246552329650513</v>
      </c>
      <c r="S17" s="51">
        <f t="shared" si="14"/>
        <v>219.24465523296504</v>
      </c>
      <c r="T17" s="51">
        <f t="shared" si="15"/>
        <v>0</v>
      </c>
      <c r="U17" s="82">
        <f t="shared" si="16"/>
        <v>18.270387936080422</v>
      </c>
      <c r="V17" s="82">
        <f t="shared" si="17"/>
        <v>219.24465523296504</v>
      </c>
      <c r="W17" s="82">
        <f t="shared" si="18"/>
        <v>1.9246552329650513</v>
      </c>
      <c r="Y17" s="87">
        <f t="shared" si="10"/>
        <v>0</v>
      </c>
    </row>
    <row r="18" spans="1:25" s="43" customFormat="1">
      <c r="A18" s="173"/>
      <c r="B18" s="27">
        <v>21</v>
      </c>
      <c r="C18" s="41" t="s">
        <v>121</v>
      </c>
      <c r="D18" s="40">
        <v>126.58</v>
      </c>
      <c r="E18" s="107">
        <f>References!B14</f>
        <v>1</v>
      </c>
      <c r="F18" s="52">
        <f t="shared" si="2"/>
        <v>1518.96</v>
      </c>
      <c r="G18" s="52">
        <f>References!B19</f>
        <v>34</v>
      </c>
      <c r="H18" s="52">
        <f t="shared" si="3"/>
        <v>51644.639999999999</v>
      </c>
      <c r="I18" s="106">
        <f t="shared" si="0"/>
        <v>42659.192758339159</v>
      </c>
      <c r="J18" s="51">
        <f>(References!$C$58*I18)</f>
        <v>79.772690458094672</v>
      </c>
      <c r="K18" s="51">
        <f>J18/References!$G$61</f>
        <v>81.340529157607563</v>
      </c>
      <c r="L18" s="51">
        <f>K18/F18*E18</f>
        <v>5.3550145598045745E-2</v>
      </c>
      <c r="M18" s="76">
        <f>'Proposed Rates'!B24</f>
        <v>8.2799999999999994</v>
      </c>
      <c r="N18" s="51">
        <f t="shared" si="5"/>
        <v>8.3335501455980445</v>
      </c>
      <c r="O18" s="76">
        <f>'Proposed Rates'!D24</f>
        <v>8.3335501455980445</v>
      </c>
      <c r="P18" s="51">
        <f t="shared" si="11"/>
        <v>12576.988799999999</v>
      </c>
      <c r="Q18" s="51">
        <f>D18*O18*12</f>
        <v>12658.329329157605</v>
      </c>
      <c r="R18" s="51">
        <f t="shared" si="13"/>
        <v>81.340529157605488</v>
      </c>
      <c r="S18" s="51">
        <f>D18*N18*12</f>
        <v>12658.329329157605</v>
      </c>
      <c r="T18" s="51">
        <f>Q18-S18</f>
        <v>0</v>
      </c>
      <c r="U18" s="82">
        <f t="shared" si="16"/>
        <v>8.3335501455980445</v>
      </c>
      <c r="V18" s="82">
        <f t="shared" si="17"/>
        <v>12658.329329157605</v>
      </c>
      <c r="W18" s="82">
        <f t="shared" si="18"/>
        <v>81.340529157605488</v>
      </c>
      <c r="Y18" s="87">
        <f t="shared" si="10"/>
        <v>0</v>
      </c>
    </row>
    <row r="19" spans="1:25" s="43" customFormat="1">
      <c r="A19" s="173"/>
      <c r="B19" s="27"/>
      <c r="C19" s="43" t="s">
        <v>122</v>
      </c>
      <c r="D19" s="52">
        <v>1</v>
      </c>
      <c r="E19" s="109">
        <f>References!C14</f>
        <v>2</v>
      </c>
      <c r="F19" s="52">
        <v>12</v>
      </c>
      <c r="G19" s="110">
        <f>References!B19</f>
        <v>34</v>
      </c>
      <c r="H19" s="52">
        <f t="shared" si="3"/>
        <v>408</v>
      </c>
      <c r="I19" s="106">
        <f t="shared" si="0"/>
        <v>337.01368903728206</v>
      </c>
      <c r="J19" s="51">
        <f>(References!$C$58*I19)</f>
        <v>0.63021559849972097</v>
      </c>
      <c r="K19" s="51">
        <f>J19/References!$G$61</f>
        <v>0.64260174717654894</v>
      </c>
      <c r="L19" s="113">
        <f>K19/F19*E19</f>
        <v>0.10710029119609149</v>
      </c>
      <c r="M19" s="51">
        <f>M18*2</f>
        <v>16.559999999999999</v>
      </c>
      <c r="N19" s="51">
        <f t="shared" si="5"/>
        <v>16.667100291196089</v>
      </c>
      <c r="O19" s="51">
        <f>O18*2</f>
        <v>16.667100291196089</v>
      </c>
      <c r="P19" s="51">
        <f>F19*M19</f>
        <v>198.71999999999997</v>
      </c>
      <c r="Q19" s="51">
        <f t="shared" ref="Q19:Q22" si="21">F19*O19</f>
        <v>200.00520349435305</v>
      </c>
      <c r="R19" s="51">
        <f t="shared" si="13"/>
        <v>1.2852034943530839</v>
      </c>
      <c r="S19" s="51">
        <f t="shared" ref="S19:S22" si="22">F19*N19</f>
        <v>200.00520349435305</v>
      </c>
      <c r="T19" s="51">
        <f t="shared" si="15"/>
        <v>0</v>
      </c>
      <c r="U19" s="82">
        <f t="shared" si="16"/>
        <v>16.667100291196089</v>
      </c>
      <c r="V19" s="82">
        <f>F19*U19</f>
        <v>200.00520349435305</v>
      </c>
      <c r="W19" s="82">
        <f t="shared" si="18"/>
        <v>1.2852034943530839</v>
      </c>
      <c r="Y19" s="87">
        <f t="shared" si="10"/>
        <v>0</v>
      </c>
    </row>
    <row r="20" spans="1:25" s="43" customFormat="1">
      <c r="A20" s="173"/>
      <c r="B20" s="27" t="s">
        <v>276</v>
      </c>
      <c r="C20" s="41" t="s">
        <v>123</v>
      </c>
      <c r="D20" s="40"/>
      <c r="E20" s="107"/>
      <c r="F20" s="52">
        <v>41</v>
      </c>
      <c r="G20" s="52">
        <f>References!B19</f>
        <v>34</v>
      </c>
      <c r="H20" s="52">
        <f t="shared" si="3"/>
        <v>1394</v>
      </c>
      <c r="I20" s="106">
        <f t="shared" si="0"/>
        <v>1151.4634375440469</v>
      </c>
      <c r="J20" s="51">
        <f>(References!$C$58*I20)</f>
        <v>2.1532366282073796</v>
      </c>
      <c r="K20" s="51">
        <f>J20/References!$G$61</f>
        <v>2.1955559695198752</v>
      </c>
      <c r="L20" s="51">
        <f>K20/F20</f>
        <v>5.3550145598045738E-2</v>
      </c>
      <c r="M20" s="76">
        <f>'Proposed Rates'!B34</f>
        <v>8.2799999999999994</v>
      </c>
      <c r="N20" s="51">
        <f t="shared" si="5"/>
        <v>8.3335501455980445</v>
      </c>
      <c r="O20" s="76">
        <f>'Proposed Rates'!D34</f>
        <v>8.3335501455980445</v>
      </c>
      <c r="P20" s="51">
        <f>F20*M20</f>
        <v>339.47999999999996</v>
      </c>
      <c r="Q20" s="51">
        <f>F20*O20</f>
        <v>341.67555596951985</v>
      </c>
      <c r="R20" s="51">
        <f t="shared" si="13"/>
        <v>2.1955559695198872</v>
      </c>
      <c r="S20" s="51">
        <f>F20*N20</f>
        <v>341.67555596951985</v>
      </c>
      <c r="T20" s="51">
        <f t="shared" si="15"/>
        <v>0</v>
      </c>
      <c r="U20" s="82">
        <f t="shared" si="16"/>
        <v>8.3335501455980445</v>
      </c>
      <c r="V20" s="82">
        <f>F20*U20</f>
        <v>341.67555596951985</v>
      </c>
      <c r="W20" s="82">
        <f t="shared" si="18"/>
        <v>2.1955559695198872</v>
      </c>
      <c r="Y20" s="87">
        <f t="shared" si="10"/>
        <v>0</v>
      </c>
    </row>
    <row r="21" spans="1:25" s="43" customFormat="1">
      <c r="A21" s="173"/>
      <c r="B21" s="27" t="s">
        <v>276</v>
      </c>
      <c r="C21" s="41" t="s">
        <v>124</v>
      </c>
      <c r="D21" s="40"/>
      <c r="E21" s="107"/>
      <c r="F21" s="52">
        <v>1300.9100000000001</v>
      </c>
      <c r="G21" s="52">
        <f>References!B29</f>
        <v>34</v>
      </c>
      <c r="H21" s="52">
        <f t="shared" si="3"/>
        <v>44230.94</v>
      </c>
      <c r="I21" s="106">
        <f t="shared" si="0"/>
        <v>36535.373183790885</v>
      </c>
      <c r="J21" s="51">
        <f>(References!$C$58*I21)</f>
        <v>68.32114785368934</v>
      </c>
      <c r="K21" s="51">
        <f>J21/References!$G$61</f>
        <v>69.663919909953705</v>
      </c>
      <c r="L21" s="51">
        <f>K21/F21</f>
        <v>5.3550145598045752E-2</v>
      </c>
      <c r="M21" s="76">
        <f>'Proposed Rates'!B30</f>
        <v>7.63</v>
      </c>
      <c r="N21" s="114">
        <f t="shared" si="5"/>
        <v>7.6835501455980459</v>
      </c>
      <c r="O21" s="76">
        <f>'Proposed Rates'!D30</f>
        <v>7.6835501455980459</v>
      </c>
      <c r="P21" s="51">
        <f t="shared" ref="P21:P22" si="23">F21*M21</f>
        <v>9925.9433000000008</v>
      </c>
      <c r="Q21" s="51">
        <f t="shared" si="21"/>
        <v>9995.6072199099544</v>
      </c>
      <c r="R21" s="51">
        <f t="shared" si="13"/>
        <v>69.66391990995362</v>
      </c>
      <c r="S21" s="51">
        <f t="shared" si="22"/>
        <v>9995.6072199099544</v>
      </c>
      <c r="T21" s="51">
        <f t="shared" si="15"/>
        <v>0</v>
      </c>
      <c r="U21" s="82">
        <f t="shared" si="16"/>
        <v>7.6835501455980459</v>
      </c>
      <c r="V21" s="82">
        <f t="shared" ref="V21:V22" si="24">F21*U21</f>
        <v>9995.6072199099544</v>
      </c>
      <c r="W21" s="82">
        <f t="shared" si="18"/>
        <v>69.66391990995362</v>
      </c>
      <c r="Y21" s="87">
        <f t="shared" si="10"/>
        <v>0</v>
      </c>
    </row>
    <row r="22" spans="1:25" s="43" customFormat="1">
      <c r="A22" s="173"/>
      <c r="B22" s="27">
        <v>16</v>
      </c>
      <c r="C22" s="41" t="s">
        <v>125</v>
      </c>
      <c r="D22" s="40"/>
      <c r="E22" s="107"/>
      <c r="F22" s="52">
        <v>13</v>
      </c>
      <c r="G22" s="52">
        <f>References!B29</f>
        <v>34</v>
      </c>
      <c r="H22" s="52">
        <f t="shared" si="3"/>
        <v>442</v>
      </c>
      <c r="I22" s="106">
        <f t="shared" si="0"/>
        <v>365.0981631237222</v>
      </c>
      <c r="J22" s="51">
        <f>(References!$C$58*I22)</f>
        <v>0.6827335650413644</v>
      </c>
      <c r="K22" s="51">
        <f>J22/References!$G$61</f>
        <v>0.69615189277459477</v>
      </c>
      <c r="L22" s="51">
        <f>K22/F22</f>
        <v>5.3550145598045752E-2</v>
      </c>
      <c r="M22" s="76">
        <f>'Proposed Rates'!B8</f>
        <v>7.18</v>
      </c>
      <c r="N22" s="51">
        <f t="shared" si="5"/>
        <v>7.2335501455980458</v>
      </c>
      <c r="O22" s="76">
        <f>'Proposed Rates'!D8</f>
        <v>7.2335501455980458</v>
      </c>
      <c r="P22" s="51">
        <f t="shared" si="23"/>
        <v>93.34</v>
      </c>
      <c r="Q22" s="51">
        <f t="shared" si="21"/>
        <v>94.036151892774598</v>
      </c>
      <c r="R22" s="51">
        <f t="shared" si="13"/>
        <v>0.69615189277459422</v>
      </c>
      <c r="S22" s="51">
        <f t="shared" si="22"/>
        <v>94.036151892774598</v>
      </c>
      <c r="T22" s="51">
        <f t="shared" si="15"/>
        <v>0</v>
      </c>
      <c r="U22" s="82">
        <f t="shared" si="16"/>
        <v>7.2335501455980458</v>
      </c>
      <c r="V22" s="82">
        <f t="shared" si="24"/>
        <v>94.036151892774598</v>
      </c>
      <c r="W22" s="82">
        <f t="shared" si="18"/>
        <v>0.69615189277459422</v>
      </c>
      <c r="Y22" s="87">
        <f t="shared" si="10"/>
        <v>0</v>
      </c>
    </row>
    <row r="23" spans="1:25" s="43" customFormat="1">
      <c r="A23" s="31"/>
      <c r="B23" s="64"/>
      <c r="C23" s="115" t="s">
        <v>16</v>
      </c>
      <c r="D23" s="116">
        <f>SUM(D7:D22)</f>
        <v>2630.41</v>
      </c>
      <c r="E23" s="117"/>
      <c r="F23" s="118">
        <f>SUM(F7:F22)</f>
        <v>112920.79999999999</v>
      </c>
      <c r="G23" s="119"/>
      <c r="H23" s="120">
        <f>SUM(H7:H22)</f>
        <v>4024505.9799999991</v>
      </c>
      <c r="I23" s="121">
        <f>SUM(I7:I22)</f>
        <v>3324298.0560598085</v>
      </c>
      <c r="J23" s="54"/>
      <c r="K23" s="54"/>
      <c r="L23" s="54"/>
      <c r="M23" s="54"/>
      <c r="N23" s="54"/>
      <c r="O23" s="54"/>
      <c r="P23" s="53">
        <f>SUM(P7:P22)</f>
        <v>656983.04449999996</v>
      </c>
      <c r="Q23" s="53">
        <f>SUM(Q7:Q22)</f>
        <v>663336.79370877438</v>
      </c>
      <c r="R23" s="53">
        <f>SUM(R7:R22)</f>
        <v>6353.7492087744777</v>
      </c>
      <c r="S23" s="53">
        <f>SUM(S7:S22)</f>
        <v>663336.79370877438</v>
      </c>
      <c r="T23" s="53">
        <f>SUM(T7:T22)</f>
        <v>0</v>
      </c>
      <c r="U23" s="53"/>
      <c r="V23" s="53">
        <f>SUM(V7:V22)</f>
        <v>663336.79370877438</v>
      </c>
      <c r="W23" s="53">
        <f>SUM(W7:W22)</f>
        <v>6353.7492087744777</v>
      </c>
      <c r="Y23" s="87">
        <f t="shared" si="10"/>
        <v>0</v>
      </c>
    </row>
    <row r="24" spans="1:25" s="43" customFormat="1" ht="14.45" customHeight="1">
      <c r="A24" s="173" t="s">
        <v>14</v>
      </c>
      <c r="B24" s="27">
        <v>35</v>
      </c>
      <c r="C24" s="43" t="s">
        <v>126</v>
      </c>
      <c r="D24" s="52"/>
      <c r="E24" s="107"/>
      <c r="F24" s="122">
        <v>5045.25</v>
      </c>
      <c r="G24" s="52">
        <f>References!$B$32</f>
        <v>175</v>
      </c>
      <c r="H24" s="52">
        <f>F24*G24</f>
        <v>882918.75</v>
      </c>
      <c r="I24" s="106">
        <f t="shared" ref="I24:I46" si="25">$D$80*H24</f>
        <v>729303.19867079845</v>
      </c>
      <c r="J24" s="51">
        <f>(References!$C$58*I24)</f>
        <v>1363.7969815144008</v>
      </c>
      <c r="K24" s="51">
        <f>J24/References!$G$61</f>
        <v>1390.6008121689576</v>
      </c>
      <c r="L24" s="51">
        <f>K24/F24</f>
        <v>0.27562574940170609</v>
      </c>
      <c r="M24" s="51">
        <f>'Proposed Rates'!$B$48</f>
        <v>22.46</v>
      </c>
      <c r="N24" s="51">
        <f t="shared" si="5"/>
        <v>22.735625749401706</v>
      </c>
      <c r="O24" s="51">
        <f>'Proposed Rates'!$D$48</f>
        <v>22.735625749401706</v>
      </c>
      <c r="P24" s="51">
        <f>F24*M24</f>
        <v>113316.315</v>
      </c>
      <c r="Q24" s="51">
        <f>F24*O24</f>
        <v>114706.91581216895</v>
      </c>
      <c r="R24" s="51">
        <f t="shared" ref="R24" si="26">Q24-P24</f>
        <v>1390.600812168952</v>
      </c>
      <c r="S24" s="51">
        <f>F24*N24</f>
        <v>114706.91581216895</v>
      </c>
      <c r="T24" s="51">
        <f t="shared" ref="T24" si="27">Q24-S24</f>
        <v>0</v>
      </c>
      <c r="U24" s="82">
        <f>N24</f>
        <v>22.735625749401706</v>
      </c>
      <c r="V24" s="82">
        <f>F24*U24</f>
        <v>114706.91581216895</v>
      </c>
      <c r="W24" s="82">
        <f t="shared" ref="W24" si="28">V24-P24</f>
        <v>1390.600812168952</v>
      </c>
      <c r="Y24" s="87">
        <f t="shared" si="10"/>
        <v>0</v>
      </c>
    </row>
    <row r="25" spans="1:25" s="43" customFormat="1" ht="14.45" customHeight="1">
      <c r="A25" s="173"/>
      <c r="B25" s="27">
        <v>35</v>
      </c>
      <c r="C25" s="43" t="s">
        <v>249</v>
      </c>
      <c r="D25" s="52"/>
      <c r="E25" s="107"/>
      <c r="F25" s="122">
        <v>248.96</v>
      </c>
      <c r="G25" s="52">
        <f>References!$B$32</f>
        <v>175</v>
      </c>
      <c r="H25" s="52">
        <f t="shared" ref="H25:H44" si="29">F25*G25</f>
        <v>43568</v>
      </c>
      <c r="I25" s="106">
        <f t="shared" si="25"/>
        <v>35987.775499941919</v>
      </c>
      <c r="J25" s="51">
        <f>(References!$C$58*I25)</f>
        <v>67.297140184891774</v>
      </c>
      <c r="K25" s="51">
        <f>J25/References!$G$61</f>
        <v>68.619786571048735</v>
      </c>
      <c r="L25" s="51">
        <f t="shared" ref="L25:L46" si="30">K25/F25</f>
        <v>0.27562574940170603</v>
      </c>
      <c r="M25" s="51">
        <f>'Proposed Rates'!$B$48</f>
        <v>22.46</v>
      </c>
      <c r="N25" s="51">
        <f t="shared" si="5"/>
        <v>22.735625749401706</v>
      </c>
      <c r="O25" s="51">
        <f>'Proposed Rates'!$D$48</f>
        <v>22.735625749401706</v>
      </c>
      <c r="P25" s="51">
        <f t="shared" ref="P25:P46" si="31">F25*M25</f>
        <v>5591.6416000000008</v>
      </c>
      <c r="Q25" s="51">
        <f t="shared" ref="Q25:Q46" si="32">F25*O25</f>
        <v>5660.2613865710491</v>
      </c>
      <c r="R25" s="51">
        <f t="shared" ref="R25" si="33">Q25-P25</f>
        <v>68.61978657104828</v>
      </c>
      <c r="S25" s="51">
        <f t="shared" ref="S25:S46" si="34">F25*N25</f>
        <v>5660.2613865710491</v>
      </c>
      <c r="T25" s="51">
        <f t="shared" ref="T25" si="35">Q25-S25</f>
        <v>0</v>
      </c>
      <c r="U25" s="82">
        <f>N25</f>
        <v>22.735625749401706</v>
      </c>
      <c r="V25" s="82">
        <f t="shared" ref="V25:V46" si="36">F25*U25</f>
        <v>5660.2613865710491</v>
      </c>
      <c r="W25" s="82">
        <f t="shared" ref="W25" si="37">V25-P25</f>
        <v>68.61978657104828</v>
      </c>
      <c r="Y25" s="87">
        <f t="shared" si="10"/>
        <v>0</v>
      </c>
    </row>
    <row r="26" spans="1:25" s="43" customFormat="1" ht="14.45" customHeight="1">
      <c r="A26" s="173"/>
      <c r="B26" s="27">
        <v>35</v>
      </c>
      <c r="C26" s="43" t="s">
        <v>251</v>
      </c>
      <c r="D26" s="52"/>
      <c r="E26" s="107"/>
      <c r="F26" s="122">
        <v>155.87</v>
      </c>
      <c r="G26" s="52">
        <f>References!$B$32</f>
        <v>175</v>
      </c>
      <c r="H26" s="52">
        <f t="shared" si="29"/>
        <v>27277.25</v>
      </c>
      <c r="I26" s="106">
        <f t="shared" si="25"/>
        <v>22531.388846304417</v>
      </c>
      <c r="J26" s="51">
        <f>(References!$C$58*I26)</f>
        <v>42.133697142589497</v>
      </c>
      <c r="K26" s="51">
        <f>J26/References!$G$61</f>
        <v>42.961785559243928</v>
      </c>
      <c r="L26" s="51">
        <f t="shared" si="30"/>
        <v>0.27562574940170609</v>
      </c>
      <c r="M26" s="51">
        <f>'Proposed Rates'!$B$48</f>
        <v>22.46</v>
      </c>
      <c r="N26" s="51">
        <f t="shared" si="5"/>
        <v>22.735625749401706</v>
      </c>
      <c r="O26" s="51">
        <f>'Proposed Rates'!$D$48</f>
        <v>22.735625749401706</v>
      </c>
      <c r="P26" s="51">
        <f t="shared" si="31"/>
        <v>3500.8402000000001</v>
      </c>
      <c r="Q26" s="51">
        <f t="shared" si="32"/>
        <v>3543.8019855592438</v>
      </c>
      <c r="R26" s="51">
        <f t="shared" ref="R26:R44" si="38">Q26-P26</f>
        <v>42.961785559243708</v>
      </c>
      <c r="S26" s="51">
        <f t="shared" si="34"/>
        <v>3543.8019855592438</v>
      </c>
      <c r="T26" s="51">
        <f t="shared" ref="T26:T44" si="39">Q26-S26</f>
        <v>0</v>
      </c>
      <c r="U26" s="82">
        <f t="shared" ref="U26:U44" si="40">N26</f>
        <v>22.735625749401706</v>
      </c>
      <c r="V26" s="82">
        <f t="shared" si="36"/>
        <v>3543.8019855592438</v>
      </c>
      <c r="W26" s="82">
        <f t="shared" ref="W26:W44" si="41">V26-P26</f>
        <v>42.961785559243708</v>
      </c>
      <c r="Y26" s="87">
        <f t="shared" si="10"/>
        <v>0</v>
      </c>
    </row>
    <row r="27" spans="1:25" s="43" customFormat="1" ht="14.45" customHeight="1">
      <c r="A27" s="173"/>
      <c r="B27" s="27">
        <v>35</v>
      </c>
      <c r="C27" s="43" t="s">
        <v>130</v>
      </c>
      <c r="D27" s="52"/>
      <c r="E27" s="107"/>
      <c r="F27" s="122">
        <v>4516.84</v>
      </c>
      <c r="G27" s="52">
        <f>References!$B$32</f>
        <v>175</v>
      </c>
      <c r="H27" s="52">
        <f t="shared" si="29"/>
        <v>790447</v>
      </c>
      <c r="I27" s="106">
        <f t="shared" si="25"/>
        <v>652920.24377071683</v>
      </c>
      <c r="J27" s="51">
        <f>(References!$C$58*I27)</f>
        <v>1220.9608558512473</v>
      </c>
      <c r="K27" s="51">
        <f>J27/References!$G$61</f>
        <v>1244.9574099276019</v>
      </c>
      <c r="L27" s="51">
        <f t="shared" si="30"/>
        <v>0.27562574940170603</v>
      </c>
      <c r="M27" s="51">
        <f>'Proposed Rates'!$B$48</f>
        <v>22.46</v>
      </c>
      <c r="N27" s="51">
        <f t="shared" si="5"/>
        <v>22.735625749401706</v>
      </c>
      <c r="O27" s="51">
        <f>'Proposed Rates'!$D$48</f>
        <v>22.735625749401706</v>
      </c>
      <c r="P27" s="51">
        <f t="shared" si="31"/>
        <v>101448.22640000001</v>
      </c>
      <c r="Q27" s="51">
        <f t="shared" si="32"/>
        <v>102693.18380992761</v>
      </c>
      <c r="R27" s="51">
        <f t="shared" si="38"/>
        <v>1244.9574099275924</v>
      </c>
      <c r="S27" s="51">
        <f t="shared" si="34"/>
        <v>102693.18380992761</v>
      </c>
      <c r="T27" s="51">
        <f t="shared" si="39"/>
        <v>0</v>
      </c>
      <c r="U27" s="82">
        <f t="shared" si="40"/>
        <v>22.735625749401706</v>
      </c>
      <c r="V27" s="82">
        <f t="shared" si="36"/>
        <v>102693.18380992761</v>
      </c>
      <c r="W27" s="82">
        <f t="shared" si="41"/>
        <v>1244.9574099275924</v>
      </c>
      <c r="Y27" s="87">
        <f t="shared" si="10"/>
        <v>0</v>
      </c>
    </row>
    <row r="28" spans="1:25" s="43" customFormat="1" ht="14.45" customHeight="1">
      <c r="A28" s="173"/>
      <c r="B28" s="27">
        <v>35</v>
      </c>
      <c r="C28" s="43" t="s">
        <v>133</v>
      </c>
      <c r="D28" s="52"/>
      <c r="E28" s="107"/>
      <c r="F28" s="122">
        <v>41.09</v>
      </c>
      <c r="G28" s="52">
        <f>References!$B$32</f>
        <v>175</v>
      </c>
      <c r="H28" s="52">
        <f t="shared" si="29"/>
        <v>7190.7500000000009</v>
      </c>
      <c r="I28" s="106">
        <f t="shared" si="25"/>
        <v>5939.6597657961665</v>
      </c>
      <c r="J28" s="51">
        <f>(References!$C$58*I28)</f>
        <v>11.107163762038894</v>
      </c>
      <c r="K28" s="51">
        <f>J28/References!$G$61</f>
        <v>11.325462042916103</v>
      </c>
      <c r="L28" s="51">
        <f t="shared" si="30"/>
        <v>0.27562574940170603</v>
      </c>
      <c r="M28" s="51">
        <f>'Proposed Rates'!B62</f>
        <v>25.46</v>
      </c>
      <c r="N28" s="51">
        <f t="shared" si="5"/>
        <v>25.735625749401706</v>
      </c>
      <c r="O28" s="51">
        <f>'Proposed Rates'!D62</f>
        <v>25.735625749401706</v>
      </c>
      <c r="P28" s="51">
        <f t="shared" si="31"/>
        <v>1046.1514000000002</v>
      </c>
      <c r="Q28" s="51">
        <f t="shared" si="32"/>
        <v>1057.4768620429161</v>
      </c>
      <c r="R28" s="51">
        <f t="shared" si="38"/>
        <v>11.325462042915888</v>
      </c>
      <c r="S28" s="51">
        <f t="shared" si="34"/>
        <v>1057.4768620429161</v>
      </c>
      <c r="T28" s="51">
        <f t="shared" si="39"/>
        <v>0</v>
      </c>
      <c r="U28" s="82">
        <f t="shared" si="40"/>
        <v>25.735625749401706</v>
      </c>
      <c r="V28" s="82">
        <f t="shared" si="36"/>
        <v>1057.4768620429161</v>
      </c>
      <c r="W28" s="82">
        <f t="shared" si="41"/>
        <v>11.325462042915888</v>
      </c>
      <c r="Y28" s="87">
        <f t="shared" si="10"/>
        <v>0</v>
      </c>
    </row>
    <row r="29" spans="1:25" s="43" customFormat="1" ht="14.45" customHeight="1">
      <c r="A29" s="173"/>
      <c r="B29" s="27">
        <v>35</v>
      </c>
      <c r="C29" s="43" t="s">
        <v>127</v>
      </c>
      <c r="D29" s="52"/>
      <c r="E29" s="107"/>
      <c r="F29" s="122">
        <v>1810.99</v>
      </c>
      <c r="G29" s="52">
        <f>References!$B$33</f>
        <v>250</v>
      </c>
      <c r="H29" s="52">
        <f t="shared" si="29"/>
        <v>452747.5</v>
      </c>
      <c r="I29" s="106">
        <f t="shared" si="25"/>
        <v>373975.74798384029</v>
      </c>
      <c r="J29" s="51">
        <f>(References!$C$58*I29)</f>
        <v>699.33464872978527</v>
      </c>
      <c r="K29" s="51">
        <f>J29/References!$G$61</f>
        <v>713.07925129856517</v>
      </c>
      <c r="L29" s="51">
        <f t="shared" si="30"/>
        <v>0.39375107057386577</v>
      </c>
      <c r="M29" s="51">
        <f>'Proposed Rates'!$B$49</f>
        <v>31.48</v>
      </c>
      <c r="N29" s="51">
        <f t="shared" si="5"/>
        <v>31.873751070573867</v>
      </c>
      <c r="O29" s="51">
        <f>'Proposed Rates'!$D$49</f>
        <v>31.873751070573867</v>
      </c>
      <c r="P29" s="51">
        <f t="shared" si="31"/>
        <v>57009.965199999999</v>
      </c>
      <c r="Q29" s="51">
        <f t="shared" si="32"/>
        <v>57723.04445129857</v>
      </c>
      <c r="R29" s="51">
        <f t="shared" si="38"/>
        <v>713.07925129857176</v>
      </c>
      <c r="S29" s="51">
        <f t="shared" si="34"/>
        <v>57723.04445129857</v>
      </c>
      <c r="T29" s="51">
        <f t="shared" si="39"/>
        <v>0</v>
      </c>
      <c r="U29" s="82">
        <f t="shared" si="40"/>
        <v>31.873751070573867</v>
      </c>
      <c r="V29" s="82">
        <f t="shared" si="36"/>
        <v>57723.04445129857</v>
      </c>
      <c r="W29" s="82">
        <f t="shared" si="41"/>
        <v>713.07925129857176</v>
      </c>
      <c r="Y29" s="87">
        <f t="shared" si="10"/>
        <v>0</v>
      </c>
    </row>
    <row r="30" spans="1:25" s="43" customFormat="1" ht="14.45" customHeight="1">
      <c r="A30" s="173"/>
      <c r="B30" s="27">
        <v>35</v>
      </c>
      <c r="C30" s="43" t="s">
        <v>253</v>
      </c>
      <c r="D30" s="52"/>
      <c r="E30" s="107"/>
      <c r="F30" s="122">
        <v>103.92</v>
      </c>
      <c r="G30" s="52">
        <f>References!$B$33</f>
        <v>250</v>
      </c>
      <c r="H30" s="52">
        <f t="shared" si="29"/>
        <v>25980</v>
      </c>
      <c r="I30" s="106">
        <f t="shared" si="25"/>
        <v>21459.842257815166</v>
      </c>
      <c r="J30" s="51">
        <f>(References!$C$58*I30)</f>
        <v>40.129905022114585</v>
      </c>
      <c r="K30" s="51">
        <f>J30/References!$G$61</f>
        <v>40.918611254036136</v>
      </c>
      <c r="L30" s="51">
        <f t="shared" si="30"/>
        <v>0.39375107057386582</v>
      </c>
      <c r="M30" s="51">
        <f>'Proposed Rates'!$B$49</f>
        <v>31.48</v>
      </c>
      <c r="N30" s="51">
        <f t="shared" si="5"/>
        <v>31.873751070573867</v>
      </c>
      <c r="O30" s="51">
        <f>'Proposed Rates'!$D$49</f>
        <v>31.873751070573867</v>
      </c>
      <c r="P30" s="51">
        <f t="shared" si="31"/>
        <v>3271.4016000000001</v>
      </c>
      <c r="Q30" s="51">
        <f t="shared" si="32"/>
        <v>3312.3202112540362</v>
      </c>
      <c r="R30" s="51">
        <f t="shared" si="38"/>
        <v>40.918611254036023</v>
      </c>
      <c r="S30" s="51">
        <f t="shared" si="34"/>
        <v>3312.3202112540362</v>
      </c>
      <c r="T30" s="51">
        <f t="shared" si="39"/>
        <v>0</v>
      </c>
      <c r="U30" s="82">
        <f t="shared" si="40"/>
        <v>31.873751070573867</v>
      </c>
      <c r="V30" s="82">
        <f t="shared" si="36"/>
        <v>3312.3202112540362</v>
      </c>
      <c r="W30" s="82">
        <f t="shared" si="41"/>
        <v>40.918611254036023</v>
      </c>
      <c r="Y30" s="87">
        <f t="shared" si="10"/>
        <v>0</v>
      </c>
    </row>
    <row r="31" spans="1:25" s="43" customFormat="1" ht="14.45" customHeight="1">
      <c r="A31" s="173"/>
      <c r="B31" s="27">
        <v>35</v>
      </c>
      <c r="C31" s="43" t="s">
        <v>131</v>
      </c>
      <c r="D31" s="52"/>
      <c r="E31" s="107"/>
      <c r="F31" s="122">
        <v>571.91</v>
      </c>
      <c r="G31" s="52">
        <f>References!$B$33</f>
        <v>250</v>
      </c>
      <c r="H31" s="52">
        <f>F31*G31</f>
        <v>142977.5</v>
      </c>
      <c r="I31" s="106">
        <f t="shared" si="25"/>
        <v>118101.40863805881</v>
      </c>
      <c r="J31" s="51">
        <f>(References!$C$58*I31)</f>
        <v>220.84963415317122</v>
      </c>
      <c r="K31" s="51">
        <f>J31/References!$G$61</f>
        <v>225.19017477189959</v>
      </c>
      <c r="L31" s="51">
        <f t="shared" si="30"/>
        <v>0.39375107057386582</v>
      </c>
      <c r="M31" s="51">
        <f>'Proposed Rates'!$B$49</f>
        <v>31.48</v>
      </c>
      <c r="N31" s="51">
        <f t="shared" si="5"/>
        <v>31.873751070573867</v>
      </c>
      <c r="O31" s="51">
        <f>'Proposed Rates'!$D$49</f>
        <v>31.873751070573867</v>
      </c>
      <c r="P31" s="51">
        <f t="shared" si="31"/>
        <v>18003.7268</v>
      </c>
      <c r="Q31" s="51">
        <f t="shared" si="32"/>
        <v>18228.916974771899</v>
      </c>
      <c r="R31" s="51">
        <f t="shared" si="38"/>
        <v>225.19017477189846</v>
      </c>
      <c r="S31" s="51">
        <f t="shared" si="34"/>
        <v>18228.916974771899</v>
      </c>
      <c r="T31" s="51">
        <f t="shared" si="39"/>
        <v>0</v>
      </c>
      <c r="U31" s="82">
        <f t="shared" si="40"/>
        <v>31.873751070573867</v>
      </c>
      <c r="V31" s="82">
        <f t="shared" si="36"/>
        <v>18228.916974771899</v>
      </c>
      <c r="W31" s="82">
        <f t="shared" si="41"/>
        <v>225.19017477189846</v>
      </c>
      <c r="Y31" s="87">
        <f t="shared" si="10"/>
        <v>0</v>
      </c>
    </row>
    <row r="32" spans="1:25" s="43" customFormat="1" ht="14.45" customHeight="1">
      <c r="A32" s="173"/>
      <c r="B32" s="27">
        <v>35</v>
      </c>
      <c r="C32" s="43" t="s">
        <v>134</v>
      </c>
      <c r="D32" s="52"/>
      <c r="E32" s="107"/>
      <c r="F32" s="122">
        <v>1</v>
      </c>
      <c r="G32" s="52">
        <f>References!$B$33</f>
        <v>250</v>
      </c>
      <c r="H32" s="52">
        <f t="shared" si="29"/>
        <v>250</v>
      </c>
      <c r="I32" s="106">
        <f t="shared" si="25"/>
        <v>206.50348592970713</v>
      </c>
      <c r="J32" s="51">
        <f>(References!$C$58*I32)</f>
        <v>0.38616151868855453</v>
      </c>
      <c r="K32" s="51">
        <f>J32/References!$G$61</f>
        <v>0.39375107057386582</v>
      </c>
      <c r="L32" s="51">
        <f t="shared" si="30"/>
        <v>0.39375107057386582</v>
      </c>
      <c r="M32" s="51">
        <f>'Proposed Rates'!B63</f>
        <v>35.729999999999997</v>
      </c>
      <c r="N32" s="51">
        <f t="shared" si="5"/>
        <v>36.12375107057386</v>
      </c>
      <c r="O32" s="51">
        <f>'Proposed Rates'!D63</f>
        <v>36.12375107057386</v>
      </c>
      <c r="P32" s="51">
        <f t="shared" si="31"/>
        <v>35.729999999999997</v>
      </c>
      <c r="Q32" s="51">
        <f t="shared" si="32"/>
        <v>36.12375107057386</v>
      </c>
      <c r="R32" s="51">
        <f t="shared" si="38"/>
        <v>0.39375107057386316</v>
      </c>
      <c r="S32" s="51">
        <f t="shared" si="34"/>
        <v>36.12375107057386</v>
      </c>
      <c r="T32" s="51">
        <f t="shared" si="39"/>
        <v>0</v>
      </c>
      <c r="U32" s="82">
        <f t="shared" si="40"/>
        <v>36.12375107057386</v>
      </c>
      <c r="V32" s="82">
        <f t="shared" si="36"/>
        <v>36.12375107057386</v>
      </c>
      <c r="W32" s="82">
        <f t="shared" si="41"/>
        <v>0.39375107057386316</v>
      </c>
      <c r="Y32" s="87">
        <f t="shared" si="10"/>
        <v>0</v>
      </c>
    </row>
    <row r="33" spans="1:25" s="43" customFormat="1" ht="14.45" customHeight="1">
      <c r="A33" s="173"/>
      <c r="B33" s="27">
        <v>35</v>
      </c>
      <c r="C33" s="43" t="s">
        <v>135</v>
      </c>
      <c r="D33" s="52"/>
      <c r="E33" s="107"/>
      <c r="F33" s="122">
        <v>18</v>
      </c>
      <c r="G33" s="52">
        <f>References!$B$33</f>
        <v>250</v>
      </c>
      <c r="H33" s="52">
        <f t="shared" si="29"/>
        <v>4500</v>
      </c>
      <c r="I33" s="106">
        <f t="shared" si="25"/>
        <v>3717.0627467347285</v>
      </c>
      <c r="J33" s="51">
        <f>(References!$C$58*I33)</f>
        <v>6.950907336393982</v>
      </c>
      <c r="K33" s="51">
        <f>J33/References!$G$61</f>
        <v>7.0875192703295848</v>
      </c>
      <c r="L33" s="51">
        <f t="shared" si="30"/>
        <v>0.39375107057386582</v>
      </c>
      <c r="M33" s="51">
        <f>M32</f>
        <v>35.729999999999997</v>
      </c>
      <c r="N33" s="51">
        <f t="shared" si="5"/>
        <v>36.12375107057386</v>
      </c>
      <c r="O33" s="51">
        <f>O32</f>
        <v>36.12375107057386</v>
      </c>
      <c r="P33" s="51">
        <f t="shared" si="31"/>
        <v>643.14</v>
      </c>
      <c r="Q33" s="51">
        <f t="shared" si="32"/>
        <v>650.22751927032948</v>
      </c>
      <c r="R33" s="51">
        <f t="shared" si="38"/>
        <v>7.0875192703294942</v>
      </c>
      <c r="S33" s="51">
        <f t="shared" si="34"/>
        <v>650.22751927032948</v>
      </c>
      <c r="T33" s="51">
        <f t="shared" si="39"/>
        <v>0</v>
      </c>
      <c r="U33" s="82">
        <f t="shared" si="40"/>
        <v>36.12375107057386</v>
      </c>
      <c r="V33" s="82">
        <f t="shared" si="36"/>
        <v>650.22751927032948</v>
      </c>
      <c r="W33" s="82">
        <f t="shared" si="41"/>
        <v>7.0875192703294942</v>
      </c>
      <c r="Y33" s="87">
        <f t="shared" si="10"/>
        <v>0</v>
      </c>
    </row>
    <row r="34" spans="1:25" s="43" customFormat="1" ht="14.45" customHeight="1">
      <c r="A34" s="173"/>
      <c r="B34" s="27">
        <v>35</v>
      </c>
      <c r="C34" s="43" t="s">
        <v>128</v>
      </c>
      <c r="D34" s="52"/>
      <c r="E34" s="107"/>
      <c r="F34" s="122">
        <v>4669.24</v>
      </c>
      <c r="G34" s="52">
        <f>References!$B$35</f>
        <v>324</v>
      </c>
      <c r="H34" s="52">
        <f t="shared" si="29"/>
        <v>1512833.76</v>
      </c>
      <c r="I34" s="106">
        <f t="shared" si="25"/>
        <v>1249621.7802885838</v>
      </c>
      <c r="J34" s="51">
        <f>(References!$C$58*I34)</f>
        <v>2336.792729139665</v>
      </c>
      <c r="K34" s="51">
        <f>J34/References!$G$61</f>
        <v>2382.7196504011472</v>
      </c>
      <c r="L34" s="51">
        <f t="shared" si="30"/>
        <v>0.51030138746373011</v>
      </c>
      <c r="M34" s="51">
        <f>'Proposed Rates'!$B$50</f>
        <v>44.08</v>
      </c>
      <c r="N34" s="51">
        <f t="shared" si="5"/>
        <v>44.590301387463725</v>
      </c>
      <c r="O34" s="51">
        <f>'Proposed Rates'!$D$50</f>
        <v>44.590301387463725</v>
      </c>
      <c r="P34" s="51">
        <f t="shared" si="31"/>
        <v>205820.0992</v>
      </c>
      <c r="Q34" s="51">
        <f t="shared" si="32"/>
        <v>208202.81885040112</v>
      </c>
      <c r="R34" s="51">
        <f t="shared" si="38"/>
        <v>2382.7196504011226</v>
      </c>
      <c r="S34" s="51">
        <f t="shared" si="34"/>
        <v>208202.81885040112</v>
      </c>
      <c r="T34" s="51">
        <f t="shared" si="39"/>
        <v>0</v>
      </c>
      <c r="U34" s="82">
        <f t="shared" si="40"/>
        <v>44.590301387463725</v>
      </c>
      <c r="V34" s="82">
        <f t="shared" si="36"/>
        <v>208202.81885040112</v>
      </c>
      <c r="W34" s="82">
        <f t="shared" si="41"/>
        <v>2382.7196504011226</v>
      </c>
      <c r="Y34" s="87">
        <f t="shared" si="10"/>
        <v>0</v>
      </c>
    </row>
    <row r="35" spans="1:25" s="43" customFormat="1" ht="14.45" customHeight="1">
      <c r="A35" s="173"/>
      <c r="B35" s="27">
        <v>35</v>
      </c>
      <c r="C35" s="43" t="s">
        <v>129</v>
      </c>
      <c r="D35" s="52"/>
      <c r="E35" s="107"/>
      <c r="F35" s="122">
        <v>2905.47</v>
      </c>
      <c r="G35" s="52">
        <f>References!$B$35</f>
        <v>324</v>
      </c>
      <c r="H35" s="52">
        <f t="shared" si="29"/>
        <v>941372.27999999991</v>
      </c>
      <c r="I35" s="106">
        <f t="shared" si="25"/>
        <v>777586.62951038522</v>
      </c>
      <c r="J35" s="51">
        <f>(References!$C$58*I35)</f>
        <v>1454.0869971844286</v>
      </c>
      <c r="K35" s="51">
        <f>J35/References!$G$61</f>
        <v>1482.6653722342437</v>
      </c>
      <c r="L35" s="51">
        <f t="shared" si="30"/>
        <v>0.51030138746373011</v>
      </c>
      <c r="M35" s="51">
        <f>'Proposed Rates'!$B$50</f>
        <v>44.08</v>
      </c>
      <c r="N35" s="51">
        <f t="shared" si="5"/>
        <v>44.590301387463725</v>
      </c>
      <c r="O35" s="51">
        <f>'Proposed Rates'!$D$50</f>
        <v>44.590301387463725</v>
      </c>
      <c r="P35" s="51">
        <f t="shared" si="31"/>
        <v>128073.11759999998</v>
      </c>
      <c r="Q35" s="51">
        <f t="shared" si="32"/>
        <v>129555.78297223421</v>
      </c>
      <c r="R35" s="51">
        <f t="shared" si="38"/>
        <v>1482.6653722342307</v>
      </c>
      <c r="S35" s="51">
        <f t="shared" si="34"/>
        <v>129555.78297223421</v>
      </c>
      <c r="T35" s="51">
        <f t="shared" si="39"/>
        <v>0</v>
      </c>
      <c r="U35" s="82">
        <f t="shared" si="40"/>
        <v>44.590301387463725</v>
      </c>
      <c r="V35" s="82">
        <f t="shared" si="36"/>
        <v>129555.78297223421</v>
      </c>
      <c r="W35" s="82">
        <f t="shared" si="41"/>
        <v>1482.6653722342307</v>
      </c>
      <c r="Y35" s="87">
        <f t="shared" si="10"/>
        <v>0</v>
      </c>
    </row>
    <row r="36" spans="1:25" s="43" customFormat="1" ht="14.45" customHeight="1">
      <c r="A36" s="173"/>
      <c r="B36" s="27">
        <v>35</v>
      </c>
      <c r="C36" s="43" t="s">
        <v>255</v>
      </c>
      <c r="D36" s="52"/>
      <c r="E36" s="107"/>
      <c r="F36" s="122">
        <v>211.09</v>
      </c>
      <c r="G36" s="52">
        <f>References!$B$35</f>
        <v>324</v>
      </c>
      <c r="H36" s="52">
        <f t="shared" si="29"/>
        <v>68393.16</v>
      </c>
      <c r="I36" s="106">
        <f t="shared" si="25"/>
        <v>56493.703814992834</v>
      </c>
      <c r="J36" s="51">
        <f>(References!$C$58*I36)</f>
        <v>105.64322613403719</v>
      </c>
      <c r="K36" s="51">
        <f>J36/References!$G$61</f>
        <v>107.71951987971877</v>
      </c>
      <c r="L36" s="51">
        <f t="shared" si="30"/>
        <v>0.51030138746372999</v>
      </c>
      <c r="M36" s="51">
        <f>'Proposed Rates'!$B$50</f>
        <v>44.08</v>
      </c>
      <c r="N36" s="51">
        <f t="shared" si="5"/>
        <v>44.590301387463725</v>
      </c>
      <c r="O36" s="51">
        <f>'Proposed Rates'!$D$50</f>
        <v>44.590301387463725</v>
      </c>
      <c r="P36" s="51">
        <f t="shared" si="31"/>
        <v>9304.8472000000002</v>
      </c>
      <c r="Q36" s="51">
        <f t="shared" si="32"/>
        <v>9412.5667198797182</v>
      </c>
      <c r="R36" s="51">
        <f t="shared" si="38"/>
        <v>107.71951987971806</v>
      </c>
      <c r="S36" s="51">
        <f t="shared" si="34"/>
        <v>9412.5667198797182</v>
      </c>
      <c r="T36" s="51">
        <f t="shared" si="39"/>
        <v>0</v>
      </c>
      <c r="U36" s="82">
        <f t="shared" si="40"/>
        <v>44.590301387463725</v>
      </c>
      <c r="V36" s="82">
        <f t="shared" si="36"/>
        <v>9412.5667198797182</v>
      </c>
      <c r="W36" s="82">
        <f t="shared" si="41"/>
        <v>107.71951987971806</v>
      </c>
      <c r="Y36" s="87">
        <f t="shared" si="10"/>
        <v>0</v>
      </c>
    </row>
    <row r="37" spans="1:25" s="43" customFormat="1" ht="14.45" customHeight="1">
      <c r="A37" s="173"/>
      <c r="B37" s="27">
        <v>35</v>
      </c>
      <c r="C37" s="41" t="s">
        <v>132</v>
      </c>
      <c r="D37" s="40"/>
      <c r="E37" s="107"/>
      <c r="F37" s="123">
        <v>801.79</v>
      </c>
      <c r="G37" s="52">
        <f>References!$B$35</f>
        <v>324</v>
      </c>
      <c r="H37" s="52">
        <f t="shared" si="29"/>
        <v>259779.96</v>
      </c>
      <c r="I37" s="106">
        <f t="shared" si="25"/>
        <v>214581.86925871953</v>
      </c>
      <c r="J37" s="51">
        <f>(References!$C$58*I37)</f>
        <v>401.26809551380779</v>
      </c>
      <c r="K37" s="51">
        <f>J37/References!$G$61</f>
        <v>409.15454945454417</v>
      </c>
      <c r="L37" s="51">
        <f t="shared" si="30"/>
        <v>0.51030138746373011</v>
      </c>
      <c r="M37" s="51">
        <f>'Proposed Rates'!$B$50</f>
        <v>44.08</v>
      </c>
      <c r="N37" s="51">
        <f t="shared" si="5"/>
        <v>44.590301387463725</v>
      </c>
      <c r="O37" s="51">
        <f>'Proposed Rates'!$D$50</f>
        <v>44.590301387463725</v>
      </c>
      <c r="P37" s="51">
        <f t="shared" si="31"/>
        <v>35342.903200000001</v>
      </c>
      <c r="Q37" s="51">
        <f t="shared" si="32"/>
        <v>35752.057749454536</v>
      </c>
      <c r="R37" s="51">
        <f t="shared" si="38"/>
        <v>409.1545494545353</v>
      </c>
      <c r="S37" s="51">
        <f t="shared" si="34"/>
        <v>35752.057749454536</v>
      </c>
      <c r="T37" s="51">
        <f t="shared" si="39"/>
        <v>0</v>
      </c>
      <c r="U37" s="82">
        <f t="shared" si="40"/>
        <v>44.590301387463725</v>
      </c>
      <c r="V37" s="82">
        <f t="shared" si="36"/>
        <v>35752.057749454536</v>
      </c>
      <c r="W37" s="82">
        <f t="shared" si="41"/>
        <v>409.1545494545353</v>
      </c>
      <c r="Y37" s="87">
        <f t="shared" si="10"/>
        <v>0</v>
      </c>
    </row>
    <row r="38" spans="1:25" s="43" customFormat="1" ht="14.45" customHeight="1">
      <c r="A38" s="173"/>
      <c r="B38" s="27">
        <v>35</v>
      </c>
      <c r="C38" s="41" t="s">
        <v>136</v>
      </c>
      <c r="D38" s="40"/>
      <c r="E38" s="107"/>
      <c r="F38" s="123">
        <v>1</v>
      </c>
      <c r="G38" s="52">
        <f>References!$B$35</f>
        <v>324</v>
      </c>
      <c r="H38" s="52">
        <f t="shared" si="29"/>
        <v>324</v>
      </c>
      <c r="I38" s="106">
        <f t="shared" si="25"/>
        <v>267.62851776490044</v>
      </c>
      <c r="J38" s="51">
        <f>(References!$C$58*I38)</f>
        <v>0.5004653282203666</v>
      </c>
      <c r="K38" s="51">
        <f>J38/References!$G$61</f>
        <v>0.51030138746372999</v>
      </c>
      <c r="L38" s="51">
        <f t="shared" si="30"/>
        <v>0.51030138746372999</v>
      </c>
      <c r="M38" s="51">
        <f>'Proposed Rates'!B57</f>
        <v>49.08</v>
      </c>
      <c r="N38" s="51">
        <f t="shared" si="5"/>
        <v>49.590301387463725</v>
      </c>
      <c r="O38" s="51">
        <f>'Proposed Rates'!D57</f>
        <v>49.590301387463725</v>
      </c>
      <c r="P38" s="51">
        <f t="shared" si="31"/>
        <v>49.08</v>
      </c>
      <c r="Q38" s="51">
        <f t="shared" si="32"/>
        <v>49.590301387463725</v>
      </c>
      <c r="R38" s="51">
        <f t="shared" si="38"/>
        <v>0.510301387463727</v>
      </c>
      <c r="S38" s="51">
        <f t="shared" si="34"/>
        <v>49.590301387463725</v>
      </c>
      <c r="T38" s="51">
        <f t="shared" si="39"/>
        <v>0</v>
      </c>
      <c r="U38" s="82">
        <f t="shared" si="40"/>
        <v>49.590301387463725</v>
      </c>
      <c r="V38" s="82">
        <f t="shared" si="36"/>
        <v>49.590301387463725</v>
      </c>
      <c r="W38" s="82">
        <f t="shared" si="41"/>
        <v>0.510301387463727</v>
      </c>
      <c r="Y38" s="87">
        <f t="shared" si="10"/>
        <v>0</v>
      </c>
    </row>
    <row r="39" spans="1:25" s="43" customFormat="1" ht="14.45" customHeight="1">
      <c r="A39" s="173"/>
      <c r="B39" s="27">
        <v>35</v>
      </c>
      <c r="C39" s="41" t="s">
        <v>137</v>
      </c>
      <c r="D39" s="40"/>
      <c r="E39" s="107"/>
      <c r="F39" s="123">
        <v>275.93</v>
      </c>
      <c r="G39" s="52">
        <f>References!$B$35</f>
        <v>324</v>
      </c>
      <c r="H39" s="52">
        <f t="shared" si="29"/>
        <v>89401.32</v>
      </c>
      <c r="I39" s="106">
        <f t="shared" si="25"/>
        <v>73846.736906868988</v>
      </c>
      <c r="J39" s="51">
        <f>(References!$C$58*I39)</f>
        <v>138.09339801584579</v>
      </c>
      <c r="K39" s="51">
        <f>J39/References!$G$61</f>
        <v>140.80746184286707</v>
      </c>
      <c r="L39" s="51">
        <f t="shared" si="30"/>
        <v>0.51030138746373022</v>
      </c>
      <c r="M39" s="51">
        <f>'Proposed Rates'!B64</f>
        <v>50.4</v>
      </c>
      <c r="N39" s="51">
        <f t="shared" si="5"/>
        <v>50.910301387463726</v>
      </c>
      <c r="O39" s="51">
        <f>'Proposed Rates'!D64</f>
        <v>50.910301387463726</v>
      </c>
      <c r="P39" s="51">
        <f t="shared" si="31"/>
        <v>13906.871999999999</v>
      </c>
      <c r="Q39" s="51">
        <f t="shared" si="32"/>
        <v>14047.679461842867</v>
      </c>
      <c r="R39" s="51">
        <f t="shared" si="38"/>
        <v>140.80746184286727</v>
      </c>
      <c r="S39" s="51">
        <f t="shared" si="34"/>
        <v>14047.679461842867</v>
      </c>
      <c r="T39" s="51">
        <f t="shared" si="39"/>
        <v>0</v>
      </c>
      <c r="U39" s="82">
        <f t="shared" si="40"/>
        <v>50.910301387463726</v>
      </c>
      <c r="V39" s="82">
        <f t="shared" si="36"/>
        <v>14047.679461842867</v>
      </c>
      <c r="W39" s="82">
        <f t="shared" si="41"/>
        <v>140.80746184286727</v>
      </c>
      <c r="Y39" s="87">
        <f t="shared" si="10"/>
        <v>0</v>
      </c>
    </row>
    <row r="40" spans="1:25" s="43" customFormat="1" ht="14.45" customHeight="1">
      <c r="A40" s="173"/>
      <c r="B40" s="27" t="s">
        <v>281</v>
      </c>
      <c r="C40" s="41" t="s">
        <v>201</v>
      </c>
      <c r="D40" s="40"/>
      <c r="E40" s="107"/>
      <c r="F40" s="123">
        <v>118.14</v>
      </c>
      <c r="G40" s="52">
        <f>References!B51</f>
        <v>125</v>
      </c>
      <c r="H40" s="52">
        <f t="shared" si="29"/>
        <v>14767.5</v>
      </c>
      <c r="I40" s="106">
        <f t="shared" si="25"/>
        <v>12198.1609138678</v>
      </c>
      <c r="J40" s="51">
        <f>(References!$C$58*I40)</f>
        <v>22.810560908932914</v>
      </c>
      <c r="K40" s="51">
        <f>J40/References!$G$61</f>
        <v>23.258875738798253</v>
      </c>
      <c r="L40" s="51">
        <f t="shared" si="30"/>
        <v>0.19687553528693288</v>
      </c>
      <c r="M40" s="51">
        <f>'Proposed Rates'!B81</f>
        <v>27.39</v>
      </c>
      <c r="N40" s="51">
        <f t="shared" si="5"/>
        <v>27.586875535286932</v>
      </c>
      <c r="O40" s="51">
        <f>'Proposed Rates'!D81</f>
        <v>27.586875535286932</v>
      </c>
      <c r="P40" s="51">
        <f t="shared" si="31"/>
        <v>3235.8546000000001</v>
      </c>
      <c r="Q40" s="51">
        <f t="shared" si="32"/>
        <v>3259.1134757387981</v>
      </c>
      <c r="R40" s="51">
        <f t="shared" si="38"/>
        <v>23.258875738797997</v>
      </c>
      <c r="S40" s="51">
        <f t="shared" si="34"/>
        <v>3259.1134757387981</v>
      </c>
      <c r="T40" s="51">
        <f t="shared" si="39"/>
        <v>0</v>
      </c>
      <c r="U40" s="82">
        <f t="shared" si="40"/>
        <v>27.586875535286932</v>
      </c>
      <c r="V40" s="82">
        <f t="shared" si="36"/>
        <v>3259.1134757387981</v>
      </c>
      <c r="W40" s="82">
        <f t="shared" si="41"/>
        <v>23.258875738797997</v>
      </c>
      <c r="Y40" s="87">
        <f t="shared" si="10"/>
        <v>0</v>
      </c>
    </row>
    <row r="41" spans="1:25" s="43" customFormat="1" ht="14.45" customHeight="1">
      <c r="A41" s="173"/>
      <c r="B41" s="27">
        <v>36</v>
      </c>
      <c r="C41" s="43" t="s">
        <v>138</v>
      </c>
      <c r="D41" s="52"/>
      <c r="E41" s="107"/>
      <c r="F41" s="124">
        <v>1045.08</v>
      </c>
      <c r="G41" s="111">
        <f>References!$B$31</f>
        <v>29</v>
      </c>
      <c r="H41" s="52">
        <f t="shared" si="29"/>
        <v>30307.32</v>
      </c>
      <c r="I41" s="106">
        <f t="shared" si="25"/>
        <v>25034.268916748526</v>
      </c>
      <c r="J41" s="51">
        <f>(References!$C$58*I41)</f>
        <v>46.814082874320007</v>
      </c>
      <c r="K41" s="51">
        <f>J41/References!$G$61</f>
        <v>47.734158784898938</v>
      </c>
      <c r="L41" s="51">
        <f>K41/F41</f>
        <v>4.5675124186568439E-2</v>
      </c>
      <c r="M41" s="51">
        <f>'Proposed Rates'!$B$90</f>
        <v>5.54</v>
      </c>
      <c r="N41" s="51">
        <f>L41+M41</f>
        <v>5.5856751241865688</v>
      </c>
      <c r="O41" s="51">
        <f>'Proposed Rates'!$D$90</f>
        <v>5.5856751241865688</v>
      </c>
      <c r="P41" s="51">
        <f t="shared" si="31"/>
        <v>5789.7431999999999</v>
      </c>
      <c r="Q41" s="51">
        <f t="shared" si="32"/>
        <v>5837.4773587848986</v>
      </c>
      <c r="R41" s="51">
        <f t="shared" si="38"/>
        <v>47.734158784898682</v>
      </c>
      <c r="S41" s="51">
        <f t="shared" si="34"/>
        <v>5837.4773587848986</v>
      </c>
      <c r="T41" s="51">
        <f t="shared" si="39"/>
        <v>0</v>
      </c>
      <c r="U41" s="82">
        <f t="shared" si="40"/>
        <v>5.5856751241865688</v>
      </c>
      <c r="V41" s="82">
        <f t="shared" si="36"/>
        <v>5837.4773587848986</v>
      </c>
      <c r="W41" s="82">
        <f t="shared" si="41"/>
        <v>47.734158784898682</v>
      </c>
      <c r="Y41" s="87">
        <f t="shared" si="10"/>
        <v>0</v>
      </c>
    </row>
    <row r="42" spans="1:25" s="43" customFormat="1" ht="14.45" customHeight="1">
      <c r="A42" s="173"/>
      <c r="B42" s="27"/>
      <c r="C42" s="43" t="s">
        <v>257</v>
      </c>
      <c r="D42" s="52"/>
      <c r="E42" s="107"/>
      <c r="F42" s="124">
        <f>205.15*2</f>
        <v>410.3</v>
      </c>
      <c r="G42" s="111">
        <f>References!$B$31</f>
        <v>29</v>
      </c>
      <c r="H42" s="52">
        <f t="shared" si="29"/>
        <v>11898.7</v>
      </c>
      <c r="I42" s="106">
        <f t="shared" si="25"/>
        <v>9828.4921121272255</v>
      </c>
      <c r="J42" s="51">
        <f>(References!$C$58*I42)</f>
        <v>18.379280249678015</v>
      </c>
      <c r="K42" s="51">
        <f>J42/References!$G$61</f>
        <v>18.740503453749028</v>
      </c>
      <c r="L42" s="51">
        <f t="shared" si="30"/>
        <v>4.5675124186568432E-2</v>
      </c>
      <c r="M42" s="51">
        <f>'Proposed Rates'!$B$90</f>
        <v>5.54</v>
      </c>
      <c r="N42" s="51">
        <f t="shared" si="5"/>
        <v>5.5856751241865688</v>
      </c>
      <c r="O42" s="51">
        <f>'Proposed Rates'!$D$90</f>
        <v>5.5856751241865688</v>
      </c>
      <c r="P42" s="51">
        <f t="shared" si="31"/>
        <v>2273.0619999999999</v>
      </c>
      <c r="Q42" s="51">
        <f t="shared" si="32"/>
        <v>2291.8025034537491</v>
      </c>
      <c r="R42" s="51">
        <f t="shared" si="38"/>
        <v>18.74050345374917</v>
      </c>
      <c r="S42" s="51">
        <f t="shared" si="34"/>
        <v>2291.8025034537491</v>
      </c>
      <c r="T42" s="51">
        <f t="shared" si="39"/>
        <v>0</v>
      </c>
      <c r="U42" s="82">
        <f t="shared" si="40"/>
        <v>5.5856751241865688</v>
      </c>
      <c r="V42" s="82">
        <f t="shared" si="36"/>
        <v>2291.8025034537491</v>
      </c>
      <c r="W42" s="82">
        <f t="shared" si="41"/>
        <v>18.74050345374917</v>
      </c>
      <c r="Y42" s="87">
        <f t="shared" si="10"/>
        <v>0</v>
      </c>
    </row>
    <row r="43" spans="1:25" s="43" customFormat="1" ht="14.45" customHeight="1">
      <c r="A43" s="173"/>
      <c r="B43" s="27"/>
      <c r="C43" s="43" t="s">
        <v>139</v>
      </c>
      <c r="D43" s="52"/>
      <c r="E43" s="107"/>
      <c r="F43" s="124">
        <f>4.36*3</f>
        <v>13.080000000000002</v>
      </c>
      <c r="G43" s="111">
        <f>References!$B$31</f>
        <v>29</v>
      </c>
      <c r="H43" s="52">
        <f t="shared" si="29"/>
        <v>379.32000000000005</v>
      </c>
      <c r="I43" s="106">
        <f t="shared" si="25"/>
        <v>313.32360913142605</v>
      </c>
      <c r="J43" s="51">
        <f>(References!$C$58*I43)</f>
        <v>0.58591514907577003</v>
      </c>
      <c r="K43" s="51">
        <f>J43/References!$G$61</f>
        <v>0.59743062436031513</v>
      </c>
      <c r="L43" s="51">
        <f t="shared" si="30"/>
        <v>4.5675124186568432E-2</v>
      </c>
      <c r="M43" s="51">
        <f>'Proposed Rates'!$B$90</f>
        <v>5.54</v>
      </c>
      <c r="N43" s="51">
        <f t="shared" si="5"/>
        <v>5.5856751241865688</v>
      </c>
      <c r="O43" s="51">
        <f>'Proposed Rates'!$D$90</f>
        <v>5.5856751241865688</v>
      </c>
      <c r="P43" s="51">
        <f t="shared" si="31"/>
        <v>72.463200000000015</v>
      </c>
      <c r="Q43" s="51">
        <f t="shared" si="32"/>
        <v>73.060630624360329</v>
      </c>
      <c r="R43" s="51">
        <f t="shared" si="38"/>
        <v>0.5974306243603138</v>
      </c>
      <c r="S43" s="51">
        <f t="shared" si="34"/>
        <v>73.060630624360329</v>
      </c>
      <c r="T43" s="51">
        <f t="shared" si="39"/>
        <v>0</v>
      </c>
      <c r="U43" s="82">
        <f t="shared" si="40"/>
        <v>5.5856751241865688</v>
      </c>
      <c r="V43" s="82">
        <f t="shared" si="36"/>
        <v>73.060630624360329</v>
      </c>
      <c r="W43" s="82">
        <f t="shared" si="41"/>
        <v>0.5974306243603138</v>
      </c>
      <c r="Y43" s="87">
        <f t="shared" si="10"/>
        <v>0</v>
      </c>
    </row>
    <row r="44" spans="1:25" s="43" customFormat="1" ht="14.45" customHeight="1">
      <c r="A44" s="173"/>
      <c r="B44" s="27"/>
      <c r="C44" s="43" t="s">
        <v>259</v>
      </c>
      <c r="D44" s="52"/>
      <c r="E44" s="107"/>
      <c r="F44" s="124">
        <f>23.96*4</f>
        <v>95.84</v>
      </c>
      <c r="G44" s="111">
        <f>References!$B$31</f>
        <v>29</v>
      </c>
      <c r="H44" s="52">
        <f t="shared" si="29"/>
        <v>2779.36</v>
      </c>
      <c r="I44" s="106">
        <f t="shared" si="25"/>
        <v>2295.7901146143636</v>
      </c>
      <c r="J44" s="51">
        <f>(References!$C$58*I44)</f>
        <v>4.2931275143288845</v>
      </c>
      <c r="K44" s="51">
        <f>J44/References!$G$61</f>
        <v>4.3775039020407194</v>
      </c>
      <c r="L44" s="51">
        <f t="shared" si="30"/>
        <v>4.5675124186568439E-2</v>
      </c>
      <c r="M44" s="51">
        <f>'Proposed Rates'!$B$90</f>
        <v>5.54</v>
      </c>
      <c r="N44" s="51">
        <f t="shared" si="5"/>
        <v>5.5856751241865688</v>
      </c>
      <c r="O44" s="51">
        <f>'Proposed Rates'!$D$90</f>
        <v>5.5856751241865688</v>
      </c>
      <c r="P44" s="51">
        <f t="shared" si="31"/>
        <v>530.95360000000005</v>
      </c>
      <c r="Q44" s="51">
        <f t="shared" si="32"/>
        <v>535.33110390204081</v>
      </c>
      <c r="R44" s="51">
        <f t="shared" si="38"/>
        <v>4.3775039020407576</v>
      </c>
      <c r="S44" s="51">
        <f t="shared" si="34"/>
        <v>535.33110390204081</v>
      </c>
      <c r="T44" s="51">
        <f t="shared" si="39"/>
        <v>0</v>
      </c>
      <c r="U44" s="82">
        <f t="shared" si="40"/>
        <v>5.5856751241865688</v>
      </c>
      <c r="V44" s="82">
        <f t="shared" si="36"/>
        <v>535.33110390204081</v>
      </c>
      <c r="W44" s="82">
        <f t="shared" si="41"/>
        <v>4.3775039020407576</v>
      </c>
      <c r="Y44" s="87">
        <f t="shared" si="10"/>
        <v>0</v>
      </c>
    </row>
    <row r="45" spans="1:25" s="43" customFormat="1" ht="14.45" customHeight="1">
      <c r="A45" s="173"/>
      <c r="B45" s="27">
        <v>36</v>
      </c>
      <c r="C45" s="41" t="s">
        <v>140</v>
      </c>
      <c r="D45" s="40"/>
      <c r="E45" s="107"/>
      <c r="F45" s="122">
        <v>51.96</v>
      </c>
      <c r="G45" s="52">
        <f>References!B26</f>
        <v>47</v>
      </c>
      <c r="H45" s="52">
        <f t="shared" ref="H45:H46" si="42">F45*G45</f>
        <v>2442.12</v>
      </c>
      <c r="I45" s="106">
        <f t="shared" si="25"/>
        <v>2017.2251722346255</v>
      </c>
      <c r="J45" s="51">
        <f>(References!$C$58*I45)</f>
        <v>3.7722110720787709</v>
      </c>
      <c r="K45" s="51">
        <f>J45/References!$G$61</f>
        <v>3.8463494578793966</v>
      </c>
      <c r="L45" s="51">
        <f t="shared" si="30"/>
        <v>7.4025201267886767E-2</v>
      </c>
      <c r="M45" s="51">
        <f>'Proposed Rates'!B75</f>
        <v>7.73</v>
      </c>
      <c r="N45" s="51">
        <f t="shared" si="5"/>
        <v>7.804025201267887</v>
      </c>
      <c r="O45" s="51">
        <f>'Proposed Rates'!D75</f>
        <v>7.804025201267887</v>
      </c>
      <c r="P45" s="51">
        <f t="shared" si="31"/>
        <v>401.6508</v>
      </c>
      <c r="Q45" s="51">
        <f t="shared" si="32"/>
        <v>405.4971494578794</v>
      </c>
      <c r="R45" s="51">
        <f t="shared" ref="R45:R46" si="43">Q45-P45</f>
        <v>3.8463494578793984</v>
      </c>
      <c r="S45" s="51">
        <f t="shared" si="34"/>
        <v>405.4971494578794</v>
      </c>
      <c r="T45" s="51">
        <f t="shared" ref="T45:T46" si="44">Q45-S45</f>
        <v>0</v>
      </c>
      <c r="U45" s="82">
        <f t="shared" ref="U45:U46" si="45">N45</f>
        <v>7.804025201267887</v>
      </c>
      <c r="V45" s="82">
        <f t="shared" si="36"/>
        <v>405.4971494578794</v>
      </c>
      <c r="W45" s="82">
        <f t="shared" ref="W45:W46" si="46">V45-P45</f>
        <v>3.8463494578793984</v>
      </c>
      <c r="Y45" s="87">
        <f t="shared" si="10"/>
        <v>0</v>
      </c>
    </row>
    <row r="46" spans="1:25" s="43" customFormat="1" ht="14.45" customHeight="1">
      <c r="A46" s="173"/>
      <c r="B46" s="27" t="s">
        <v>282</v>
      </c>
      <c r="C46" s="41" t="s">
        <v>261</v>
      </c>
      <c r="D46" s="40"/>
      <c r="E46" s="107"/>
      <c r="F46" s="123">
        <v>38.97</v>
      </c>
      <c r="G46" s="52">
        <f>References!B31</f>
        <v>29</v>
      </c>
      <c r="H46" s="52">
        <f t="shared" si="42"/>
        <v>1130.1299999999999</v>
      </c>
      <c r="I46" s="106">
        <f t="shared" si="25"/>
        <v>933.50313821495956</v>
      </c>
      <c r="J46" s="51">
        <f>(References!$C$58*I46)</f>
        <v>1.7456508684619843</v>
      </c>
      <c r="K46" s="51">
        <f>J46/References!$G$61</f>
        <v>1.7799595895505715</v>
      </c>
      <c r="L46" s="51">
        <f t="shared" si="30"/>
        <v>4.5675124186568425E-2</v>
      </c>
      <c r="M46" s="51">
        <f>'Proposed Rates'!B83</f>
        <v>7.53</v>
      </c>
      <c r="N46" s="51">
        <f t="shared" si="5"/>
        <v>7.575675124186569</v>
      </c>
      <c r="O46" s="51">
        <f>'Proposed Rates'!D83</f>
        <v>7.575675124186569</v>
      </c>
      <c r="P46" s="51">
        <f t="shared" si="31"/>
        <v>293.44409999999999</v>
      </c>
      <c r="Q46" s="51">
        <f t="shared" si="32"/>
        <v>295.22405958955056</v>
      </c>
      <c r="R46" s="51">
        <f t="shared" si="43"/>
        <v>1.7799595895505718</v>
      </c>
      <c r="S46" s="51">
        <f t="shared" si="34"/>
        <v>295.22405958955056</v>
      </c>
      <c r="T46" s="51">
        <f t="shared" si="44"/>
        <v>0</v>
      </c>
      <c r="U46" s="82">
        <f t="shared" si="45"/>
        <v>7.575675124186569</v>
      </c>
      <c r="V46" s="82">
        <f t="shared" si="36"/>
        <v>295.22405958955056</v>
      </c>
      <c r="W46" s="82">
        <f t="shared" si="46"/>
        <v>1.7799595895505718</v>
      </c>
      <c r="Y46" s="87">
        <f t="shared" si="10"/>
        <v>0</v>
      </c>
    </row>
    <row r="47" spans="1:25" s="43" customFormat="1">
      <c r="A47" s="31"/>
      <c r="B47" s="29"/>
      <c r="C47" s="115" t="s">
        <v>16</v>
      </c>
      <c r="D47" s="116">
        <f>SUM(D24:D46)</f>
        <v>0</v>
      </c>
      <c r="E47" s="117"/>
      <c r="F47" s="118">
        <f>SUM(F24:F46)</f>
        <v>23151.72</v>
      </c>
      <c r="G47" s="119"/>
      <c r="H47" s="118">
        <f>SUM(H24:H46)</f>
        <v>5313665.6800000016</v>
      </c>
      <c r="I47" s="121">
        <f>SUM(I24:I46)</f>
        <v>4389161.9439401906</v>
      </c>
      <c r="J47" s="53"/>
      <c r="K47" s="53"/>
      <c r="L47" s="53"/>
      <c r="M47" s="53"/>
      <c r="N47" s="53"/>
      <c r="O47" s="53"/>
      <c r="P47" s="53">
        <f>SUM(P24:P46)</f>
        <v>708961.22889999987</v>
      </c>
      <c r="Q47" s="53">
        <f>SUM(Q24:Q46)</f>
        <v>717330.27510068659</v>
      </c>
      <c r="R47" s="53">
        <f>SUM(R24:R46)</f>
        <v>8369.0462006863763</v>
      </c>
      <c r="S47" s="53">
        <f>SUM(S24:S46)</f>
        <v>717330.27510068659</v>
      </c>
      <c r="T47" s="53">
        <f>SUM(T24:T46)</f>
        <v>0</v>
      </c>
      <c r="U47" s="54"/>
      <c r="V47" s="53">
        <f>SUM(V24:V46)</f>
        <v>717330.27510068659</v>
      </c>
      <c r="W47" s="53">
        <f>SUM(W24:W46)</f>
        <v>8369.0462006863763</v>
      </c>
      <c r="Y47" s="87">
        <f t="shared" si="10"/>
        <v>0</v>
      </c>
    </row>
    <row r="48" spans="1:25">
      <c r="C48" s="47" t="s">
        <v>3</v>
      </c>
      <c r="D48" s="48">
        <f>D23+D47</f>
        <v>2630.41</v>
      </c>
      <c r="E48" s="48"/>
      <c r="F48" s="48">
        <f>F23+F47</f>
        <v>136072.51999999999</v>
      </c>
      <c r="G48" s="48"/>
      <c r="H48" s="48">
        <f>H23+H47</f>
        <v>9338171.6600000001</v>
      </c>
      <c r="I48" s="48">
        <f>I23+I47</f>
        <v>7713459.9999999991</v>
      </c>
      <c r="J48" s="51"/>
      <c r="K48" s="55"/>
      <c r="L48" s="55"/>
      <c r="M48" s="55"/>
      <c r="N48" s="55"/>
      <c r="O48" s="55"/>
      <c r="P48" s="55">
        <f>P23+P47</f>
        <v>1365944.2733999998</v>
      </c>
      <c r="Q48" s="55">
        <f>Q23+Q47</f>
        <v>1380667.0688094608</v>
      </c>
      <c r="R48" s="55">
        <f>R23+R47</f>
        <v>14722.795409460854</v>
      </c>
      <c r="S48" s="55">
        <f>S23+S47</f>
        <v>1380667.0688094608</v>
      </c>
      <c r="T48" s="55">
        <f>T23+T47</f>
        <v>0</v>
      </c>
      <c r="U48" s="55"/>
      <c r="V48" s="55">
        <f>V23+V47</f>
        <v>1380667.0688094608</v>
      </c>
      <c r="W48" s="55">
        <f>W23+W47</f>
        <v>14722.795409460854</v>
      </c>
    </row>
    <row r="49" spans="1:20">
      <c r="J49" s="33"/>
      <c r="L49" s="20"/>
      <c r="S49" s="44"/>
    </row>
    <row r="50" spans="1:20">
      <c r="J50" s="33"/>
      <c r="Q50" s="41" t="s">
        <v>13</v>
      </c>
      <c r="R50" s="88">
        <f>R23/R48</f>
        <v>0.43155861587885441</v>
      </c>
      <c r="S50" s="44"/>
    </row>
    <row r="51" spans="1:20">
      <c r="A51" s="56"/>
      <c r="B51" s="57"/>
      <c r="C51" s="61" t="s">
        <v>101</v>
      </c>
      <c r="D51" s="58"/>
      <c r="E51" s="56"/>
      <c r="F51" s="56"/>
      <c r="G51" s="56"/>
      <c r="H51" s="56"/>
      <c r="I51" s="59"/>
      <c r="J51" s="60"/>
      <c r="K51" s="56"/>
      <c r="L51" s="56"/>
      <c r="M51" s="56"/>
      <c r="N51" s="56"/>
      <c r="O51" s="56"/>
      <c r="Q51" s="41" t="s">
        <v>14</v>
      </c>
      <c r="R51" s="88">
        <f>R47/R48</f>
        <v>0.56844138412114564</v>
      </c>
      <c r="S51" s="44"/>
    </row>
    <row r="52" spans="1:20" ht="15" customHeight="1">
      <c r="A52" s="173" t="s">
        <v>13</v>
      </c>
      <c r="B52" s="45">
        <v>21</v>
      </c>
      <c r="C52" s="67" t="s">
        <v>350</v>
      </c>
      <c r="D52" s="12">
        <v>0</v>
      </c>
      <c r="E52" s="4">
        <f>References!B12</f>
        <v>4.333333333333333</v>
      </c>
      <c r="F52" s="40">
        <f t="shared" ref="F52:F61" si="47">E52*12</f>
        <v>52</v>
      </c>
      <c r="G52" s="40">
        <f>References!B23</f>
        <v>117</v>
      </c>
      <c r="H52" s="90">
        <f t="shared" ref="H52:H57" si="48">F52*G52</f>
        <v>6084</v>
      </c>
      <c r="I52" s="40">
        <f t="shared" ref="I52:I58" si="49">H52*$D$80</f>
        <v>5025.4688335853525</v>
      </c>
      <c r="J52" s="51">
        <f>(References!$C$58*I52)</f>
        <v>9.3976267188046627</v>
      </c>
      <c r="K52" s="76">
        <f>J52/References!$G$61</f>
        <v>9.5823260534855983</v>
      </c>
      <c r="L52" s="51">
        <f t="shared" ref="L52:L58" si="50">K52/F52*E52</f>
        <v>0.79852717112379989</v>
      </c>
      <c r="M52" s="76">
        <f>'Proposed Rates'!B16</f>
        <v>69.56</v>
      </c>
      <c r="N52" s="76">
        <f>L52+M52</f>
        <v>70.358527171123797</v>
      </c>
      <c r="O52" s="76">
        <f>'Proposed Rates'!D16</f>
        <v>70.358527171123797</v>
      </c>
      <c r="R52" s="88">
        <f>SUM(R50:R51)</f>
        <v>1</v>
      </c>
      <c r="S52" s="44"/>
    </row>
    <row r="53" spans="1:20">
      <c r="A53" s="173"/>
      <c r="B53" s="45">
        <v>21</v>
      </c>
      <c r="C53" s="67" t="s">
        <v>349</v>
      </c>
      <c r="D53" s="12">
        <v>0</v>
      </c>
      <c r="E53" s="4">
        <f>References!B12</f>
        <v>4.333333333333333</v>
      </c>
      <c r="F53" s="40">
        <f>E53*12</f>
        <v>52</v>
      </c>
      <c r="G53" s="40">
        <f>References!B27</f>
        <v>68</v>
      </c>
      <c r="H53" s="90">
        <f t="shared" si="48"/>
        <v>3536</v>
      </c>
      <c r="I53" s="40">
        <f t="shared" si="49"/>
        <v>2920.7853049897776</v>
      </c>
      <c r="J53" s="51">
        <f>(References!$C$58*I53)</f>
        <v>5.4618685203309152</v>
      </c>
      <c r="K53" s="76">
        <f>J53/References!$G$61</f>
        <v>5.5692151421967582</v>
      </c>
      <c r="L53" s="51">
        <f>K53/F53*E53</f>
        <v>0.46410126184972983</v>
      </c>
      <c r="M53" s="76">
        <f>'Proposed Rates'!B19</f>
        <v>42.17</v>
      </c>
      <c r="N53" s="76">
        <f t="shared" ref="N53:N71" si="51">L53+M53</f>
        <v>42.634101261849729</v>
      </c>
      <c r="O53" s="76">
        <f>'Proposed Rates'!D19</f>
        <v>42.634101261849729</v>
      </c>
      <c r="S53" s="44"/>
    </row>
    <row r="54" spans="1:20">
      <c r="A54" s="173"/>
      <c r="B54" s="45">
        <v>21</v>
      </c>
      <c r="C54" s="67" t="s">
        <v>351</v>
      </c>
      <c r="D54" s="12">
        <v>0</v>
      </c>
      <c r="E54" s="4">
        <f>References!B13</f>
        <v>2.1666666666666665</v>
      </c>
      <c r="F54" s="40">
        <v>26</v>
      </c>
      <c r="G54" s="40">
        <f>References!B27</f>
        <v>68</v>
      </c>
      <c r="H54" s="90">
        <f t="shared" si="48"/>
        <v>1768</v>
      </c>
      <c r="I54" s="40">
        <f t="shared" si="49"/>
        <v>1460.3926524948888</v>
      </c>
      <c r="J54" s="51">
        <f>(References!$C$58*I54)</f>
        <v>2.7309342601654576</v>
      </c>
      <c r="K54" s="76">
        <f>J54/References!$G$61</f>
        <v>2.7846075710983791</v>
      </c>
      <c r="L54" s="51">
        <f t="shared" si="50"/>
        <v>0.23205063092486491</v>
      </c>
      <c r="M54" s="76">
        <f>'Proposed Rates'!B23</f>
        <v>23.9</v>
      </c>
      <c r="N54" s="76">
        <f t="shared" si="51"/>
        <v>24.132050630924862</v>
      </c>
      <c r="O54" s="76">
        <f>'Proposed Rates'!D23</f>
        <v>24.132050630924862</v>
      </c>
      <c r="S54" s="44"/>
    </row>
    <row r="55" spans="1:20">
      <c r="A55" s="173"/>
      <c r="B55" s="45">
        <v>21</v>
      </c>
      <c r="C55" s="41" t="s">
        <v>273</v>
      </c>
      <c r="D55" s="12">
        <v>0</v>
      </c>
      <c r="E55" s="4">
        <f>References!B14</f>
        <v>1</v>
      </c>
      <c r="F55" s="40">
        <f t="shared" ref="F55:F56" si="52">E55*12</f>
        <v>12</v>
      </c>
      <c r="G55" s="78">
        <f>References!B25</f>
        <v>37</v>
      </c>
      <c r="H55" s="90">
        <f t="shared" si="48"/>
        <v>444</v>
      </c>
      <c r="I55" s="40">
        <f t="shared" si="49"/>
        <v>366.75019101115987</v>
      </c>
      <c r="J55" s="51">
        <f>(References!$C$58*I55)</f>
        <v>0.68582285719087277</v>
      </c>
      <c r="K55" s="76">
        <f>J55/References!$G$61</f>
        <v>0.69930190133918557</v>
      </c>
      <c r="L55" s="51">
        <f>K55/F55*E55</f>
        <v>5.8275158444932133E-2</v>
      </c>
      <c r="M55" s="76">
        <f>'Proposed Rates'!B25</f>
        <v>9.3800000000000008</v>
      </c>
      <c r="N55" s="76">
        <f t="shared" si="51"/>
        <v>9.4382751584449327</v>
      </c>
      <c r="O55" s="76">
        <f t="shared" ref="O55:O57" si="53">L55+M55</f>
        <v>9.4382751584449327</v>
      </c>
      <c r="Q55" s="41" t="s">
        <v>363</v>
      </c>
      <c r="S55" s="88"/>
    </row>
    <row r="56" spans="1:20">
      <c r="A56" s="173"/>
      <c r="B56" s="45">
        <v>21</v>
      </c>
      <c r="C56" s="43" t="s">
        <v>274</v>
      </c>
      <c r="D56" s="12">
        <v>0</v>
      </c>
      <c r="E56" s="4">
        <f>References!B14</f>
        <v>1</v>
      </c>
      <c r="F56" s="40">
        <f t="shared" si="52"/>
        <v>12</v>
      </c>
      <c r="G56" s="40">
        <f>References!B26</f>
        <v>47</v>
      </c>
      <c r="H56" s="90">
        <f t="shared" si="48"/>
        <v>564</v>
      </c>
      <c r="I56" s="40">
        <f t="shared" si="49"/>
        <v>465.8718642574193</v>
      </c>
      <c r="J56" s="51">
        <f>(References!$C$58*I56)</f>
        <v>0.87118038616137905</v>
      </c>
      <c r="K56" s="76">
        <f>J56/References!$G$61</f>
        <v>0.88830241521464126</v>
      </c>
      <c r="L56" s="51">
        <f>K56/F56*E56</f>
        <v>7.4025201267886767E-2</v>
      </c>
      <c r="M56" s="76">
        <f>'Proposed Rates'!B26</f>
        <v>12.31</v>
      </c>
      <c r="N56" s="76">
        <f t="shared" si="51"/>
        <v>12.384025201267887</v>
      </c>
      <c r="O56" s="76">
        <f>'Proposed Rates'!D26</f>
        <v>12.384025201267887</v>
      </c>
      <c r="Q56" s="41" t="s">
        <v>13</v>
      </c>
      <c r="R56" s="93">
        <f>R23</f>
        <v>6353.7492087744777</v>
      </c>
      <c r="S56" s="88">
        <f>R56/P23</f>
        <v>9.6711007414354636E-3</v>
      </c>
    </row>
    <row r="57" spans="1:20">
      <c r="A57" s="175"/>
      <c r="B57" s="21"/>
      <c r="C57" s="74" t="s">
        <v>352</v>
      </c>
      <c r="D57" s="62">
        <v>0</v>
      </c>
      <c r="E57" s="75">
        <f>References!B14</f>
        <v>1</v>
      </c>
      <c r="F57" s="13">
        <v>12</v>
      </c>
      <c r="G57" s="13">
        <f>References!B27</f>
        <v>68</v>
      </c>
      <c r="H57" s="91">
        <f t="shared" si="48"/>
        <v>816</v>
      </c>
      <c r="I57" s="13">
        <f t="shared" si="49"/>
        <v>674.02737807456413</v>
      </c>
      <c r="J57" s="77">
        <f>(References!$C$58*I57)</f>
        <v>1.2604311969994419</v>
      </c>
      <c r="K57" s="72">
        <f>J57/References!$G$61</f>
        <v>1.2852034943530979</v>
      </c>
      <c r="L57" s="77">
        <f t="shared" si="50"/>
        <v>0.10710029119609149</v>
      </c>
      <c r="M57" s="72">
        <f>'Proposed Rates'!B27</f>
        <v>16.059999999999999</v>
      </c>
      <c r="N57" s="72">
        <f t="shared" si="51"/>
        <v>16.167100291196089</v>
      </c>
      <c r="O57" s="72">
        <f t="shared" si="53"/>
        <v>16.167100291196089</v>
      </c>
      <c r="Q57" s="41" t="s">
        <v>14</v>
      </c>
      <c r="R57" s="93">
        <f>R47</f>
        <v>8369.0462006863763</v>
      </c>
      <c r="S57" s="88">
        <f>R57/P47</f>
        <v>1.1804659915848295E-2</v>
      </c>
    </row>
    <row r="58" spans="1:20" ht="15" customHeight="1">
      <c r="A58" s="176" t="s">
        <v>14</v>
      </c>
      <c r="B58" s="45">
        <v>35</v>
      </c>
      <c r="C58" s="73" t="s">
        <v>275</v>
      </c>
      <c r="D58" s="12">
        <v>0</v>
      </c>
      <c r="E58" s="3">
        <v>1</v>
      </c>
      <c r="F58" s="40">
        <f t="shared" si="47"/>
        <v>12</v>
      </c>
      <c r="G58" s="52">
        <f>References!B32</f>
        <v>175</v>
      </c>
      <c r="H58" s="90">
        <f t="shared" ref="H58:H71" si="54">F58*G58</f>
        <v>2100</v>
      </c>
      <c r="I58" s="40">
        <f t="shared" si="49"/>
        <v>1734.6292818095399</v>
      </c>
      <c r="J58" s="51">
        <f>(References!$C$58*I58)</f>
        <v>3.2437567569838577</v>
      </c>
      <c r="K58" s="76">
        <f>J58/References!$G$61</f>
        <v>3.3075089928204724</v>
      </c>
      <c r="L58" s="51">
        <f t="shared" si="50"/>
        <v>0.27562574940170603</v>
      </c>
      <c r="M58" s="76">
        <f>'Proposed Rates'!B55</f>
        <v>25.46</v>
      </c>
      <c r="N58" s="76">
        <f t="shared" si="51"/>
        <v>25.735625749401706</v>
      </c>
      <c r="O58" s="76">
        <f>'Proposed Rates'!D55</f>
        <v>25.735625749401706</v>
      </c>
      <c r="Q58" s="96" t="s">
        <v>16</v>
      </c>
      <c r="R58" s="94">
        <f>SUM(R56:R57)</f>
        <v>14722.795409460854</v>
      </c>
      <c r="S58" s="44"/>
    </row>
    <row r="59" spans="1:20" ht="15" customHeight="1">
      <c r="A59" s="173"/>
      <c r="B59" s="45">
        <v>35</v>
      </c>
      <c r="C59" s="66" t="s">
        <v>284</v>
      </c>
      <c r="D59" s="12"/>
      <c r="E59" s="4">
        <v>4.33</v>
      </c>
      <c r="F59" s="40">
        <f t="shared" si="47"/>
        <v>51.96</v>
      </c>
      <c r="G59" s="52">
        <f>References!B36</f>
        <v>473</v>
      </c>
      <c r="H59" s="90">
        <f t="shared" si="54"/>
        <v>24577.08</v>
      </c>
      <c r="I59" s="40">
        <f t="shared" ref="I59:I61" si="55">H59*$D$80</f>
        <v>20301.010775893148</v>
      </c>
      <c r="J59" s="51">
        <f>(References!$C$58*I59)</f>
        <v>37.962890150920401</v>
      </c>
      <c r="K59" s="76">
        <f>J59/References!$G$61</f>
        <v>38.709006246318189</v>
      </c>
      <c r="L59" s="51">
        <f>K59/F59</f>
        <v>0.74497702552575418</v>
      </c>
      <c r="M59" s="76">
        <f>'Proposed Rates'!B51</f>
        <v>57.71</v>
      </c>
      <c r="N59" s="76">
        <f t="shared" si="51"/>
        <v>58.454977025525757</v>
      </c>
      <c r="O59" s="76">
        <f>'Proposed Rates'!D51</f>
        <v>58.454977025525757</v>
      </c>
      <c r="S59" s="44"/>
    </row>
    <row r="60" spans="1:20" ht="15" customHeight="1">
      <c r="A60" s="173"/>
      <c r="B60" s="45">
        <v>35</v>
      </c>
      <c r="C60" s="66" t="s">
        <v>285</v>
      </c>
      <c r="D60" s="12"/>
      <c r="E60" s="4">
        <f>References!$B$12</f>
        <v>4.333333333333333</v>
      </c>
      <c r="F60" s="40">
        <f t="shared" si="47"/>
        <v>52</v>
      </c>
      <c r="G60" s="52">
        <f>References!B38</f>
        <v>613</v>
      </c>
      <c r="H60" s="90">
        <f t="shared" si="54"/>
        <v>31876</v>
      </c>
      <c r="I60" s="40">
        <f t="shared" si="55"/>
        <v>26330.020469981377</v>
      </c>
      <c r="J60" s="51">
        <f>(References!$C$58*I60)</f>
        <v>49.237138278865451</v>
      </c>
      <c r="K60" s="76">
        <f>J60/References!$G$61</f>
        <v>50.204836502450178</v>
      </c>
      <c r="L60" s="51">
        <f>K60/F60</f>
        <v>0.96547762504711876</v>
      </c>
      <c r="M60" s="76">
        <f>'Proposed Rates'!B52</f>
        <v>78.81</v>
      </c>
      <c r="N60" s="76">
        <f t="shared" si="51"/>
        <v>79.775477625047117</v>
      </c>
      <c r="O60" s="76">
        <f>'Proposed Rates'!D52</f>
        <v>79.775477625047117</v>
      </c>
      <c r="S60" s="44"/>
    </row>
    <row r="61" spans="1:20" ht="15" customHeight="1">
      <c r="A61" s="173"/>
      <c r="B61" s="45">
        <v>35</v>
      </c>
      <c r="C61" s="79" t="s">
        <v>354</v>
      </c>
      <c r="D61" s="62"/>
      <c r="E61" s="75">
        <f>References!$B$12</f>
        <v>4.333333333333333</v>
      </c>
      <c r="F61" s="13">
        <f t="shared" si="47"/>
        <v>52</v>
      </c>
      <c r="G61" s="80">
        <f>References!B40</f>
        <v>840</v>
      </c>
      <c r="H61" s="91">
        <f t="shared" si="54"/>
        <v>43680</v>
      </c>
      <c r="I61" s="13">
        <f t="shared" si="55"/>
        <v>36080.289061638432</v>
      </c>
      <c r="J61" s="77">
        <f>(References!$C$58*I61)</f>
        <v>67.470140545264243</v>
      </c>
      <c r="K61" s="72">
        <f>J61/References!$G$61</f>
        <v>68.796187050665836</v>
      </c>
      <c r="L61" s="77">
        <f>K61/F61</f>
        <v>1.323003597128189</v>
      </c>
      <c r="M61" s="72">
        <f>'Proposed Rates'!B53</f>
        <v>119.24</v>
      </c>
      <c r="N61" s="72">
        <f t="shared" si="51"/>
        <v>120.56300359712819</v>
      </c>
      <c r="O61" s="72">
        <f>'Proposed Rates'!D53</f>
        <v>120.56300359712819</v>
      </c>
      <c r="Q61" s="43" t="s">
        <v>364</v>
      </c>
      <c r="R61" s="93">
        <f>1083.65</f>
        <v>1083.6500000000001</v>
      </c>
      <c r="S61" s="97" t="s">
        <v>366</v>
      </c>
      <c r="T61" s="98"/>
    </row>
    <row r="62" spans="1:20">
      <c r="A62" s="173"/>
      <c r="B62" s="45">
        <v>35.5</v>
      </c>
      <c r="C62" s="66" t="s">
        <v>278</v>
      </c>
      <c r="D62" s="12">
        <v>0</v>
      </c>
      <c r="E62" s="3">
        <v>1</v>
      </c>
      <c r="F62" s="40">
        <f t="shared" ref="F62:F71" si="56">E62*12</f>
        <v>12</v>
      </c>
      <c r="G62" s="78">
        <f>References!B25</f>
        <v>37</v>
      </c>
      <c r="H62" s="90">
        <f t="shared" si="54"/>
        <v>444</v>
      </c>
      <c r="I62" s="40">
        <f t="shared" ref="I62:I67" si="57">H62*$D$80</f>
        <v>366.75019101115987</v>
      </c>
      <c r="J62" s="51">
        <f>(References!$C$58*I62)</f>
        <v>0.68582285719087277</v>
      </c>
      <c r="K62" s="76">
        <f>J62/References!$G$61</f>
        <v>0.69930190133918557</v>
      </c>
      <c r="L62" s="51">
        <f t="shared" ref="L62:L67" si="58">K62/F62*E62</f>
        <v>5.8275158444932133E-2</v>
      </c>
      <c r="M62" s="76">
        <f>'Proposed Rates'!B72</f>
        <v>6.07</v>
      </c>
      <c r="N62" s="76">
        <f t="shared" si="51"/>
        <v>6.1282751584449322</v>
      </c>
      <c r="O62" s="76">
        <f>'Proposed Rates'!D72</f>
        <v>6.1282751584449322</v>
      </c>
      <c r="S62" s="97" t="s">
        <v>365</v>
      </c>
      <c r="T62" s="98"/>
    </row>
    <row r="63" spans="1:20">
      <c r="A63" s="173"/>
      <c r="B63" s="45">
        <v>35.5</v>
      </c>
      <c r="C63" s="66" t="s">
        <v>279</v>
      </c>
      <c r="D63" s="12">
        <v>0</v>
      </c>
      <c r="E63" s="3">
        <v>1</v>
      </c>
      <c r="F63" s="40">
        <f t="shared" si="56"/>
        <v>12</v>
      </c>
      <c r="G63" s="78">
        <f>References!B25</f>
        <v>37</v>
      </c>
      <c r="H63" s="90">
        <f t="shared" si="54"/>
        <v>444</v>
      </c>
      <c r="I63" s="40">
        <f t="shared" si="57"/>
        <v>366.75019101115987</v>
      </c>
      <c r="J63" s="51">
        <f>(References!$C$58*I63)</f>
        <v>0.68582285719087277</v>
      </c>
      <c r="K63" s="76">
        <f>J63/References!$G$61</f>
        <v>0.69930190133918557</v>
      </c>
      <c r="L63" s="51">
        <f t="shared" si="58"/>
        <v>5.8275158444932133E-2</v>
      </c>
      <c r="M63" s="76">
        <f>'Proposed Rates'!B73</f>
        <v>9.07</v>
      </c>
      <c r="N63" s="76">
        <f t="shared" si="51"/>
        <v>9.1282751584449322</v>
      </c>
      <c r="O63" s="76">
        <f>'Proposed Rates'!D73</f>
        <v>9.1282751584449322</v>
      </c>
      <c r="S63" s="44"/>
    </row>
    <row r="64" spans="1:20">
      <c r="A64" s="173"/>
      <c r="B64" s="45">
        <v>35.5</v>
      </c>
      <c r="C64" s="66" t="s">
        <v>280</v>
      </c>
      <c r="D64" s="12">
        <v>0</v>
      </c>
      <c r="E64" s="3">
        <v>1</v>
      </c>
      <c r="F64" s="40">
        <f t="shared" si="56"/>
        <v>12</v>
      </c>
      <c r="G64" s="52">
        <f>References!B26</f>
        <v>47</v>
      </c>
      <c r="H64" s="90">
        <f t="shared" si="54"/>
        <v>564</v>
      </c>
      <c r="I64" s="40">
        <f t="shared" si="57"/>
        <v>465.8718642574193</v>
      </c>
      <c r="J64" s="51">
        <f>(References!$C$58*I64)</f>
        <v>0.87118038616137905</v>
      </c>
      <c r="K64" s="76">
        <f>J64/References!$G$61</f>
        <v>0.88830241521464126</v>
      </c>
      <c r="L64" s="51">
        <f t="shared" si="58"/>
        <v>7.4025201267886767E-2</v>
      </c>
      <c r="M64" s="76">
        <f>'Proposed Rates'!B76</f>
        <v>10.73</v>
      </c>
      <c r="N64" s="76">
        <f t="shared" si="51"/>
        <v>10.804025201267887</v>
      </c>
      <c r="O64" s="76">
        <f>'Proposed Rates'!D76</f>
        <v>10.804025201267887</v>
      </c>
      <c r="Q64" s="95" t="s">
        <v>9</v>
      </c>
      <c r="R64" s="94">
        <f>R61*References!B61</f>
        <v>4052.8510000000101</v>
      </c>
      <c r="S64" s="88">
        <f>References!D58</f>
        <v>2.4984968935800714E-2</v>
      </c>
    </row>
    <row r="65" spans="1:19">
      <c r="A65" s="173"/>
      <c r="B65" s="45">
        <v>35.5</v>
      </c>
      <c r="C65" s="66" t="s">
        <v>361</v>
      </c>
      <c r="D65" s="12">
        <v>0</v>
      </c>
      <c r="E65" s="3">
        <v>1</v>
      </c>
      <c r="F65" s="40">
        <f t="shared" si="56"/>
        <v>12</v>
      </c>
      <c r="G65" s="52">
        <f>References!B27</f>
        <v>68</v>
      </c>
      <c r="H65" s="90">
        <f t="shared" si="54"/>
        <v>816</v>
      </c>
      <c r="I65" s="40">
        <f t="shared" si="57"/>
        <v>674.02737807456413</v>
      </c>
      <c r="J65" s="51">
        <f>(References!$C$58*I65)</f>
        <v>1.2604311969994419</v>
      </c>
      <c r="K65" s="76">
        <f>J65/References!$G$61</f>
        <v>1.2852034943530979</v>
      </c>
      <c r="L65" s="51">
        <f t="shared" si="58"/>
        <v>0.10710029119609149</v>
      </c>
      <c r="M65" s="76">
        <f>'Proposed Rates'!B78</f>
        <v>10.09</v>
      </c>
      <c r="N65" s="76">
        <f t="shared" si="51"/>
        <v>10.197100291196092</v>
      </c>
      <c r="O65" s="76">
        <f>'Proposed Rates'!D78</f>
        <v>10.197100291196092</v>
      </c>
      <c r="S65" s="44"/>
    </row>
    <row r="66" spans="1:19">
      <c r="A66" s="173"/>
      <c r="B66" s="45">
        <v>35.5</v>
      </c>
      <c r="C66" s="66" t="s">
        <v>355</v>
      </c>
      <c r="D66" s="12">
        <v>0</v>
      </c>
      <c r="E66" s="3">
        <v>1</v>
      </c>
      <c r="F66" s="40">
        <f t="shared" si="56"/>
        <v>12</v>
      </c>
      <c r="G66" s="52">
        <f>References!B27</f>
        <v>68</v>
      </c>
      <c r="H66" s="90">
        <f t="shared" si="54"/>
        <v>816</v>
      </c>
      <c r="I66" s="40">
        <f t="shared" si="57"/>
        <v>674.02737807456413</v>
      </c>
      <c r="J66" s="51">
        <f>(References!$C$58*I66)</f>
        <v>1.2604311969994419</v>
      </c>
      <c r="K66" s="76">
        <f>J66/References!$G$61</f>
        <v>1.2852034943530979</v>
      </c>
      <c r="L66" s="51">
        <f t="shared" si="58"/>
        <v>0.10710029119609149</v>
      </c>
      <c r="M66" s="76">
        <f>'Proposed Rates'!B79</f>
        <v>13.09</v>
      </c>
      <c r="N66" s="76">
        <f t="shared" si="51"/>
        <v>13.197100291196092</v>
      </c>
      <c r="O66" s="76">
        <f>'Proposed Rates'!D79</f>
        <v>13.197100291196092</v>
      </c>
      <c r="R66" s="94">
        <f>R58+R64</f>
        <v>18775.646409460864</v>
      </c>
      <c r="S66" s="44"/>
    </row>
    <row r="67" spans="1:19">
      <c r="A67" s="173"/>
      <c r="B67" s="45">
        <v>36</v>
      </c>
      <c r="C67" s="66" t="s">
        <v>277</v>
      </c>
      <c r="D67" s="12">
        <v>0</v>
      </c>
      <c r="E67" s="3">
        <v>1</v>
      </c>
      <c r="F67" s="40">
        <f t="shared" si="56"/>
        <v>12</v>
      </c>
      <c r="G67" s="52">
        <f>References!B31</f>
        <v>29</v>
      </c>
      <c r="H67" s="90">
        <f t="shared" si="54"/>
        <v>348</v>
      </c>
      <c r="I67" s="40">
        <f t="shared" si="57"/>
        <v>287.45285241415235</v>
      </c>
      <c r="J67" s="51">
        <f>(References!$C$58*I67)</f>
        <v>0.53753683401446795</v>
      </c>
      <c r="K67" s="76">
        <f>J67/References!$G$61</f>
        <v>0.54810149023882127</v>
      </c>
      <c r="L67" s="51">
        <f t="shared" si="58"/>
        <v>4.5675124186568439E-2</v>
      </c>
      <c r="M67" s="76">
        <f>'Proposed Rates'!B91</f>
        <v>7.54</v>
      </c>
      <c r="N67" s="76">
        <f t="shared" si="51"/>
        <v>7.5856751241865688</v>
      </c>
      <c r="O67" s="76">
        <f>'Proposed Rates'!D91</f>
        <v>7.5856751241865688</v>
      </c>
      <c r="S67" s="44"/>
    </row>
    <row r="68" spans="1:19">
      <c r="A68" s="173"/>
      <c r="B68" s="45">
        <v>36</v>
      </c>
      <c r="C68" s="66" t="s">
        <v>353</v>
      </c>
      <c r="D68" s="12">
        <v>0</v>
      </c>
      <c r="E68" s="4">
        <f>References!$B$12</f>
        <v>4.333333333333333</v>
      </c>
      <c r="F68" s="40">
        <f t="shared" si="56"/>
        <v>52</v>
      </c>
      <c r="G68" s="52">
        <f>References!B35</f>
        <v>324</v>
      </c>
      <c r="H68" s="90">
        <f t="shared" si="54"/>
        <v>16848</v>
      </c>
      <c r="I68" s="40">
        <f t="shared" ref="I68:I71" si="59">H68*$D$80</f>
        <v>13916.682923774822</v>
      </c>
      <c r="J68" s="51">
        <f>(References!$C$58*I68)</f>
        <v>26.024197067459063</v>
      </c>
      <c r="K68" s="76">
        <f>J68/References!$G$61</f>
        <v>26.53567214811396</v>
      </c>
      <c r="L68" s="51">
        <f t="shared" ref="L68:L71" si="60">K68/F68</f>
        <v>0.51030138746372999</v>
      </c>
      <c r="M68" s="76">
        <f>'Proposed Rates'!B93</f>
        <v>44.08</v>
      </c>
      <c r="N68" s="76">
        <f t="shared" si="51"/>
        <v>44.590301387463725</v>
      </c>
      <c r="O68" s="76">
        <f>'Proposed Rates'!D93</f>
        <v>44.590301387463725</v>
      </c>
      <c r="S68" s="44"/>
    </row>
    <row r="69" spans="1:19">
      <c r="A69" s="173"/>
      <c r="B69" s="45">
        <v>36</v>
      </c>
      <c r="C69" s="66" t="s">
        <v>284</v>
      </c>
      <c r="D69" s="12">
        <v>0</v>
      </c>
      <c r="E69" s="4">
        <f>References!$B$12</f>
        <v>4.333333333333333</v>
      </c>
      <c r="F69" s="40">
        <f t="shared" si="56"/>
        <v>52</v>
      </c>
      <c r="G69" s="52">
        <f>References!B36</f>
        <v>473</v>
      </c>
      <c r="H69" s="90">
        <f t="shared" si="54"/>
        <v>24596</v>
      </c>
      <c r="I69" s="40">
        <f t="shared" si="59"/>
        <v>20316.638959708307</v>
      </c>
      <c r="J69" s="51">
        <f>(References!$C$58*I69)</f>
        <v>37.992114854654751</v>
      </c>
      <c r="K69" s="76">
        <f>J69/References!$G$61</f>
        <v>38.738805327339215</v>
      </c>
      <c r="L69" s="51">
        <f t="shared" si="60"/>
        <v>0.74497702552575418</v>
      </c>
      <c r="M69" s="76">
        <f>'Proposed Rates'!B94</f>
        <v>57.71</v>
      </c>
      <c r="N69" s="76">
        <f t="shared" si="51"/>
        <v>58.454977025525757</v>
      </c>
      <c r="O69" s="76">
        <f>'Proposed Rates'!D94</f>
        <v>58.454977025525757</v>
      </c>
      <c r="S69" s="44"/>
    </row>
    <row r="70" spans="1:19">
      <c r="A70" s="173"/>
      <c r="B70" s="45">
        <v>36</v>
      </c>
      <c r="C70" s="66" t="s">
        <v>285</v>
      </c>
      <c r="D70" s="12">
        <v>0</v>
      </c>
      <c r="E70" s="4">
        <f>References!$B$12</f>
        <v>4.333333333333333</v>
      </c>
      <c r="F70" s="40">
        <f t="shared" si="56"/>
        <v>52</v>
      </c>
      <c r="G70" s="52">
        <f>References!B38</f>
        <v>613</v>
      </c>
      <c r="H70" s="90">
        <f t="shared" si="54"/>
        <v>31876</v>
      </c>
      <c r="I70" s="40">
        <f t="shared" si="59"/>
        <v>26330.020469981377</v>
      </c>
      <c r="J70" s="51">
        <f>(References!$C$58*I70)</f>
        <v>49.237138278865451</v>
      </c>
      <c r="K70" s="76">
        <f>J70/References!$G$61</f>
        <v>50.204836502450178</v>
      </c>
      <c r="L70" s="51">
        <f t="shared" si="60"/>
        <v>0.96547762504711876</v>
      </c>
      <c r="M70" s="76">
        <f>'Proposed Rates'!B95</f>
        <v>78.81</v>
      </c>
      <c r="N70" s="76">
        <f t="shared" si="51"/>
        <v>79.775477625047117</v>
      </c>
      <c r="O70" s="76">
        <f>'Proposed Rates'!D95</f>
        <v>79.775477625047117</v>
      </c>
      <c r="S70" s="44"/>
    </row>
    <row r="71" spans="1:19">
      <c r="A71" s="175"/>
      <c r="B71" s="21">
        <v>36</v>
      </c>
      <c r="C71" s="79" t="s">
        <v>354</v>
      </c>
      <c r="D71" s="62">
        <v>0</v>
      </c>
      <c r="E71" s="75">
        <f>References!$B$12</f>
        <v>4.333333333333333</v>
      </c>
      <c r="F71" s="13">
        <f t="shared" si="56"/>
        <v>52</v>
      </c>
      <c r="G71" s="80">
        <f>References!$B$40</f>
        <v>840</v>
      </c>
      <c r="H71" s="91">
        <f t="shared" si="54"/>
        <v>43680</v>
      </c>
      <c r="I71" s="13">
        <f t="shared" si="59"/>
        <v>36080.289061638432</v>
      </c>
      <c r="J71" s="77">
        <f>(References!$C$58*I71)</f>
        <v>67.470140545264243</v>
      </c>
      <c r="K71" s="72">
        <f>J71/References!$G$61</f>
        <v>68.796187050665836</v>
      </c>
      <c r="L71" s="77">
        <f t="shared" si="60"/>
        <v>1.323003597128189</v>
      </c>
      <c r="M71" s="72">
        <f>'Proposed Rates'!B96</f>
        <v>119.24</v>
      </c>
      <c r="N71" s="72">
        <f t="shared" si="51"/>
        <v>120.56300359712819</v>
      </c>
      <c r="O71" s="72">
        <f>'Proposed Rates'!D96</f>
        <v>120.56300359712819</v>
      </c>
      <c r="S71" s="44"/>
    </row>
    <row r="72" spans="1:19">
      <c r="A72" s="46"/>
      <c r="C72" s="66"/>
      <c r="D72" s="12"/>
      <c r="E72" s="3"/>
      <c r="F72" s="40"/>
      <c r="G72" s="52"/>
      <c r="H72" s="40"/>
      <c r="J72" s="51"/>
      <c r="K72" s="76"/>
      <c r="L72" s="51"/>
      <c r="M72" s="76"/>
      <c r="N72" s="76"/>
      <c r="O72" s="51"/>
      <c r="S72" s="44"/>
    </row>
    <row r="73" spans="1:19">
      <c r="A73" s="46"/>
      <c r="C73" s="66"/>
      <c r="D73" s="12"/>
      <c r="E73" s="3"/>
      <c r="F73" s="40"/>
      <c r="G73" s="52"/>
      <c r="H73" s="40"/>
      <c r="J73" s="51"/>
      <c r="K73" s="76"/>
      <c r="L73" s="51"/>
      <c r="M73" s="76"/>
      <c r="N73" s="76"/>
      <c r="O73" s="51"/>
      <c r="S73" s="44"/>
    </row>
    <row r="74" spans="1:19">
      <c r="A74" s="46"/>
      <c r="C74" s="49"/>
      <c r="S74" s="44"/>
    </row>
    <row r="75" spans="1:19">
      <c r="A75" s="46"/>
      <c r="C75" s="174" t="s">
        <v>96</v>
      </c>
      <c r="D75" s="174"/>
      <c r="E75" s="65"/>
      <c r="F75" s="65"/>
      <c r="H75" s="70" t="s">
        <v>228</v>
      </c>
    </row>
    <row r="76" spans="1:19">
      <c r="A76" s="46"/>
      <c r="D76" s="32" t="s">
        <v>16</v>
      </c>
      <c r="E76" s="11"/>
      <c r="F76" s="11"/>
      <c r="H76" s="68" t="s">
        <v>229</v>
      </c>
      <c r="J76" s="18"/>
      <c r="P76" s="42"/>
      <c r="Q76" s="18"/>
    </row>
    <row r="77" spans="1:19">
      <c r="A77" s="46"/>
      <c r="C77" s="41" t="s">
        <v>32</v>
      </c>
      <c r="D77" s="50">
        <v>3856.73</v>
      </c>
      <c r="E77" s="97" t="s">
        <v>366</v>
      </c>
      <c r="F77" s="98"/>
      <c r="G77" s="167"/>
      <c r="H77" s="69" t="s">
        <v>230</v>
      </c>
      <c r="J77" s="18"/>
      <c r="P77" s="42"/>
      <c r="Q77" s="76"/>
    </row>
    <row r="78" spans="1:19">
      <c r="A78" s="46"/>
      <c r="C78" s="41" t="s">
        <v>33</v>
      </c>
      <c r="D78" s="7">
        <f>D77*2000</f>
        <v>7713460</v>
      </c>
      <c r="E78" s="97" t="s">
        <v>365</v>
      </c>
      <c r="F78" s="98"/>
      <c r="G78" s="50"/>
      <c r="H78" s="7"/>
      <c r="J78" s="18"/>
      <c r="Q78" s="76"/>
    </row>
    <row r="79" spans="1:19">
      <c r="A79" s="46"/>
      <c r="C79" s="41" t="s">
        <v>5</v>
      </c>
      <c r="D79" s="7">
        <f>F23+F47</f>
        <v>136072.51999999999</v>
      </c>
      <c r="E79" s="40"/>
      <c r="F79" s="40"/>
      <c r="G79" s="40"/>
      <c r="H79" s="40"/>
      <c r="J79" s="18"/>
      <c r="P79" s="42"/>
      <c r="Q79" s="76"/>
    </row>
    <row r="80" spans="1:19">
      <c r="C80" s="19" t="s">
        <v>11</v>
      </c>
      <c r="D80" s="6">
        <f>D78/$H$48</f>
        <v>0.82601394371882852</v>
      </c>
      <c r="E80" s="6"/>
      <c r="F80" s="6"/>
      <c r="G80" s="6"/>
      <c r="H80" s="2"/>
      <c r="J80" s="18"/>
      <c r="M80" s="17"/>
      <c r="N80" s="17"/>
      <c r="O80" s="17"/>
      <c r="P80" s="16"/>
      <c r="Q80" s="16"/>
    </row>
  </sheetData>
  <mergeCells count="6">
    <mergeCell ref="A5:I5"/>
    <mergeCell ref="A24:A46"/>
    <mergeCell ref="C75:D75"/>
    <mergeCell ref="A7:A22"/>
    <mergeCell ref="A52:A57"/>
    <mergeCell ref="A58:A71"/>
  </mergeCells>
  <pageMargins left="0.7" right="0.7" top="0.75" bottom="0.75" header="0.3" footer="0.3"/>
  <pageSetup scale="53" fitToHeight="0" pageOrder="overThenDown" orientation="landscape" r:id="rId1"/>
  <headerFooter>
    <oddFooter>&amp;L&amp;F - &amp;A&amp;R&amp;P of &amp;N</oddFooter>
  </headerFooter>
  <rowBreaks count="1" manualBreakCount="1">
    <brk id="48" max="16383" man="1"/>
  </rowBreaks>
  <colBreaks count="3" manualBreakCount="3">
    <brk id="13" max="47" man="1"/>
    <brk id="13" min="48" max="79" man="1"/>
    <brk id="20" max="4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zoomScale="85" zoomScaleNormal="85" workbookViewId="0">
      <selection activeCell="P20" sqref="P20"/>
    </sheetView>
  </sheetViews>
  <sheetFormatPr defaultRowHeight="15"/>
  <cols>
    <col min="1" max="1" width="32" style="41" customWidth="1"/>
    <col min="2" max="2" width="11.42578125" style="138" customWidth="1"/>
    <col min="3" max="3" width="11.42578125" style="41" customWidth="1"/>
    <col min="4" max="4" width="12.42578125" style="41" customWidth="1"/>
    <col min="5" max="16384" width="9.140625" style="41"/>
  </cols>
  <sheetData>
    <row r="1" spans="1:6">
      <c r="A1" s="95" t="s">
        <v>287</v>
      </c>
    </row>
    <row r="2" spans="1:6">
      <c r="A2" s="95" t="s">
        <v>371</v>
      </c>
    </row>
    <row r="3" spans="1:6">
      <c r="A3" s="95" t="s">
        <v>374</v>
      </c>
      <c r="B3" s="165">
        <v>43101</v>
      </c>
    </row>
    <row r="4" spans="1:6">
      <c r="A4" s="95"/>
    </row>
    <row r="5" spans="1:6">
      <c r="A5" s="98" t="s">
        <v>101</v>
      </c>
      <c r="B5" s="136"/>
      <c r="C5" s="11"/>
      <c r="D5" s="11"/>
    </row>
    <row r="6" spans="1:6" ht="45">
      <c r="B6" s="130" t="s">
        <v>367</v>
      </c>
      <c r="C6" s="71" t="s">
        <v>368</v>
      </c>
      <c r="D6" s="71" t="s">
        <v>375</v>
      </c>
    </row>
    <row r="7" spans="1:6">
      <c r="A7" s="95" t="s">
        <v>288</v>
      </c>
    </row>
    <row r="8" spans="1:6">
      <c r="A8" s="41" t="s">
        <v>289</v>
      </c>
      <c r="B8" s="135">
        <v>7.18</v>
      </c>
      <c r="C8" s="18">
        <f>'Staff Calcs '!L22</f>
        <v>5.3550145598045752E-2</v>
      </c>
      <c r="D8" s="18">
        <f>SUM(B8:C8)</f>
        <v>7.2335501455980458</v>
      </c>
      <c r="F8" s="138"/>
    </row>
    <row r="10" spans="1:6">
      <c r="A10" s="95" t="s">
        <v>290</v>
      </c>
      <c r="D10" s="18"/>
    </row>
    <row r="11" spans="1:6">
      <c r="A11" s="41" t="s">
        <v>291</v>
      </c>
      <c r="B11" s="135">
        <v>17.91</v>
      </c>
      <c r="C11" s="18">
        <f>'Staff Calcs '!L7</f>
        <v>0.13650037113227345</v>
      </c>
      <c r="D11" s="18">
        <f t="shared" ref="D11:D27" si="0">SUM(B11:C11)</f>
        <v>18.046500371132275</v>
      </c>
      <c r="F11" s="138"/>
    </row>
    <row r="12" spans="1:6">
      <c r="A12" s="41" t="s">
        <v>292</v>
      </c>
      <c r="B12" s="135">
        <v>23.07</v>
      </c>
      <c r="C12" s="18">
        <f>'Staff Calcs '!L8</f>
        <v>0.23205063092486489</v>
      </c>
      <c r="D12" s="18">
        <f t="shared" si="0"/>
        <v>23.302050630924864</v>
      </c>
      <c r="F12" s="138"/>
    </row>
    <row r="13" spans="1:6">
      <c r="A13" s="41" t="s">
        <v>293</v>
      </c>
      <c r="B13" s="135">
        <v>34.14</v>
      </c>
      <c r="C13" s="18">
        <f>'Staff Calcs '!L9</f>
        <v>0.34807594638729733</v>
      </c>
      <c r="D13" s="18">
        <f t="shared" si="0"/>
        <v>34.488075946387298</v>
      </c>
      <c r="F13" s="138"/>
    </row>
    <row r="14" spans="1:6">
      <c r="A14" s="41" t="s">
        <v>294</v>
      </c>
      <c r="B14" s="135">
        <v>45.87</v>
      </c>
      <c r="C14" s="18">
        <f>'Staff Calcs '!L10</f>
        <v>0.52552642885925283</v>
      </c>
      <c r="D14" s="18">
        <f t="shared" si="0"/>
        <v>46.395526428859249</v>
      </c>
      <c r="F14" s="138"/>
    </row>
    <row r="15" spans="1:6">
      <c r="A15" s="41" t="s">
        <v>295</v>
      </c>
      <c r="B15" s="135">
        <v>57.69</v>
      </c>
      <c r="C15" s="18">
        <f>'Staff Calcs '!L11</f>
        <v>0.66202679999152636</v>
      </c>
      <c r="D15" s="18">
        <f t="shared" si="0"/>
        <v>58.352026799991521</v>
      </c>
      <c r="F15" s="138"/>
    </row>
    <row r="16" spans="1:6">
      <c r="A16" s="98" t="s">
        <v>296</v>
      </c>
      <c r="B16" s="134">
        <v>69.56</v>
      </c>
      <c r="C16" s="133">
        <f>'Staff Calcs '!L52</f>
        <v>0.79852717112379989</v>
      </c>
      <c r="D16" s="133">
        <f t="shared" si="0"/>
        <v>70.358527171123797</v>
      </c>
      <c r="F16" s="138"/>
    </row>
    <row r="17" spans="1:6">
      <c r="A17" s="41" t="s">
        <v>297</v>
      </c>
      <c r="B17" s="135">
        <v>25.19</v>
      </c>
      <c r="C17" s="18">
        <f>'Staff Calcs '!L12</f>
        <v>0.25252568659470587</v>
      </c>
      <c r="D17" s="18">
        <f t="shared" si="0"/>
        <v>25.442525686594706</v>
      </c>
      <c r="F17" s="138"/>
    </row>
    <row r="18" spans="1:6">
      <c r="A18" s="41" t="s">
        <v>298</v>
      </c>
      <c r="B18" s="135">
        <v>32.450000000000003</v>
      </c>
      <c r="C18" s="18">
        <f>'Staff Calcs '!L13</f>
        <v>0.32077587216084263</v>
      </c>
      <c r="D18" s="18">
        <f t="shared" si="0"/>
        <v>32.770775872160847</v>
      </c>
      <c r="F18" s="138"/>
    </row>
    <row r="19" spans="1:6">
      <c r="A19" s="98" t="s">
        <v>299</v>
      </c>
      <c r="B19" s="132">
        <v>42.17</v>
      </c>
      <c r="C19" s="133">
        <f>'Staff Calcs '!L53</f>
        <v>0.46410126184972983</v>
      </c>
      <c r="D19" s="133">
        <f t="shared" si="0"/>
        <v>42.634101261849729</v>
      </c>
      <c r="F19" s="138"/>
    </row>
    <row r="20" spans="1:6">
      <c r="A20" s="41" t="s">
        <v>300</v>
      </c>
      <c r="B20" s="135">
        <v>13.54</v>
      </c>
      <c r="C20" s="18">
        <f>'Staff Calcs '!L14</f>
        <v>0.11602531546243242</v>
      </c>
      <c r="D20" s="18">
        <f t="shared" si="0"/>
        <v>13.656025315462431</v>
      </c>
      <c r="F20" s="138"/>
    </row>
    <row r="21" spans="1:6">
      <c r="A21" s="41" t="s">
        <v>301</v>
      </c>
      <c r="B21" s="135">
        <v>14.88</v>
      </c>
      <c r="C21" s="18">
        <f>'Staff Calcs '!L16</f>
        <v>0.12626284329735293</v>
      </c>
      <c r="D21" s="18">
        <f t="shared" si="0"/>
        <v>15.006262843297353</v>
      </c>
      <c r="F21" s="138"/>
    </row>
    <row r="22" spans="1:6">
      <c r="A22" s="41" t="s">
        <v>302</v>
      </c>
      <c r="B22" s="135">
        <v>18.11</v>
      </c>
      <c r="C22" s="18">
        <f>'Staff Calcs '!L17</f>
        <v>0.16038793608042132</v>
      </c>
      <c r="D22" s="18">
        <f t="shared" si="0"/>
        <v>18.270387936080422</v>
      </c>
      <c r="F22" s="138"/>
    </row>
    <row r="23" spans="1:6">
      <c r="A23" s="98" t="s">
        <v>303</v>
      </c>
      <c r="B23" s="132">
        <v>23.9</v>
      </c>
      <c r="C23" s="133">
        <f>'Staff Calcs '!L54</f>
        <v>0.23205063092486491</v>
      </c>
      <c r="D23" s="133">
        <f t="shared" si="0"/>
        <v>24.132050630924862</v>
      </c>
      <c r="F23" s="138"/>
    </row>
    <row r="24" spans="1:6">
      <c r="A24" s="41" t="s">
        <v>304</v>
      </c>
      <c r="B24" s="135">
        <v>8.2799999999999994</v>
      </c>
      <c r="C24" s="18">
        <f>'Staff Calcs '!L18</f>
        <v>5.3550145598045745E-2</v>
      </c>
      <c r="D24" s="18">
        <f t="shared" si="0"/>
        <v>8.3335501455980445</v>
      </c>
      <c r="F24" s="138"/>
    </row>
    <row r="25" spans="1:6">
      <c r="A25" s="98" t="s">
        <v>305</v>
      </c>
      <c r="B25" s="134">
        <v>9.3800000000000008</v>
      </c>
      <c r="C25" s="133">
        <f>'Staff Calcs '!L55</f>
        <v>5.8275158444932133E-2</v>
      </c>
      <c r="D25" s="133">
        <f t="shared" si="0"/>
        <v>9.4382751584449327</v>
      </c>
      <c r="F25" s="138"/>
    </row>
    <row r="26" spans="1:6">
      <c r="A26" s="98" t="s">
        <v>306</v>
      </c>
      <c r="B26" s="134">
        <v>12.31</v>
      </c>
      <c r="C26" s="133">
        <f>'Staff Calcs '!L56</f>
        <v>7.4025201267886767E-2</v>
      </c>
      <c r="D26" s="133">
        <f t="shared" si="0"/>
        <v>12.384025201267887</v>
      </c>
      <c r="F26" s="138"/>
    </row>
    <row r="27" spans="1:6">
      <c r="A27" s="98" t="s">
        <v>307</v>
      </c>
      <c r="B27" s="132">
        <v>16.059999999999999</v>
      </c>
      <c r="C27" s="133">
        <f>'Staff Calcs '!L57</f>
        <v>0.10710029119609149</v>
      </c>
      <c r="D27" s="133">
        <f t="shared" si="0"/>
        <v>16.167100291196089</v>
      </c>
      <c r="F27" s="138"/>
    </row>
    <row r="28" spans="1:6">
      <c r="C28" s="18"/>
    </row>
    <row r="29" spans="1:6">
      <c r="A29" s="95" t="s">
        <v>308</v>
      </c>
    </row>
    <row r="30" spans="1:6">
      <c r="A30" s="41" t="s">
        <v>309</v>
      </c>
      <c r="B30" s="135">
        <v>7.63</v>
      </c>
      <c r="C30" s="18">
        <f>'Staff Calcs '!L21</f>
        <v>5.3550145598045752E-2</v>
      </c>
      <c r="D30" s="18">
        <f t="shared" ref="D30:D34" si="1">SUM(B30:C30)</f>
        <v>7.6835501455980459</v>
      </c>
      <c r="F30" s="138"/>
    </row>
    <row r="31" spans="1:6">
      <c r="A31" s="41" t="s">
        <v>310</v>
      </c>
      <c r="B31" s="135">
        <v>7.63</v>
      </c>
      <c r="C31" s="18">
        <f>C30</f>
        <v>5.3550145598045752E-2</v>
      </c>
      <c r="D31" s="18">
        <f t="shared" si="1"/>
        <v>7.6835501455980459</v>
      </c>
      <c r="F31" s="138"/>
    </row>
    <row r="32" spans="1:6">
      <c r="A32" s="41" t="s">
        <v>311</v>
      </c>
      <c r="B32" s="135">
        <v>7.63</v>
      </c>
      <c r="C32" s="18">
        <f t="shared" ref="C32:C33" si="2">C31</f>
        <v>5.3550145598045752E-2</v>
      </c>
      <c r="D32" s="18">
        <f t="shared" si="1"/>
        <v>7.6835501455980459</v>
      </c>
      <c r="F32" s="138"/>
    </row>
    <row r="33" spans="1:6">
      <c r="A33" s="41" t="s">
        <v>312</v>
      </c>
      <c r="B33" s="135">
        <v>7.63</v>
      </c>
      <c r="C33" s="18">
        <f t="shared" si="2"/>
        <v>5.3550145598045752E-2</v>
      </c>
      <c r="D33" s="18">
        <f t="shared" si="1"/>
        <v>7.6835501455980459</v>
      </c>
      <c r="F33" s="138"/>
    </row>
    <row r="34" spans="1:6">
      <c r="A34" s="41" t="s">
        <v>313</v>
      </c>
      <c r="B34" s="135">
        <v>8.2799999999999994</v>
      </c>
      <c r="C34" s="18">
        <f>C30</f>
        <v>5.3550145598045752E-2</v>
      </c>
      <c r="D34" s="18">
        <f t="shared" si="1"/>
        <v>8.3335501455980445</v>
      </c>
      <c r="F34" s="138"/>
    </row>
    <row r="36" spans="1:6">
      <c r="A36" s="95" t="s">
        <v>314</v>
      </c>
    </row>
    <row r="37" spans="1:6">
      <c r="A37" s="41" t="s">
        <v>315</v>
      </c>
      <c r="B37" s="135">
        <v>27.39</v>
      </c>
      <c r="C37" s="18">
        <f>'Staff Calcs '!L40</f>
        <v>0.19687553528693288</v>
      </c>
      <c r="D37" s="18">
        <f t="shared" ref="D37:D39" si="3">SUM(B37:C37)</f>
        <v>27.586875535286932</v>
      </c>
      <c r="F37" s="138"/>
    </row>
    <row r="38" spans="1:6">
      <c r="A38" s="41" t="s">
        <v>316</v>
      </c>
      <c r="B38" s="135">
        <v>27.39</v>
      </c>
      <c r="C38" s="18">
        <f>C37</f>
        <v>0.19687553528693288</v>
      </c>
      <c r="D38" s="18">
        <f t="shared" si="3"/>
        <v>27.586875535286932</v>
      </c>
      <c r="F38" s="138"/>
    </row>
    <row r="39" spans="1:6">
      <c r="A39" s="41" t="s">
        <v>317</v>
      </c>
      <c r="B39" s="135">
        <v>27.39</v>
      </c>
      <c r="C39" s="18">
        <f>C37</f>
        <v>0.19687553528693288</v>
      </c>
      <c r="D39" s="18">
        <f t="shared" si="3"/>
        <v>27.586875535286932</v>
      </c>
      <c r="F39" s="138"/>
    </row>
    <row r="41" spans="1:6">
      <c r="A41" s="95" t="s">
        <v>318</v>
      </c>
    </row>
    <row r="42" spans="1:6">
      <c r="A42" s="41" t="s">
        <v>319</v>
      </c>
      <c r="B42" s="135">
        <v>27.39</v>
      </c>
      <c r="C42" s="18">
        <f>C37</f>
        <v>0.19687553528693288</v>
      </c>
      <c r="D42" s="18">
        <f t="shared" ref="D42" si="4">SUM(B42:C42)</f>
        <v>27.586875535286932</v>
      </c>
      <c r="F42" s="138"/>
    </row>
    <row r="44" spans="1:6">
      <c r="A44" s="95" t="s">
        <v>320</v>
      </c>
    </row>
    <row r="45" spans="1:6">
      <c r="A45" s="41" t="s">
        <v>109</v>
      </c>
      <c r="B45" s="135">
        <v>149.69</v>
      </c>
      <c r="C45" s="4">
        <f>References!B58</f>
        <v>3.7400000000000091</v>
      </c>
      <c r="D45" s="18">
        <f>SUM(B45:C45)</f>
        <v>153.43</v>
      </c>
      <c r="F45" s="138"/>
    </row>
    <row r="47" spans="1:6">
      <c r="A47" s="95" t="s">
        <v>321</v>
      </c>
    </row>
    <row r="48" spans="1:6">
      <c r="A48" s="41" t="s">
        <v>322</v>
      </c>
      <c r="B48" s="135">
        <v>22.46</v>
      </c>
      <c r="C48" s="18">
        <f>'Staff Calcs '!L24</f>
        <v>0.27562574940170609</v>
      </c>
      <c r="D48" s="18">
        <f t="shared" ref="D48:D53" si="5">SUM(B48:C48)</f>
        <v>22.735625749401706</v>
      </c>
      <c r="F48" s="138"/>
    </row>
    <row r="49" spans="1:6">
      <c r="A49" s="41" t="s">
        <v>323</v>
      </c>
      <c r="B49" s="135">
        <v>31.48</v>
      </c>
      <c r="C49" s="18">
        <f>'Staff Calcs '!L29</f>
        <v>0.39375107057386577</v>
      </c>
      <c r="D49" s="18">
        <f t="shared" si="5"/>
        <v>31.873751070573867</v>
      </c>
      <c r="F49" s="138"/>
    </row>
    <row r="50" spans="1:6">
      <c r="A50" s="41" t="s">
        <v>283</v>
      </c>
      <c r="B50" s="135">
        <v>44.08</v>
      </c>
      <c r="C50" s="18">
        <f>'Staff Calcs '!L34</f>
        <v>0.51030138746373011</v>
      </c>
      <c r="D50" s="18">
        <f t="shared" si="5"/>
        <v>44.590301387463725</v>
      </c>
      <c r="F50" s="138"/>
    </row>
    <row r="51" spans="1:6">
      <c r="A51" s="98" t="s">
        <v>284</v>
      </c>
      <c r="B51" s="134">
        <v>57.71</v>
      </c>
      <c r="C51" s="133">
        <f>'Staff Calcs '!L59</f>
        <v>0.74497702552575418</v>
      </c>
      <c r="D51" s="133">
        <f t="shared" si="5"/>
        <v>58.454977025525757</v>
      </c>
      <c r="F51" s="138"/>
    </row>
    <row r="52" spans="1:6">
      <c r="A52" s="98" t="s">
        <v>285</v>
      </c>
      <c r="B52" s="134">
        <v>78.81</v>
      </c>
      <c r="C52" s="133">
        <f>'Staff Calcs '!L70</f>
        <v>0.96547762504711876</v>
      </c>
      <c r="D52" s="133">
        <f t="shared" si="5"/>
        <v>79.775477625047117</v>
      </c>
      <c r="F52" s="138"/>
    </row>
    <row r="53" spans="1:6">
      <c r="A53" s="98" t="s">
        <v>324</v>
      </c>
      <c r="B53" s="134">
        <v>119.24</v>
      </c>
      <c r="C53" s="133">
        <f>'Staff Calcs '!L71</f>
        <v>1.323003597128189</v>
      </c>
      <c r="D53" s="133">
        <f t="shared" si="5"/>
        <v>120.56300359712819</v>
      </c>
      <c r="F53" s="138"/>
    </row>
    <row r="55" spans="1:6">
      <c r="A55" s="98" t="s">
        <v>325</v>
      </c>
      <c r="B55" s="134">
        <v>25.46</v>
      </c>
      <c r="C55" s="133">
        <f>C48</f>
        <v>0.27562574940170609</v>
      </c>
      <c r="D55" s="133">
        <f>SUM(B55:C55)</f>
        <v>25.735625749401706</v>
      </c>
      <c r="F55" s="138"/>
    </row>
    <row r="56" spans="1:6">
      <c r="A56" s="98" t="s">
        <v>326</v>
      </c>
      <c r="B56" s="134">
        <v>34.479999999999997</v>
      </c>
      <c r="C56" s="133">
        <f t="shared" ref="C56:C60" si="6">C49</f>
        <v>0.39375107057386577</v>
      </c>
      <c r="D56" s="133">
        <f t="shared" ref="D56:D59" si="7">SUM(B56:C56)</f>
        <v>34.87375107057386</v>
      </c>
      <c r="F56" s="138"/>
    </row>
    <row r="57" spans="1:6">
      <c r="A57" s="98" t="s">
        <v>327</v>
      </c>
      <c r="B57" s="134">
        <v>49.08</v>
      </c>
      <c r="C57" s="133">
        <f t="shared" si="6"/>
        <v>0.51030138746373011</v>
      </c>
      <c r="D57" s="133">
        <f t="shared" si="7"/>
        <v>49.590301387463725</v>
      </c>
      <c r="F57" s="138"/>
    </row>
    <row r="58" spans="1:6">
      <c r="A58" s="98" t="s">
        <v>358</v>
      </c>
      <c r="B58" s="134">
        <v>60.71</v>
      </c>
      <c r="C58" s="133">
        <f t="shared" si="6"/>
        <v>0.74497702552575418</v>
      </c>
      <c r="D58" s="133">
        <f t="shared" si="7"/>
        <v>61.454977025525757</v>
      </c>
      <c r="F58" s="138"/>
    </row>
    <row r="59" spans="1:6">
      <c r="A59" s="98" t="s">
        <v>359</v>
      </c>
      <c r="B59" s="134">
        <v>81.81</v>
      </c>
      <c r="C59" s="133">
        <f t="shared" si="6"/>
        <v>0.96547762504711876</v>
      </c>
      <c r="D59" s="133">
        <f t="shared" si="7"/>
        <v>82.775477625047117</v>
      </c>
      <c r="F59" s="138"/>
    </row>
    <row r="60" spans="1:6">
      <c r="A60" s="98" t="s">
        <v>328</v>
      </c>
      <c r="B60" s="134">
        <v>125.24</v>
      </c>
      <c r="C60" s="133">
        <f t="shared" si="6"/>
        <v>1.323003597128189</v>
      </c>
      <c r="D60" s="133">
        <f>SUM(B60:C60)</f>
        <v>126.56300359712819</v>
      </c>
      <c r="F60" s="138"/>
    </row>
    <row r="62" spans="1:6">
      <c r="A62" s="41" t="s">
        <v>329</v>
      </c>
      <c r="B62" s="135">
        <v>25.46</v>
      </c>
      <c r="C62" s="18">
        <f>C48</f>
        <v>0.27562574940170609</v>
      </c>
      <c r="D62" s="18">
        <f>SUM(B62:C62)</f>
        <v>25.735625749401706</v>
      </c>
      <c r="F62" s="138"/>
    </row>
    <row r="63" spans="1:6">
      <c r="A63" s="41" t="s">
        <v>330</v>
      </c>
      <c r="B63" s="135">
        <v>35.729999999999997</v>
      </c>
      <c r="C63" s="18">
        <f t="shared" ref="C63:C64" si="8">C49</f>
        <v>0.39375107057386577</v>
      </c>
      <c r="D63" s="18">
        <f t="shared" ref="D63:D64" si="9">SUM(B63:C63)</f>
        <v>36.12375107057386</v>
      </c>
      <c r="F63" s="138"/>
    </row>
    <row r="64" spans="1:6">
      <c r="A64" s="41" t="s">
        <v>331</v>
      </c>
      <c r="B64" s="135">
        <v>50.4</v>
      </c>
      <c r="C64" s="18">
        <f t="shared" si="8"/>
        <v>0.51030138746373011</v>
      </c>
      <c r="D64" s="18">
        <f t="shared" si="9"/>
        <v>50.910301387463726</v>
      </c>
      <c r="F64" s="138"/>
    </row>
    <row r="65" spans="1:6">
      <c r="A65" s="98" t="s">
        <v>356</v>
      </c>
      <c r="B65" s="134">
        <v>57.71</v>
      </c>
      <c r="C65" s="133">
        <f>C58</f>
        <v>0.74497702552575418</v>
      </c>
      <c r="D65" s="133">
        <f>SUM(B65:C65)</f>
        <v>58.454977025525757</v>
      </c>
      <c r="F65" s="138"/>
    </row>
    <row r="66" spans="1:6">
      <c r="A66" s="98" t="s">
        <v>357</v>
      </c>
      <c r="B66" s="134">
        <v>78.81</v>
      </c>
      <c r="C66" s="133">
        <f>C59</f>
        <v>0.96547762504711876</v>
      </c>
      <c r="D66" s="133">
        <f>SUM(B66:C66)</f>
        <v>79.775477625047117</v>
      </c>
      <c r="F66" s="138"/>
    </row>
    <row r="67" spans="1:6" s="43" customFormat="1">
      <c r="B67" s="166"/>
      <c r="C67" s="104"/>
      <c r="D67" s="104"/>
    </row>
    <row r="68" spans="1:6" s="43" customFormat="1">
      <c r="A68" s="43" t="s">
        <v>319</v>
      </c>
      <c r="B68" s="166">
        <v>27.39</v>
      </c>
      <c r="C68" s="18">
        <f>C37</f>
        <v>0.19687553528693288</v>
      </c>
      <c r="D68" s="18">
        <f t="shared" ref="D68" si="10">SUM(B68:C68)</f>
        <v>27.586875535286932</v>
      </c>
      <c r="F68" s="138"/>
    </row>
    <row r="70" spans="1:6">
      <c r="A70" s="95" t="s">
        <v>332</v>
      </c>
    </row>
    <row r="71" spans="1:6">
      <c r="C71" s="18"/>
      <c r="D71" s="18"/>
    </row>
    <row r="72" spans="1:6">
      <c r="A72" s="98" t="s">
        <v>333</v>
      </c>
      <c r="B72" s="132">
        <v>6.07</v>
      </c>
      <c r="C72" s="133">
        <f>'Staff Calcs '!L55</f>
        <v>5.8275158444932133E-2</v>
      </c>
      <c r="D72" s="133">
        <f>SUM(B72:C72)</f>
        <v>6.1282751584449322</v>
      </c>
      <c r="F72" s="138"/>
    </row>
    <row r="73" spans="1:6">
      <c r="A73" s="98" t="s">
        <v>334</v>
      </c>
      <c r="B73" s="132">
        <v>9.07</v>
      </c>
      <c r="C73" s="133">
        <f>C72</f>
        <v>5.8275158444932133E-2</v>
      </c>
      <c r="D73" s="133">
        <f>SUM(B73:C73)</f>
        <v>9.1282751584449322</v>
      </c>
      <c r="F73" s="138"/>
    </row>
    <row r="75" spans="1:6">
      <c r="A75" s="41" t="s">
        <v>148</v>
      </c>
      <c r="B75" s="135">
        <v>7.73</v>
      </c>
      <c r="C75" s="18">
        <f>'Staff Calcs '!L45</f>
        <v>7.4025201267886767E-2</v>
      </c>
      <c r="D75" s="18">
        <f t="shared" ref="D75" si="11">SUM(B75:C75)</f>
        <v>7.804025201267887</v>
      </c>
      <c r="F75" s="138"/>
    </row>
    <row r="76" spans="1:6">
      <c r="A76" s="98" t="s">
        <v>335</v>
      </c>
      <c r="B76" s="134">
        <v>10.73</v>
      </c>
      <c r="C76" s="133">
        <f>C75</f>
        <v>7.4025201267886767E-2</v>
      </c>
      <c r="D76" s="133">
        <f>SUM(B76:C76)</f>
        <v>10.804025201267887</v>
      </c>
      <c r="F76" s="138"/>
    </row>
    <row r="78" spans="1:6">
      <c r="A78" s="98" t="s">
        <v>336</v>
      </c>
      <c r="B78" s="132">
        <v>10.09</v>
      </c>
      <c r="C78" s="133">
        <f>'Staff Calcs '!L57</f>
        <v>0.10710029119609149</v>
      </c>
      <c r="D78" s="133">
        <f t="shared" ref="D78:D79" si="12">SUM(B78:C78)</f>
        <v>10.197100291196092</v>
      </c>
      <c r="F78" s="138"/>
    </row>
    <row r="79" spans="1:6">
      <c r="A79" s="98" t="s">
        <v>337</v>
      </c>
      <c r="B79" s="132">
        <v>13.09</v>
      </c>
      <c r="C79" s="131">
        <f>'Staff Calcs '!L57</f>
        <v>0.10710029119609149</v>
      </c>
      <c r="D79" s="133">
        <f t="shared" si="12"/>
        <v>13.197100291196092</v>
      </c>
      <c r="F79" s="138"/>
    </row>
    <row r="80" spans="1:6">
      <c r="D80" s="18"/>
    </row>
    <row r="81" spans="1:6">
      <c r="A81" s="41" t="s">
        <v>338</v>
      </c>
      <c r="B81" s="135">
        <v>27.39</v>
      </c>
      <c r="C81" s="18">
        <f>C37</f>
        <v>0.19687553528693288</v>
      </c>
      <c r="D81" s="18">
        <f t="shared" ref="D81:D83" si="13">SUM(B81:C81)</f>
        <v>27.586875535286932</v>
      </c>
      <c r="F81" s="138"/>
    </row>
    <row r="82" spans="1:6">
      <c r="C82" s="18"/>
      <c r="D82" s="18"/>
    </row>
    <row r="83" spans="1:6">
      <c r="A83" s="41" t="s">
        <v>339</v>
      </c>
      <c r="B83" s="135">
        <v>7.53</v>
      </c>
      <c r="C83" s="18">
        <f>'Staff Calcs '!L46</f>
        <v>4.5675124186568425E-2</v>
      </c>
      <c r="D83" s="18">
        <f t="shared" si="13"/>
        <v>7.575675124186569</v>
      </c>
      <c r="F83" s="138"/>
    </row>
    <row r="84" spans="1:6">
      <c r="D84" s="18"/>
    </row>
    <row r="85" spans="1:6">
      <c r="A85" s="41" t="s">
        <v>340</v>
      </c>
      <c r="B85" s="138">
        <v>26.28</v>
      </c>
      <c r="C85" s="137">
        <f>'Staff Calcs '!L55*References!B12</f>
        <v>0.25252568659470587</v>
      </c>
      <c r="D85" s="18">
        <f>SUM(B85:C85)</f>
        <v>26.532525686594706</v>
      </c>
      <c r="F85" s="138"/>
    </row>
    <row r="86" spans="1:6">
      <c r="A86" s="41" t="s">
        <v>341</v>
      </c>
      <c r="B86" s="138">
        <v>33.58</v>
      </c>
      <c r="C86" s="137">
        <f>'Staff Calcs '!L45*References!B12</f>
        <v>0.32077587216084263</v>
      </c>
      <c r="D86" s="18">
        <f t="shared" ref="D86:D87" si="14">SUM(B86:C86)</f>
        <v>33.900775872160843</v>
      </c>
      <c r="F86" s="138"/>
    </row>
    <row r="87" spans="1:6">
      <c r="A87" s="41" t="s">
        <v>342</v>
      </c>
      <c r="B87" s="105">
        <v>43.71</v>
      </c>
      <c r="C87" s="137">
        <f>'Staff Calcs '!L57*References!B12</f>
        <v>0.46410126184972977</v>
      </c>
      <c r="D87" s="18">
        <f t="shared" si="14"/>
        <v>44.174101261849728</v>
      </c>
      <c r="F87" s="138"/>
    </row>
    <row r="89" spans="1:6">
      <c r="A89" s="95" t="s">
        <v>343</v>
      </c>
    </row>
    <row r="90" spans="1:6">
      <c r="A90" s="41" t="s">
        <v>344</v>
      </c>
      <c r="B90" s="135">
        <v>5.54</v>
      </c>
      <c r="C90" s="18">
        <f>'Staff Calcs '!L41</f>
        <v>4.5675124186568439E-2</v>
      </c>
      <c r="D90" s="18">
        <f>SUM(B90:C90)</f>
        <v>5.5856751241865688</v>
      </c>
      <c r="F90" s="138"/>
    </row>
    <row r="91" spans="1:6">
      <c r="A91" s="98" t="s">
        <v>345</v>
      </c>
      <c r="B91" s="134">
        <v>7.54</v>
      </c>
      <c r="C91" s="133">
        <f>'Staff Calcs '!L46</f>
        <v>4.5675124186568425E-2</v>
      </c>
      <c r="D91" s="133">
        <f>SUM(B91:C91)</f>
        <v>7.5856751241865688</v>
      </c>
      <c r="F91" s="138"/>
    </row>
    <row r="93" spans="1:6">
      <c r="A93" s="98" t="s">
        <v>283</v>
      </c>
      <c r="B93" s="132">
        <v>44.08</v>
      </c>
      <c r="C93" s="133">
        <f>'Staff Calcs '!L68</f>
        <v>0.51030138746372999</v>
      </c>
      <c r="D93" s="133">
        <f>SUM(B93:C93)</f>
        <v>44.590301387463725</v>
      </c>
      <c r="F93" s="138"/>
    </row>
    <row r="94" spans="1:6">
      <c r="A94" s="98" t="s">
        <v>284</v>
      </c>
      <c r="B94" s="132">
        <v>57.71</v>
      </c>
      <c r="C94" s="133">
        <f>'Staff Calcs '!L69</f>
        <v>0.74497702552575418</v>
      </c>
      <c r="D94" s="133">
        <f t="shared" ref="D94:D96" si="15">SUM(B94:C94)</f>
        <v>58.454977025525757</v>
      </c>
      <c r="F94" s="138"/>
    </row>
    <row r="95" spans="1:6">
      <c r="A95" s="98" t="s">
        <v>285</v>
      </c>
      <c r="B95" s="132">
        <v>78.81</v>
      </c>
      <c r="C95" s="133">
        <f>'Staff Calcs '!L70</f>
        <v>0.96547762504711876</v>
      </c>
      <c r="D95" s="133">
        <f t="shared" si="15"/>
        <v>79.775477625047117</v>
      </c>
      <c r="F95" s="138"/>
    </row>
    <row r="96" spans="1:6">
      <c r="A96" s="98" t="s">
        <v>286</v>
      </c>
      <c r="B96" s="132">
        <v>119.24</v>
      </c>
      <c r="C96" s="133">
        <f>'Staff Calcs '!L71</f>
        <v>1.323003597128189</v>
      </c>
      <c r="D96" s="133">
        <f t="shared" si="15"/>
        <v>120.56300359712819</v>
      </c>
      <c r="F96" s="138"/>
    </row>
    <row r="97" spans="1:6">
      <c r="A97" s="43"/>
      <c r="B97" s="105"/>
      <c r="C97" s="104"/>
      <c r="D97" s="104"/>
    </row>
    <row r="98" spans="1:6">
      <c r="A98" s="95" t="s">
        <v>360</v>
      </c>
      <c r="B98" s="105"/>
      <c r="C98" s="104"/>
      <c r="D98" s="104"/>
    </row>
    <row r="99" spans="1:6">
      <c r="A99" s="98" t="s">
        <v>283</v>
      </c>
      <c r="B99" s="132">
        <v>49.08</v>
      </c>
      <c r="C99" s="133">
        <f>C93</f>
        <v>0.51030138746372999</v>
      </c>
      <c r="D99" s="133">
        <f>SUM(B99:C99)</f>
        <v>49.590301387463725</v>
      </c>
      <c r="F99" s="138"/>
    </row>
    <row r="100" spans="1:6">
      <c r="A100" s="98" t="s">
        <v>284</v>
      </c>
      <c r="B100" s="132">
        <v>62.71</v>
      </c>
      <c r="C100" s="133">
        <f t="shared" ref="C100:C102" si="16">C94</f>
        <v>0.74497702552575418</v>
      </c>
      <c r="D100" s="133">
        <f t="shared" ref="D100:D102" si="17">SUM(B100:C100)</f>
        <v>63.454977025525757</v>
      </c>
      <c r="F100" s="138"/>
    </row>
    <row r="101" spans="1:6">
      <c r="A101" s="98" t="s">
        <v>285</v>
      </c>
      <c r="B101" s="132">
        <v>83.81</v>
      </c>
      <c r="C101" s="133">
        <f t="shared" si="16"/>
        <v>0.96547762504711876</v>
      </c>
      <c r="D101" s="133">
        <f t="shared" si="17"/>
        <v>84.775477625047117</v>
      </c>
      <c r="F101" s="138"/>
    </row>
    <row r="102" spans="1:6">
      <c r="A102" s="98" t="s">
        <v>286</v>
      </c>
      <c r="B102" s="132">
        <v>125.24</v>
      </c>
      <c r="C102" s="133">
        <f t="shared" si="16"/>
        <v>1.323003597128189</v>
      </c>
      <c r="D102" s="133">
        <f t="shared" si="17"/>
        <v>126.56300359712819</v>
      </c>
      <c r="F102" s="138"/>
    </row>
    <row r="104" spans="1:6">
      <c r="A104" s="41" t="s">
        <v>346</v>
      </c>
      <c r="B104" s="135">
        <v>27.39</v>
      </c>
      <c r="C104" s="18">
        <f>C37</f>
        <v>0.19687553528693288</v>
      </c>
      <c r="D104" s="18">
        <f>SUM(B104:C104)</f>
        <v>27.586875535286932</v>
      </c>
      <c r="F104" s="138"/>
    </row>
    <row r="106" spans="1:6">
      <c r="A106" s="41" t="s">
        <v>347</v>
      </c>
      <c r="B106" s="135">
        <v>7.53</v>
      </c>
      <c r="C106" s="18">
        <f>'Staff Calcs '!L46</f>
        <v>4.5675124186568425E-2</v>
      </c>
      <c r="D106" s="18">
        <f>SUM(B106:C106)</f>
        <v>7.575675124186569</v>
      </c>
      <c r="F106" s="138"/>
    </row>
    <row r="108" spans="1:6">
      <c r="A108" s="41" t="s">
        <v>348</v>
      </c>
      <c r="B108" s="135">
        <v>24.17</v>
      </c>
      <c r="C108" s="18">
        <f>'Staff Calcs '!L41*References!B12</f>
        <v>0.19792553814179656</v>
      </c>
      <c r="D108" s="18">
        <f>SUM(B108:C108)</f>
        <v>24.367925538141797</v>
      </c>
      <c r="F108" s="138"/>
    </row>
    <row r="109" spans="1:6">
      <c r="D109" s="18"/>
    </row>
    <row r="110" spans="1:6">
      <c r="C110" s="18"/>
      <c r="D110" s="18"/>
    </row>
    <row r="112" spans="1:6">
      <c r="A112" s="95"/>
      <c r="C112" s="43"/>
    </row>
    <row r="113" spans="3:4">
      <c r="C113" s="104"/>
      <c r="D113" s="18"/>
    </row>
    <row r="114" spans="3:4">
      <c r="C114" s="104"/>
      <c r="D114" s="18"/>
    </row>
    <row r="115" spans="3:4">
      <c r="C115" s="43"/>
    </row>
    <row r="117" spans="3:4">
      <c r="C117" s="18"/>
    </row>
  </sheetData>
  <pageMargins left="0.7" right="0.7" top="0.75" bottom="0.75" header="0.3" footer="0.3"/>
  <pageSetup scale="74" fitToHeight="2" orientation="portrait" r:id="rId1"/>
  <headerFooter>
    <oddFooter>&amp;L&amp;F - &amp;A&amp;R&amp;P of &amp;N</oddFooter>
  </headerFooter>
  <rowBreaks count="2" manualBreakCount="2">
    <brk id="43" max="16383" man="1"/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zoomScale="85" zoomScaleNormal="85" workbookViewId="0">
      <selection activeCell="P20" sqref="P20"/>
    </sheetView>
  </sheetViews>
  <sheetFormatPr defaultRowHeight="15"/>
  <cols>
    <col min="1" max="1" width="19.85546875" style="145" customWidth="1"/>
    <col min="2" max="2" width="27.85546875" style="145" bestFit="1" customWidth="1"/>
    <col min="3" max="3" width="11.5703125" style="145" bestFit="1" customWidth="1"/>
    <col min="4" max="4" width="14.28515625" style="145" bestFit="1" customWidth="1"/>
    <col min="5" max="7" width="10.28515625" style="145" bestFit="1" customWidth="1"/>
    <col min="8" max="8" width="8.7109375" style="145" bestFit="1" customWidth="1"/>
    <col min="9" max="9" width="10" style="145" bestFit="1" customWidth="1"/>
    <col min="10" max="11" width="11.42578125" style="145" bestFit="1" customWidth="1"/>
    <col min="12" max="13" width="9.140625" style="103"/>
    <col min="14" max="16384" width="9.140625" style="34"/>
  </cols>
  <sheetData>
    <row r="1" spans="1:13" s="41" customFormat="1">
      <c r="A1" s="142" t="s">
        <v>287</v>
      </c>
      <c r="B1" s="143"/>
      <c r="C1" s="144"/>
      <c r="D1" s="144"/>
      <c r="E1" s="144"/>
      <c r="F1" s="144"/>
      <c r="G1" s="144"/>
      <c r="H1" s="144"/>
      <c r="I1" s="144"/>
      <c r="J1" s="144"/>
      <c r="K1" s="144"/>
    </row>
    <row r="2" spans="1:13" s="41" customFormat="1">
      <c r="A2" s="142" t="s">
        <v>371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</row>
    <row r="3" spans="1:13">
      <c r="A3" s="142" t="s">
        <v>373</v>
      </c>
    </row>
    <row r="4" spans="1:13">
      <c r="A4" s="142" t="s">
        <v>370</v>
      </c>
    </row>
    <row r="5" spans="1:13" ht="61.5" customHeight="1">
      <c r="A5" s="177" t="s">
        <v>369</v>
      </c>
      <c r="B5" s="177"/>
      <c r="C5" s="177"/>
      <c r="D5" s="177"/>
      <c r="E5" s="177"/>
    </row>
    <row r="6" spans="1:13">
      <c r="C6" s="162" t="s">
        <v>16</v>
      </c>
      <c r="D6" s="146" t="s">
        <v>234</v>
      </c>
      <c r="E6" s="146" t="s">
        <v>90</v>
      </c>
      <c r="F6" s="146" t="s">
        <v>235</v>
      </c>
      <c r="H6" s="146" t="s">
        <v>90</v>
      </c>
      <c r="I6" s="146" t="s">
        <v>236</v>
      </c>
      <c r="J6" s="146" t="s">
        <v>237</v>
      </c>
      <c r="K6" s="146" t="s">
        <v>238</v>
      </c>
    </row>
    <row r="7" spans="1:13">
      <c r="A7" s="146" t="s">
        <v>102</v>
      </c>
      <c r="B7" s="146" t="s">
        <v>103</v>
      </c>
      <c r="C7" s="162" t="s">
        <v>91</v>
      </c>
      <c r="D7" s="146" t="s">
        <v>239</v>
      </c>
      <c r="E7" s="146" t="s">
        <v>92</v>
      </c>
      <c r="F7" s="146" t="s">
        <v>92</v>
      </c>
      <c r="G7" s="146" t="s">
        <v>141</v>
      </c>
      <c r="H7" s="146" t="s">
        <v>142</v>
      </c>
      <c r="I7" s="146" t="s">
        <v>240</v>
      </c>
      <c r="J7" s="146" t="s">
        <v>143</v>
      </c>
      <c r="K7" s="146" t="s">
        <v>241</v>
      </c>
    </row>
    <row r="8" spans="1:13" s="159" customFormat="1">
      <c r="A8" s="147" t="s">
        <v>13</v>
      </c>
      <c r="B8" s="163"/>
      <c r="C8" s="162"/>
      <c r="D8" s="162"/>
      <c r="E8" s="162"/>
      <c r="F8" s="162"/>
      <c r="G8" s="162"/>
      <c r="H8" s="162"/>
      <c r="I8" s="162"/>
      <c r="J8" s="162"/>
      <c r="K8" s="162"/>
      <c r="L8" s="160"/>
      <c r="M8" s="160"/>
    </row>
    <row r="9" spans="1:13">
      <c r="A9" s="144" t="s">
        <v>144</v>
      </c>
      <c r="B9" s="144" t="s">
        <v>111</v>
      </c>
      <c r="C9" s="148">
        <v>1901.1299999999997</v>
      </c>
      <c r="D9" s="149">
        <v>16.46</v>
      </c>
      <c r="E9" s="150">
        <v>115.49999999999997</v>
      </c>
      <c r="F9" s="151">
        <v>9.6249999999999982</v>
      </c>
      <c r="G9" s="143">
        <v>4.33</v>
      </c>
      <c r="H9" s="152">
        <v>500.11499999999995</v>
      </c>
      <c r="I9" s="151">
        <v>20</v>
      </c>
      <c r="J9" s="152">
        <v>10002.299999999999</v>
      </c>
      <c r="K9" s="152">
        <v>8263.3303293004701</v>
      </c>
    </row>
    <row r="10" spans="1:13">
      <c r="A10" s="144" t="s">
        <v>145</v>
      </c>
      <c r="B10" s="144" t="s">
        <v>112</v>
      </c>
      <c r="C10" s="148">
        <v>375147.95</v>
      </c>
      <c r="D10" s="149">
        <v>20.6</v>
      </c>
      <c r="E10" s="150">
        <v>18211.065533980582</v>
      </c>
      <c r="F10" s="151">
        <v>1517.5887944983817</v>
      </c>
      <c r="G10" s="143">
        <v>4.33</v>
      </c>
      <c r="H10" s="152">
        <v>78853.913762135911</v>
      </c>
      <c r="I10" s="151">
        <v>34</v>
      </c>
      <c r="J10" s="152">
        <v>2681033.067912621</v>
      </c>
      <c r="K10" s="152">
        <v>2214916.7555402108</v>
      </c>
    </row>
    <row r="11" spans="1:13">
      <c r="A11" s="144" t="s">
        <v>146</v>
      </c>
      <c r="B11" s="144" t="s">
        <v>113</v>
      </c>
      <c r="C11" s="148">
        <v>69555.320000000007</v>
      </c>
      <c r="D11" s="149">
        <v>30.45</v>
      </c>
      <c r="E11" s="150">
        <v>2284.2469622331696</v>
      </c>
      <c r="F11" s="151">
        <v>190.35391351943079</v>
      </c>
      <c r="G11" s="143">
        <v>4.33</v>
      </c>
      <c r="H11" s="152">
        <v>9890.7893464696244</v>
      </c>
      <c r="I11" s="151">
        <v>51</v>
      </c>
      <c r="J11" s="152">
        <v>504430.25666995085</v>
      </c>
      <c r="K11" s="152">
        <v>416731.53564256482</v>
      </c>
    </row>
    <row r="12" spans="1:13">
      <c r="A12" s="144" t="s">
        <v>147</v>
      </c>
      <c r="B12" s="144" t="s">
        <v>114</v>
      </c>
      <c r="C12" s="148">
        <v>3727.7500000000005</v>
      </c>
      <c r="D12" s="149">
        <v>40.299999999999997</v>
      </c>
      <c r="E12" s="150">
        <v>92.500000000000014</v>
      </c>
      <c r="F12" s="151">
        <v>7.7083333333333348</v>
      </c>
      <c r="G12" s="143">
        <v>4.33</v>
      </c>
      <c r="H12" s="152">
        <v>400.52500000000009</v>
      </c>
      <c r="I12" s="151">
        <v>77</v>
      </c>
      <c r="J12" s="152">
        <v>30840.425000000007</v>
      </c>
      <c r="K12" s="152">
        <v>25478.601848676459</v>
      </c>
    </row>
    <row r="13" spans="1:13">
      <c r="A13" s="144" t="s">
        <v>242</v>
      </c>
      <c r="B13" s="144" t="s">
        <v>231</v>
      </c>
      <c r="C13" s="148">
        <v>861.22</v>
      </c>
      <c r="D13" s="149">
        <v>50.66</v>
      </c>
      <c r="E13" s="150">
        <v>17</v>
      </c>
      <c r="F13" s="151">
        <v>1.4166666666666667</v>
      </c>
      <c r="G13" s="143">
        <v>4.33</v>
      </c>
      <c r="H13" s="152">
        <v>73.610000000000014</v>
      </c>
      <c r="I13" s="151">
        <v>97</v>
      </c>
      <c r="J13" s="152">
        <v>7140.170000000001</v>
      </c>
      <c r="K13" s="152">
        <v>5898.8016073664412</v>
      </c>
    </row>
    <row r="14" spans="1:13">
      <c r="A14" s="144" t="s">
        <v>149</v>
      </c>
      <c r="B14" s="144" t="s">
        <v>115</v>
      </c>
      <c r="C14" s="148">
        <v>132.12</v>
      </c>
      <c r="D14" s="149">
        <v>22.51</v>
      </c>
      <c r="E14" s="150">
        <v>5.8693913816081738</v>
      </c>
      <c r="F14" s="151">
        <v>0.48911594846734779</v>
      </c>
      <c r="G14" s="143">
        <v>4.33</v>
      </c>
      <c r="H14" s="152">
        <v>25.414464682363388</v>
      </c>
      <c r="I14" s="151">
        <v>37</v>
      </c>
      <c r="J14" s="152">
        <v>940.33519324744532</v>
      </c>
      <c r="K14" s="152">
        <v>776.85135639505256</v>
      </c>
    </row>
    <row r="15" spans="1:13">
      <c r="A15" s="144" t="s">
        <v>150</v>
      </c>
      <c r="B15" s="144" t="s">
        <v>116</v>
      </c>
      <c r="C15" s="148">
        <v>731.3</v>
      </c>
      <c r="D15" s="149">
        <v>29.04</v>
      </c>
      <c r="E15" s="150">
        <v>25.182506887052341</v>
      </c>
      <c r="F15" s="151">
        <v>2.0985422405876952</v>
      </c>
      <c r="G15" s="143">
        <v>4.33</v>
      </c>
      <c r="H15" s="152">
        <v>109.04025482093665</v>
      </c>
      <c r="I15" s="151">
        <v>47</v>
      </c>
      <c r="J15" s="152">
        <v>5124.8919765840228</v>
      </c>
      <c r="K15" s="152">
        <v>4233.8937348905147</v>
      </c>
    </row>
    <row r="16" spans="1:13">
      <c r="A16" s="144" t="s">
        <v>151</v>
      </c>
      <c r="B16" s="144" t="s">
        <v>117</v>
      </c>
      <c r="C16" s="148">
        <v>113250.52999999998</v>
      </c>
      <c r="D16" s="149">
        <v>12.31</v>
      </c>
      <c r="E16" s="150">
        <v>9199.8805848903321</v>
      </c>
      <c r="F16" s="151">
        <v>766.65671540752771</v>
      </c>
      <c r="G16" s="143">
        <v>2.165</v>
      </c>
      <c r="H16" s="152">
        <v>19917.741466287567</v>
      </c>
      <c r="I16" s="151">
        <v>34</v>
      </c>
      <c r="J16" s="152">
        <v>677203.20985377731</v>
      </c>
      <c r="K16" s="152">
        <v>559466.70496629272</v>
      </c>
    </row>
    <row r="17" spans="1:11">
      <c r="A17" s="144" t="s">
        <v>152</v>
      </c>
      <c r="B17" s="144" t="s">
        <v>118</v>
      </c>
      <c r="C17" s="148">
        <v>923.25000000000011</v>
      </c>
      <c r="D17" s="149">
        <v>24.62</v>
      </c>
      <c r="E17" s="150">
        <v>37.5</v>
      </c>
      <c r="F17" s="151">
        <v>3.125</v>
      </c>
      <c r="G17" s="143">
        <v>2.165</v>
      </c>
      <c r="H17" s="152">
        <v>81.1875</v>
      </c>
      <c r="I17" s="151">
        <v>51</v>
      </c>
      <c r="J17" s="152">
        <v>4140.5625</v>
      </c>
      <c r="K17" s="152">
        <v>3420.6968083954871</v>
      </c>
    </row>
    <row r="18" spans="1:11">
      <c r="A18" s="144" t="s">
        <v>153</v>
      </c>
      <c r="B18" s="144" t="s">
        <v>119</v>
      </c>
      <c r="C18" s="148">
        <v>446.82</v>
      </c>
      <c r="D18" s="149">
        <v>13.54</v>
      </c>
      <c r="E18" s="150">
        <v>33</v>
      </c>
      <c r="F18" s="151">
        <v>2.75</v>
      </c>
      <c r="G18" s="143">
        <v>2.165</v>
      </c>
      <c r="H18" s="152">
        <v>71.445000000000007</v>
      </c>
      <c r="I18" s="151">
        <v>37</v>
      </c>
      <c r="J18" s="152">
        <v>2643.4650000000001</v>
      </c>
      <c r="K18" s="152">
        <v>2183.8801584579819</v>
      </c>
    </row>
    <row r="19" spans="1:11">
      <c r="A19" s="144" t="s">
        <v>154</v>
      </c>
      <c r="B19" s="144" t="s">
        <v>120</v>
      </c>
      <c r="C19" s="148">
        <v>196.92000000000002</v>
      </c>
      <c r="D19" s="149">
        <v>16.41</v>
      </c>
      <c r="E19" s="150">
        <v>12</v>
      </c>
      <c r="F19" s="151">
        <v>1</v>
      </c>
      <c r="G19" s="143">
        <v>2.165</v>
      </c>
      <c r="H19" s="152">
        <v>25.98</v>
      </c>
      <c r="I19" s="151">
        <v>47</v>
      </c>
      <c r="J19" s="152">
        <v>1221.06</v>
      </c>
      <c r="K19" s="152">
        <v>1008.770196044473</v>
      </c>
    </row>
    <row r="20" spans="1:11">
      <c r="A20" s="144" t="s">
        <v>155</v>
      </c>
      <c r="B20" s="144" t="s">
        <v>121</v>
      </c>
      <c r="C20" s="148">
        <v>11711.489999999998</v>
      </c>
      <c r="D20" s="149">
        <v>7.71</v>
      </c>
      <c r="E20" s="150">
        <v>1518.9999999999998</v>
      </c>
      <c r="F20" s="151">
        <v>126.58333333333331</v>
      </c>
      <c r="G20" s="143">
        <v>1</v>
      </c>
      <c r="H20" s="152">
        <v>1518.9999999999998</v>
      </c>
      <c r="I20" s="151">
        <v>34</v>
      </c>
      <c r="J20" s="152">
        <v>51645.999999999993</v>
      </c>
      <c r="K20" s="152">
        <v>42666.982412750272</v>
      </c>
    </row>
    <row r="21" spans="1:11">
      <c r="A21" s="144" t="s">
        <v>156</v>
      </c>
      <c r="B21" s="144" t="s">
        <v>122</v>
      </c>
      <c r="C21" s="148">
        <v>185.04</v>
      </c>
      <c r="D21" s="149">
        <v>15.42</v>
      </c>
      <c r="E21" s="150">
        <v>12</v>
      </c>
      <c r="F21" s="151">
        <v>1</v>
      </c>
      <c r="G21" s="143">
        <v>1</v>
      </c>
      <c r="H21" s="152">
        <v>12</v>
      </c>
      <c r="I21" s="151">
        <v>51</v>
      </c>
      <c r="J21" s="152">
        <v>612</v>
      </c>
      <c r="K21" s="152">
        <v>505.59952826168865</v>
      </c>
    </row>
    <row r="22" spans="1:11">
      <c r="A22" s="144" t="s">
        <v>157</v>
      </c>
      <c r="B22" s="144" t="s">
        <v>123</v>
      </c>
      <c r="C22" s="148">
        <v>316.11</v>
      </c>
      <c r="D22" s="149">
        <v>7.71</v>
      </c>
      <c r="E22" s="151">
        <v>41</v>
      </c>
      <c r="F22" s="151">
        <v>3.4166666666666665</v>
      </c>
      <c r="G22" s="143">
        <v>1</v>
      </c>
      <c r="H22" s="152">
        <v>41</v>
      </c>
      <c r="I22" s="151">
        <v>34</v>
      </c>
      <c r="J22" s="152">
        <v>1394</v>
      </c>
      <c r="K22" s="152">
        <v>1151.6433699294018</v>
      </c>
    </row>
    <row r="23" spans="1:11">
      <c r="A23" s="144" t="s">
        <v>158</v>
      </c>
      <c r="B23" s="144" t="s">
        <v>124</v>
      </c>
      <c r="C23" s="148">
        <v>9184.44</v>
      </c>
      <c r="D23" s="149">
        <v>7.06</v>
      </c>
      <c r="E23" s="151">
        <v>1300.9121813031163</v>
      </c>
      <c r="F23" s="151">
        <v>108.40934844192635</v>
      </c>
      <c r="G23" s="143">
        <v>1</v>
      </c>
      <c r="H23" s="152">
        <v>1300.9121813031163</v>
      </c>
      <c r="I23" s="151">
        <v>34</v>
      </c>
      <c r="J23" s="152">
        <v>44231.014164305954</v>
      </c>
      <c r="K23" s="152">
        <v>36541.143620929994</v>
      </c>
    </row>
    <row r="24" spans="1:11">
      <c r="A24" s="144" t="s">
        <v>159</v>
      </c>
      <c r="B24" s="144" t="s">
        <v>125</v>
      </c>
      <c r="C24" s="148">
        <v>85.929999999999993</v>
      </c>
      <c r="D24" s="149">
        <v>6.61</v>
      </c>
      <c r="E24" s="151">
        <v>12.999999999999998</v>
      </c>
      <c r="F24" s="151">
        <v>1.0833333333333333</v>
      </c>
      <c r="G24" s="143">
        <v>1</v>
      </c>
      <c r="H24" s="152">
        <v>13</v>
      </c>
      <c r="I24" s="151">
        <v>34</v>
      </c>
      <c r="J24" s="152">
        <v>442</v>
      </c>
      <c r="K24" s="152">
        <v>365.15521485566398</v>
      </c>
    </row>
    <row r="25" spans="1:11">
      <c r="A25" s="144" t="s">
        <v>160</v>
      </c>
      <c r="B25" s="144" t="s">
        <v>161</v>
      </c>
      <c r="C25" s="148">
        <v>51.669999999999987</v>
      </c>
      <c r="H25" s="152"/>
    </row>
    <row r="26" spans="1:11">
      <c r="A26" s="144" t="s">
        <v>243</v>
      </c>
      <c r="B26" s="144" t="s">
        <v>244</v>
      </c>
      <c r="C26" s="148">
        <v>4.9399999999999995</v>
      </c>
    </row>
    <row r="27" spans="1:11">
      <c r="A27" s="144" t="s">
        <v>162</v>
      </c>
      <c r="B27" s="144" t="s">
        <v>163</v>
      </c>
      <c r="C27" s="148">
        <v>51.010000000000005</v>
      </c>
    </row>
    <row r="28" spans="1:11">
      <c r="A28" s="144" t="s">
        <v>164</v>
      </c>
      <c r="B28" s="144" t="s">
        <v>165</v>
      </c>
      <c r="C28" s="148">
        <v>230.99</v>
      </c>
    </row>
    <row r="29" spans="1:11">
      <c r="A29" s="144" t="s">
        <v>166</v>
      </c>
      <c r="B29" s="144" t="s">
        <v>167</v>
      </c>
      <c r="C29" s="148">
        <v>149.34000000000003</v>
      </c>
    </row>
    <row r="30" spans="1:11">
      <c r="A30" s="144" t="s">
        <v>168</v>
      </c>
      <c r="B30" s="144" t="s">
        <v>169</v>
      </c>
      <c r="C30" s="148">
        <v>96.84</v>
      </c>
    </row>
    <row r="31" spans="1:11">
      <c r="A31" s="144" t="s">
        <v>170</v>
      </c>
      <c r="B31" s="144" t="s">
        <v>171</v>
      </c>
      <c r="C31" s="148">
        <v>3.7199999999999998</v>
      </c>
    </row>
    <row r="32" spans="1:11">
      <c r="A32" s="144" t="s">
        <v>172</v>
      </c>
      <c r="B32" s="144" t="s">
        <v>173</v>
      </c>
      <c r="C32" s="148">
        <v>131.81</v>
      </c>
    </row>
    <row r="33" spans="1:11">
      <c r="A33" s="144" t="s">
        <v>174</v>
      </c>
      <c r="B33" s="144" t="s">
        <v>175</v>
      </c>
      <c r="C33" s="148">
        <v>48.42</v>
      </c>
    </row>
    <row r="34" spans="1:11">
      <c r="A34" s="144" t="s">
        <v>245</v>
      </c>
      <c r="B34" s="144" t="s">
        <v>246</v>
      </c>
      <c r="C34" s="148">
        <v>14.879999999999999</v>
      </c>
    </row>
    <row r="35" spans="1:11">
      <c r="A35" s="144" t="s">
        <v>176</v>
      </c>
      <c r="B35" s="144" t="s">
        <v>177</v>
      </c>
      <c r="C35" s="148">
        <v>38.879999999999995</v>
      </c>
    </row>
    <row r="36" spans="1:11">
      <c r="A36" s="144" t="s">
        <v>178</v>
      </c>
      <c r="B36" s="144" t="s">
        <v>179</v>
      </c>
      <c r="C36" s="148">
        <v>78.489999999999995</v>
      </c>
    </row>
    <row r="37" spans="1:11">
      <c r="A37" s="144" t="s">
        <v>180</v>
      </c>
      <c r="B37" s="144" t="s">
        <v>181</v>
      </c>
      <c r="C37" s="148">
        <v>6.15</v>
      </c>
    </row>
    <row r="38" spans="1:11">
      <c r="A38" s="144" t="s">
        <v>182</v>
      </c>
      <c r="B38" s="144" t="s">
        <v>183</v>
      </c>
      <c r="C38" s="148">
        <v>357.70000000000005</v>
      </c>
    </row>
    <row r="39" spans="1:11" ht="15.75" thickBot="1">
      <c r="C39" s="153">
        <v>589622.15999999992</v>
      </c>
      <c r="D39" s="154"/>
      <c r="E39" s="154"/>
      <c r="F39" s="154"/>
      <c r="G39" s="154"/>
      <c r="H39" s="154"/>
      <c r="I39" s="154"/>
      <c r="J39" s="153">
        <v>4023044.7582704858</v>
      </c>
      <c r="K39" s="153">
        <v>3323610.3463353217</v>
      </c>
    </row>
    <row r="41" spans="1:11">
      <c r="A41" s="161" t="s">
        <v>14</v>
      </c>
      <c r="D41" s="146" t="s">
        <v>247</v>
      </c>
    </row>
    <row r="42" spans="1:11">
      <c r="A42" s="144" t="s">
        <v>184</v>
      </c>
      <c r="B42" s="144" t="s">
        <v>126</v>
      </c>
      <c r="C42" s="148">
        <v>98533.77</v>
      </c>
      <c r="D42" s="149">
        <v>84.564900000000009</v>
      </c>
      <c r="E42" s="150">
        <v>1165.1852009521681</v>
      </c>
      <c r="F42" s="150">
        <v>97.098766746014007</v>
      </c>
      <c r="G42" s="143">
        <v>4.33</v>
      </c>
      <c r="H42" s="152">
        <v>5045.2519201228879</v>
      </c>
      <c r="I42" s="149">
        <v>175</v>
      </c>
      <c r="J42" s="152">
        <v>882919.08602150541</v>
      </c>
      <c r="K42" s="152">
        <v>729417.44017273595</v>
      </c>
    </row>
    <row r="43" spans="1:11">
      <c r="A43" s="144" t="s">
        <v>248</v>
      </c>
      <c r="B43" s="144" t="s">
        <v>249</v>
      </c>
      <c r="C43" s="148">
        <v>4862.2</v>
      </c>
      <c r="D43" s="149">
        <v>169.12980000000002</v>
      </c>
      <c r="E43" s="150">
        <v>28.7483341197116</v>
      </c>
      <c r="F43" s="150">
        <v>2.3956945099759666</v>
      </c>
      <c r="G43" s="143">
        <v>8.66</v>
      </c>
      <c r="H43" s="152">
        <v>248.96057347670245</v>
      </c>
      <c r="I43" s="149">
        <v>175</v>
      </c>
      <c r="J43" s="152">
        <v>43568.100358422926</v>
      </c>
      <c r="K43" s="152">
        <v>35993.482007314604</v>
      </c>
    </row>
    <row r="44" spans="1:11">
      <c r="A44" s="144" t="s">
        <v>250</v>
      </c>
      <c r="B44" s="144" t="s">
        <v>251</v>
      </c>
      <c r="C44" s="148">
        <v>3044.1600000000003</v>
      </c>
      <c r="D44" s="149">
        <v>253.69470000000001</v>
      </c>
      <c r="E44" s="150">
        <v>11.999304676053541</v>
      </c>
      <c r="F44" s="150">
        <v>0.99994205633779509</v>
      </c>
      <c r="G44" s="143">
        <v>12.99</v>
      </c>
      <c r="H44" s="152">
        <v>155.87096774193549</v>
      </c>
      <c r="I44" s="149">
        <v>175</v>
      </c>
      <c r="J44" s="152">
        <v>27277.419354838712</v>
      </c>
      <c r="K44" s="152">
        <v>22535.049604579588</v>
      </c>
    </row>
    <row r="45" spans="1:11">
      <c r="A45" s="144" t="s">
        <v>188</v>
      </c>
      <c r="B45" s="144" t="s">
        <v>130</v>
      </c>
      <c r="C45" s="148">
        <v>88213.98</v>
      </c>
      <c r="D45" s="149">
        <v>42.282450000000004</v>
      </c>
      <c r="E45" s="150">
        <v>2086.3024730118523</v>
      </c>
      <c r="F45" s="150">
        <v>173.85853941765436</v>
      </c>
      <c r="G45" s="143">
        <v>2.165</v>
      </c>
      <c r="H45" s="152">
        <v>4516.8448540706595</v>
      </c>
      <c r="I45" s="149">
        <v>175</v>
      </c>
      <c r="J45" s="152">
        <v>790447.84946236538</v>
      </c>
      <c r="K45" s="152">
        <v>653022.97353535658</v>
      </c>
    </row>
    <row r="46" spans="1:11">
      <c r="A46" s="144" t="s">
        <v>191</v>
      </c>
      <c r="B46" s="144" t="s">
        <v>133</v>
      </c>
      <c r="C46" s="148">
        <v>929.41000000000008</v>
      </c>
      <c r="D46" s="149">
        <v>22.62</v>
      </c>
      <c r="E46" s="150">
        <v>41.08797524314766</v>
      </c>
      <c r="F46" s="150">
        <v>3.4239979369289717</v>
      </c>
      <c r="G46" s="143">
        <v>1</v>
      </c>
      <c r="H46" s="152">
        <v>41.08797524314766</v>
      </c>
      <c r="I46" s="149">
        <v>175</v>
      </c>
      <c r="J46" s="152">
        <v>7190.3956675508407</v>
      </c>
      <c r="K46" s="152">
        <v>5940.2951920401874</v>
      </c>
    </row>
    <row r="47" spans="1:11">
      <c r="A47" s="144" t="s">
        <v>185</v>
      </c>
      <c r="B47" s="144" t="s">
        <v>127</v>
      </c>
      <c r="C47" s="148">
        <v>49458.069999999992</v>
      </c>
      <c r="D47" s="149">
        <v>118.25229999999999</v>
      </c>
      <c r="E47" s="150">
        <v>418.2419284868032</v>
      </c>
      <c r="F47" s="150">
        <v>34.853494040566936</v>
      </c>
      <c r="G47" s="143">
        <v>4.33</v>
      </c>
      <c r="H47" s="152">
        <v>1810.9875503478581</v>
      </c>
      <c r="I47" s="149">
        <v>250</v>
      </c>
      <c r="J47" s="152">
        <v>452746.88758696453</v>
      </c>
      <c r="K47" s="152">
        <v>374033.68102274026</v>
      </c>
    </row>
    <row r="48" spans="1:11">
      <c r="A48" s="144" t="s">
        <v>252</v>
      </c>
      <c r="B48" s="144" t="s">
        <v>253</v>
      </c>
      <c r="C48" s="148">
        <v>2838</v>
      </c>
      <c r="D48" s="149">
        <v>236.50459999999998</v>
      </c>
      <c r="E48" s="150">
        <v>11.999766600734194</v>
      </c>
      <c r="F48" s="150">
        <v>0.9999805500611828</v>
      </c>
      <c r="G48" s="143">
        <v>8.66</v>
      </c>
      <c r="H48" s="152">
        <v>103.91797876235813</v>
      </c>
      <c r="I48" s="149">
        <v>250</v>
      </c>
      <c r="J48" s="152">
        <v>25979.494690589534</v>
      </c>
      <c r="K48" s="152">
        <v>21462.778202678288</v>
      </c>
    </row>
    <row r="49" spans="1:11">
      <c r="A49" s="144" t="s">
        <v>189</v>
      </c>
      <c r="B49" s="144" t="s">
        <v>131</v>
      </c>
      <c r="C49" s="148">
        <v>15618.96</v>
      </c>
      <c r="D49" s="149">
        <v>59.126149999999996</v>
      </c>
      <c r="E49" s="150">
        <v>264.1633185993</v>
      </c>
      <c r="F49" s="150">
        <v>22.013609883274999</v>
      </c>
      <c r="G49" s="143">
        <v>2.165</v>
      </c>
      <c r="H49" s="152">
        <v>571.91358476748451</v>
      </c>
      <c r="I49" s="149">
        <v>250</v>
      </c>
      <c r="J49" s="152">
        <v>142978.39619187111</v>
      </c>
      <c r="K49" s="152">
        <v>118120.6040297759</v>
      </c>
    </row>
    <row r="50" spans="1:11">
      <c r="A50" s="144" t="s">
        <v>192</v>
      </c>
      <c r="B50" s="144" t="s">
        <v>134</v>
      </c>
      <c r="C50" s="148">
        <v>30.31</v>
      </c>
      <c r="D50" s="149">
        <v>30.31</v>
      </c>
      <c r="E50" s="150">
        <v>1</v>
      </c>
      <c r="F50" s="150">
        <v>8.3333333333333329E-2</v>
      </c>
      <c r="G50" s="143">
        <v>1</v>
      </c>
      <c r="H50" s="152">
        <v>1</v>
      </c>
      <c r="I50" s="149">
        <v>250</v>
      </c>
      <c r="J50" s="152">
        <v>250</v>
      </c>
      <c r="K50" s="152">
        <v>206.53575500885972</v>
      </c>
    </row>
    <row r="51" spans="1:11">
      <c r="A51" s="144" t="s">
        <v>193</v>
      </c>
      <c r="B51" s="144" t="s">
        <v>135</v>
      </c>
      <c r="C51" s="148">
        <v>568.08000000000004</v>
      </c>
      <c r="D51" s="149">
        <v>31.56</v>
      </c>
      <c r="E51" s="150">
        <v>18.000000000000004</v>
      </c>
      <c r="F51" s="150">
        <v>1.5000000000000002</v>
      </c>
      <c r="G51" s="143">
        <v>1</v>
      </c>
      <c r="H51" s="152">
        <v>18.000000000000004</v>
      </c>
      <c r="I51" s="149">
        <v>250</v>
      </c>
      <c r="J51" s="152">
        <v>4500.0000000000009</v>
      </c>
      <c r="K51" s="152">
        <v>3717.6435901594759</v>
      </c>
    </row>
    <row r="52" spans="1:11">
      <c r="A52" s="144" t="s">
        <v>186</v>
      </c>
      <c r="B52" s="144" t="s">
        <v>128</v>
      </c>
      <c r="C52" s="148">
        <v>180513</v>
      </c>
      <c r="D52" s="149">
        <v>167.39779999999999</v>
      </c>
      <c r="E52" s="150">
        <v>1078.3475051643452</v>
      </c>
      <c r="F52" s="150">
        <v>89.862292097028771</v>
      </c>
      <c r="G52" s="143">
        <v>4.33</v>
      </c>
      <c r="H52" s="152">
        <v>4669.2446973616152</v>
      </c>
      <c r="I52" s="149">
        <v>324</v>
      </c>
      <c r="J52" s="152">
        <v>1512835.2819451634</v>
      </c>
      <c r="K52" s="152">
        <v>1249818.308642342</v>
      </c>
    </row>
    <row r="53" spans="1:11">
      <c r="A53" s="144" t="s">
        <v>187</v>
      </c>
      <c r="B53" s="144" t="s">
        <v>129</v>
      </c>
      <c r="C53" s="148">
        <v>112325.40000000002</v>
      </c>
      <c r="D53" s="149">
        <v>334.79559999999998</v>
      </c>
      <c r="E53" s="150">
        <v>335.50440925746943</v>
      </c>
      <c r="F53" s="150">
        <v>27.958700771455785</v>
      </c>
      <c r="G53" s="143">
        <v>8.66</v>
      </c>
      <c r="H53" s="152">
        <v>2905.4681841696852</v>
      </c>
      <c r="I53" s="149">
        <v>324</v>
      </c>
      <c r="J53" s="152">
        <v>941371.69167097798</v>
      </c>
      <c r="K53" s="152">
        <v>777707.65233293176</v>
      </c>
    </row>
    <row r="54" spans="1:11">
      <c r="A54" s="144" t="s">
        <v>254</v>
      </c>
      <c r="B54" s="144" t="s">
        <v>255</v>
      </c>
      <c r="C54" s="148">
        <v>8160.75</v>
      </c>
      <c r="D54" s="149">
        <v>502.19339999999994</v>
      </c>
      <c r="E54" s="150">
        <v>16.250213563141212</v>
      </c>
      <c r="F54" s="150">
        <v>1.354184463595101</v>
      </c>
      <c r="G54" s="143">
        <v>12.99</v>
      </c>
      <c r="H54" s="152">
        <v>211.09027418520435</v>
      </c>
      <c r="I54" s="149">
        <v>324</v>
      </c>
      <c r="J54" s="152">
        <v>68393.248836006213</v>
      </c>
      <c r="K54" s="152">
        <v>56502.605143413442</v>
      </c>
    </row>
    <row r="55" spans="1:11">
      <c r="A55" s="144" t="s">
        <v>190</v>
      </c>
      <c r="B55" s="144" t="s">
        <v>132</v>
      </c>
      <c r="C55" s="148">
        <v>30997.39</v>
      </c>
      <c r="D55" s="149">
        <v>83.698899999999995</v>
      </c>
      <c r="E55" s="150">
        <v>370.3440547008384</v>
      </c>
      <c r="F55" s="150">
        <v>30.8620045584032</v>
      </c>
      <c r="G55" s="143">
        <v>2.165</v>
      </c>
      <c r="H55" s="152">
        <v>801.7948784273151</v>
      </c>
      <c r="I55" s="149">
        <v>324</v>
      </c>
      <c r="J55" s="152">
        <v>259781.54061045009</v>
      </c>
      <c r="K55" s="152">
        <v>214616.70650937626</v>
      </c>
    </row>
    <row r="56" spans="1:11">
      <c r="A56" s="144" t="s">
        <v>194</v>
      </c>
      <c r="B56" s="144" t="s">
        <v>136</v>
      </c>
      <c r="C56" s="148">
        <v>43.66</v>
      </c>
      <c r="D56" s="149">
        <v>43.66</v>
      </c>
      <c r="E56" s="150">
        <v>1</v>
      </c>
      <c r="F56" s="150">
        <v>8.3333333333333329E-2</v>
      </c>
      <c r="G56" s="143">
        <v>1</v>
      </c>
      <c r="H56" s="152">
        <v>1</v>
      </c>
      <c r="I56" s="149">
        <v>324</v>
      </c>
      <c r="J56" s="152">
        <v>324</v>
      </c>
      <c r="K56" s="152">
        <v>267.6703384914822</v>
      </c>
    </row>
    <row r="57" spans="1:11">
      <c r="A57" s="144" t="s">
        <v>195</v>
      </c>
      <c r="B57" s="144" t="s">
        <v>137</v>
      </c>
      <c r="C57" s="148">
        <v>12408.46</v>
      </c>
      <c r="D57" s="149">
        <v>44.97</v>
      </c>
      <c r="E57" s="150">
        <v>275.92750722704022</v>
      </c>
      <c r="F57" s="150">
        <v>22.993958935586686</v>
      </c>
      <c r="G57" s="143">
        <v>1</v>
      </c>
      <c r="H57" s="152">
        <v>275.92750722704022</v>
      </c>
      <c r="I57" s="149">
        <v>324</v>
      </c>
      <c r="J57" s="152">
        <v>89400.512341561029</v>
      </c>
      <c r="K57" s="152">
        <v>73857.60925857276</v>
      </c>
    </row>
    <row r="58" spans="1:11">
      <c r="A58" s="144" t="s">
        <v>200</v>
      </c>
      <c r="B58" s="144" t="s">
        <v>201</v>
      </c>
      <c r="C58" s="148">
        <v>2988.9900000000002</v>
      </c>
      <c r="D58" s="149">
        <v>25.3</v>
      </c>
      <c r="E58" s="150">
        <v>118.14189723320159</v>
      </c>
      <c r="F58" s="150">
        <v>9.8451581027667991</v>
      </c>
      <c r="G58" s="143">
        <v>1</v>
      </c>
      <c r="H58" s="152">
        <v>118.14189723320159</v>
      </c>
      <c r="I58" s="149">
        <v>125</v>
      </c>
      <c r="J58" s="152">
        <v>14767.737154150198</v>
      </c>
      <c r="K58" s="152">
        <v>12200.262971619202</v>
      </c>
    </row>
    <row r="59" spans="1:11">
      <c r="A59" s="144" t="s">
        <v>196</v>
      </c>
      <c r="B59" s="144" t="s">
        <v>138</v>
      </c>
      <c r="C59" s="148">
        <v>5329.2</v>
      </c>
      <c r="D59" s="149">
        <v>22.08</v>
      </c>
      <c r="E59" s="150">
        <v>241.35869565217394</v>
      </c>
      <c r="F59" s="150">
        <v>20.11322463768116</v>
      </c>
      <c r="G59" s="143">
        <v>4.33</v>
      </c>
      <c r="H59" s="152">
        <v>1045.0831521739133</v>
      </c>
      <c r="I59" s="149">
        <v>29</v>
      </c>
      <c r="J59" s="152">
        <v>30307.411413043486</v>
      </c>
      <c r="K59" s="152">
        <v>25038.256394228276</v>
      </c>
    </row>
    <row r="60" spans="1:11">
      <c r="A60" s="144" t="s">
        <v>256</v>
      </c>
      <c r="B60" s="144" t="s">
        <v>257</v>
      </c>
      <c r="C60" s="148">
        <v>2080.25</v>
      </c>
      <c r="D60" s="149">
        <v>43.906200000000005</v>
      </c>
      <c r="E60" s="150">
        <v>47.379413385808832</v>
      </c>
      <c r="F60" s="150">
        <v>3.9482844488174025</v>
      </c>
      <c r="G60" s="143">
        <v>4.33</v>
      </c>
      <c r="H60" s="152">
        <v>205.15285996055223</v>
      </c>
      <c r="I60" s="149">
        <v>58</v>
      </c>
      <c r="J60" s="152">
        <v>11898.865877712029</v>
      </c>
      <c r="K60" s="152">
        <v>9830.1649912096491</v>
      </c>
    </row>
    <row r="61" spans="1:11">
      <c r="A61" s="144" t="s">
        <v>197</v>
      </c>
      <c r="B61" s="144" t="s">
        <v>139</v>
      </c>
      <c r="C61" s="148">
        <v>66.239999999999995</v>
      </c>
      <c r="D61" s="149">
        <v>65.859300000000005</v>
      </c>
      <c r="E61" s="150">
        <v>1.0057805048034216</v>
      </c>
      <c r="F61" s="150">
        <v>8.3815042066951798E-2</v>
      </c>
      <c r="G61" s="143">
        <v>4.33</v>
      </c>
      <c r="H61" s="152">
        <v>4.3550295857988157</v>
      </c>
      <c r="I61" s="149">
        <v>87</v>
      </c>
      <c r="J61" s="152">
        <v>378.88757396449699</v>
      </c>
      <c r="K61" s="152">
        <v>313.01532460893031</v>
      </c>
    </row>
    <row r="62" spans="1:11">
      <c r="A62" s="144" t="s">
        <v>258</v>
      </c>
      <c r="B62" s="144" t="s">
        <v>259</v>
      </c>
      <c r="C62" s="148">
        <v>485.82000000000005</v>
      </c>
      <c r="D62" s="149">
        <v>87.812400000000011</v>
      </c>
      <c r="E62" s="150">
        <v>5.5324760512182785</v>
      </c>
      <c r="F62" s="150">
        <v>0.46103967093485654</v>
      </c>
      <c r="G62" s="143">
        <v>4.33</v>
      </c>
      <c r="H62" s="152">
        <v>23.955621301775146</v>
      </c>
      <c r="I62" s="149">
        <v>116</v>
      </c>
      <c r="J62" s="152">
        <v>2778.852071005917</v>
      </c>
      <c r="K62" s="152">
        <v>2295.7292421725624</v>
      </c>
    </row>
    <row r="63" spans="1:11">
      <c r="A63" s="144" t="s">
        <v>198</v>
      </c>
      <c r="B63" s="144" t="s">
        <v>140</v>
      </c>
      <c r="C63" s="148">
        <v>362.04000000000008</v>
      </c>
      <c r="D63" s="149">
        <v>30.17</v>
      </c>
      <c r="E63" s="150">
        <v>12.000000000000002</v>
      </c>
      <c r="F63" s="150">
        <v>1.0000000000000002</v>
      </c>
      <c r="G63" s="143">
        <v>4.33</v>
      </c>
      <c r="H63" s="152">
        <v>51.960000000000008</v>
      </c>
      <c r="I63" s="149">
        <v>47</v>
      </c>
      <c r="J63" s="152">
        <v>2442.1200000000003</v>
      </c>
      <c r="K63" s="152">
        <v>2017.5403920889464</v>
      </c>
    </row>
    <row r="64" spans="1:11">
      <c r="A64" s="144" t="s">
        <v>260</v>
      </c>
      <c r="B64" s="144" t="s">
        <v>261</v>
      </c>
      <c r="C64" s="148">
        <v>63.54</v>
      </c>
      <c r="D64" s="149">
        <v>7.06</v>
      </c>
      <c r="E64" s="150">
        <v>9</v>
      </c>
      <c r="F64" s="150">
        <v>0.75</v>
      </c>
      <c r="G64" s="143">
        <v>4.33</v>
      </c>
      <c r="H64" s="152">
        <v>38.97</v>
      </c>
      <c r="I64" s="149">
        <v>29</v>
      </c>
      <c r="J64" s="152">
        <v>1130.1299999999999</v>
      </c>
      <c r="K64" s="152">
        <v>933.64901123265054</v>
      </c>
    </row>
    <row r="65" spans="1:3">
      <c r="A65" s="144" t="s">
        <v>262</v>
      </c>
      <c r="B65" s="144" t="s">
        <v>263</v>
      </c>
      <c r="C65" s="148">
        <v>14</v>
      </c>
    </row>
    <row r="66" spans="1:3">
      <c r="A66" s="144" t="s">
        <v>264</v>
      </c>
      <c r="B66" s="144" t="s">
        <v>265</v>
      </c>
      <c r="C66" s="148">
        <v>19.8</v>
      </c>
    </row>
    <row r="67" spans="1:3">
      <c r="A67" s="144" t="s">
        <v>204</v>
      </c>
      <c r="B67" s="144" t="s">
        <v>205</v>
      </c>
      <c r="C67" s="148">
        <v>9.24</v>
      </c>
    </row>
    <row r="68" spans="1:3">
      <c r="A68" s="144" t="s">
        <v>206</v>
      </c>
      <c r="B68" s="144" t="s">
        <v>207</v>
      </c>
      <c r="C68" s="148">
        <v>70.7</v>
      </c>
    </row>
    <row r="69" spans="1:3">
      <c r="A69" s="144" t="s">
        <v>202</v>
      </c>
      <c r="B69" s="144" t="s">
        <v>203</v>
      </c>
      <c r="C69" s="148">
        <v>229.60000000000002</v>
      </c>
    </row>
    <row r="70" spans="1:3">
      <c r="A70" s="144" t="s">
        <v>208</v>
      </c>
      <c r="B70" s="144" t="s">
        <v>209</v>
      </c>
      <c r="C70" s="148">
        <v>6.56</v>
      </c>
    </row>
    <row r="71" spans="1:3">
      <c r="A71" s="144" t="s">
        <v>212</v>
      </c>
      <c r="B71" s="144" t="s">
        <v>213</v>
      </c>
      <c r="C71" s="148">
        <v>8.7999999999999972</v>
      </c>
    </row>
    <row r="72" spans="1:3">
      <c r="A72" s="144" t="s">
        <v>266</v>
      </c>
      <c r="B72" s="144" t="s">
        <v>267</v>
      </c>
      <c r="C72" s="148">
        <v>93.6</v>
      </c>
    </row>
    <row r="73" spans="1:3">
      <c r="A73" s="144" t="s">
        <v>210</v>
      </c>
      <c r="B73" s="144" t="s">
        <v>211</v>
      </c>
      <c r="C73" s="148">
        <v>1327.85</v>
      </c>
    </row>
    <row r="74" spans="1:3">
      <c r="A74" s="144" t="s">
        <v>199</v>
      </c>
      <c r="B74" s="144" t="s">
        <v>161</v>
      </c>
      <c r="C74" s="148">
        <v>1.72</v>
      </c>
    </row>
    <row r="75" spans="1:3">
      <c r="A75" s="144" t="s">
        <v>214</v>
      </c>
      <c r="B75" s="144" t="s">
        <v>215</v>
      </c>
      <c r="C75" s="148">
        <v>111.77999999999999</v>
      </c>
    </row>
    <row r="76" spans="1:3">
      <c r="A76" s="144" t="s">
        <v>268</v>
      </c>
      <c r="B76" s="144" t="s">
        <v>269</v>
      </c>
      <c r="C76" s="148">
        <v>11.05</v>
      </c>
    </row>
    <row r="77" spans="1:3">
      <c r="A77" s="144" t="s">
        <v>216</v>
      </c>
      <c r="B77" s="144" t="s">
        <v>217</v>
      </c>
      <c r="C77" s="148">
        <v>58.8</v>
      </c>
    </row>
    <row r="78" spans="1:3">
      <c r="A78" s="144" t="s">
        <v>218</v>
      </c>
      <c r="B78" s="144" t="s">
        <v>219</v>
      </c>
      <c r="C78" s="148">
        <v>127.8</v>
      </c>
    </row>
    <row r="79" spans="1:3">
      <c r="A79" s="144" t="s">
        <v>220</v>
      </c>
      <c r="B79" s="144" t="s">
        <v>221</v>
      </c>
      <c r="C79" s="148">
        <v>581.99999999999989</v>
      </c>
    </row>
    <row r="80" spans="1:3">
      <c r="A80" s="144" t="s">
        <v>222</v>
      </c>
      <c r="B80" s="144" t="s">
        <v>223</v>
      </c>
      <c r="C80" s="148">
        <v>153.80000000000001</v>
      </c>
    </row>
    <row r="81" spans="1:11">
      <c r="A81" s="144" t="s">
        <v>270</v>
      </c>
      <c r="B81" s="144" t="s">
        <v>271</v>
      </c>
      <c r="C81" s="148">
        <v>29.64</v>
      </c>
    </row>
    <row r="82" spans="1:11">
      <c r="A82" s="144" t="s">
        <v>224</v>
      </c>
      <c r="B82" s="144" t="s">
        <v>225</v>
      </c>
      <c r="C82" s="148">
        <v>6.15</v>
      </c>
    </row>
    <row r="83" spans="1:11">
      <c r="A83" s="144" t="s">
        <v>226</v>
      </c>
      <c r="B83" s="144" t="s">
        <v>227</v>
      </c>
      <c r="C83" s="148">
        <v>2286.4</v>
      </c>
    </row>
    <row r="84" spans="1:11" ht="15.75" thickBot="1">
      <c r="C84" s="153">
        <v>625070.97000000032</v>
      </c>
      <c r="J84" s="153">
        <v>5313667.908828144</v>
      </c>
      <c r="K84" s="153">
        <v>4389849.6536646783</v>
      </c>
    </row>
    <row r="85" spans="1:11">
      <c r="C85" s="154"/>
      <c r="J85" s="154"/>
      <c r="K85" s="154"/>
    </row>
    <row r="86" spans="1:11" ht="15.75" thickBot="1">
      <c r="C86" s="155">
        <v>1214693.1300000004</v>
      </c>
      <c r="J86" s="155">
        <v>9336712.6670986302</v>
      </c>
      <c r="K86" s="155">
        <v>7713460</v>
      </c>
    </row>
    <row r="87" spans="1:11" ht="15.75" thickTop="1"/>
    <row r="88" spans="1:11">
      <c r="I88" s="156" t="s">
        <v>272</v>
      </c>
      <c r="J88" s="157">
        <v>7713460</v>
      </c>
    </row>
    <row r="89" spans="1:11">
      <c r="G89" s="142"/>
      <c r="J89" s="158">
        <v>0.82614302003543894</v>
      </c>
    </row>
    <row r="90" spans="1:11">
      <c r="J90" s="144"/>
    </row>
  </sheetData>
  <mergeCells count="1">
    <mergeCell ref="A5:E5"/>
  </mergeCells>
  <pageMargins left="0.7" right="0.7" top="0.75" bottom="0.75" header="0.3" footer="0.3"/>
  <pageSetup scale="62" orientation="portrait" r:id="rId1"/>
  <headerFooter>
    <oddFooter>&amp;L&amp;F - &amp;A&amp;R&amp;P of &amp;N</oddFooter>
  </headerFooter>
  <rowBreaks count="2" manualBreakCount="2">
    <brk id="40" max="16383" man="1"/>
    <brk id="89" max="16383" man="1"/>
  </rowBreaks>
  <colBreaks count="1" manualBreakCount="1">
    <brk id="11" max="8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BE3D0C5142F04093A5B8E0BEB2F302" ma:contentTypeVersion="104" ma:contentTypeDescription="" ma:contentTypeScope="" ma:versionID="d8ab6ba4e8e32dbbc52b0124005c6d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2017-11-13T08:00:00+00:00</OpenedDate>
    <Date1 xmlns="dc463f71-b30c-4ab2-9473-d307f9d35888">2017-11-13T08:00:00+00:00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Nickname xmlns="http://schemas.microsoft.com/sharepoint/v3" xsi:nil="true"/>
    <DocketNumber xmlns="dc463f71-b30c-4ab2-9473-d307f9d35888">171118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D42C170-6590-4685-B2C1-2BB721EC32AC}"/>
</file>

<file path=customXml/itemProps2.xml><?xml version="1.0" encoding="utf-8"?>
<ds:datastoreItem xmlns:ds="http://schemas.openxmlformats.org/officeDocument/2006/customXml" ds:itemID="{7032245C-1EC7-488E-80DE-23D58E4A9041}"/>
</file>

<file path=customXml/itemProps3.xml><?xml version="1.0" encoding="utf-8"?>
<ds:datastoreItem xmlns:ds="http://schemas.openxmlformats.org/officeDocument/2006/customXml" ds:itemID="{70D217A2-01D6-41C8-8533-40541381A9FE}"/>
</file>

<file path=customXml/itemProps4.xml><?xml version="1.0" encoding="utf-8"?>
<ds:datastoreItem xmlns:ds="http://schemas.openxmlformats.org/officeDocument/2006/customXml" ds:itemID="{C40ED34B-1FFB-41EB-AB57-AD44023409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References</vt:lpstr>
      <vt:lpstr>Staff Calcs </vt:lpstr>
      <vt:lpstr>Proposed Rates</vt:lpstr>
      <vt:lpstr>Co Provided Priceout</vt:lpstr>
      <vt:lpstr>'Co Provided Priceout'!Print_Area</vt:lpstr>
      <vt:lpstr>'Staff Calcs '!Print_Area</vt:lpstr>
      <vt:lpstr>'Co Provided Priceout'!Print_Titles</vt:lpstr>
      <vt:lpstr>'Proposed Rates'!Print_Titles</vt:lpstr>
      <vt:lpstr>'Staff Calcs '!Print_Titles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Lindsay Waldram</cp:lastModifiedBy>
  <cp:lastPrinted>2017-11-11T19:49:45Z</cp:lastPrinted>
  <dcterms:created xsi:type="dcterms:W3CDTF">2013-10-29T22:33:54Z</dcterms:created>
  <dcterms:modified xsi:type="dcterms:W3CDTF">2017-11-11T19:49:55Z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0x0101006E56B4D1795A2E4DB2F0B01679ED314A0070BE3D0C5142F04093A5B8E0BEB2F302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