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PSE Tariff\"/>
    </mc:Choice>
  </mc:AlternateContent>
  <bookViews>
    <workbookView xWindow="480" yWindow="75" windowWidth="27795" windowHeight="13860"/>
  </bookViews>
  <sheets>
    <sheet name="Rates PGA-1" sheetId="1" r:id="rId1"/>
    <sheet name="Rate Change PGA-2" sheetId="2" r:id="rId2"/>
    <sheet name="Forecast PGA-3" sheetId="3" r:id="rId3"/>
    <sheet name="Cust Impact PGA-4" sheetId="4" r:id="rId4"/>
    <sheet name="Rev Impact PGA-5" sheetId="5" r:id="rId5"/>
    <sheet name="Combined Cust Impact PGA-6" sheetId="6" r:id="rId6"/>
    <sheet name="Combined Rev Impact PGA-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Feb04">[1]BS!$S$7:$S$3582</definedName>
    <definedName name="__Jan04">[1]BS!$R$7:$R$3582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r04">[1]BS!$T$7:$T$3582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0</definedName>
    <definedName name="_Order2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q1Plant">'[5]Acquisition Inputs'!$C$8</definedName>
    <definedName name="Acq2Plant">'[5]Acquisition Inputs'!$C$70</definedName>
    <definedName name="ADJPTDCE.T">[4]INTERNAL!$A$31:$IV$33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'[6]Cabot Gas Replacement'!$B$8:$F$16</definedName>
    <definedName name="AS2DocOpenMode">"AS2DocumentEdit"</definedName>
    <definedName name="Asset_Class_Switch">[7]Assumptions!$D$5</definedName>
    <definedName name="Aug04AMA">[1]BS!$AK$7:$AK$3582</definedName>
    <definedName name="Aug09AMA">[2]BS!$AR$7:$AR$1726</definedName>
    <definedName name="Aurora_Prices">"Monthly Price Summary'!$C$4:$H$63"</definedName>
    <definedName name="Beg_Unb_KWHs">[8]LeadSht!$L$10</definedName>
    <definedName name="BOOK_LIFE">'[9]Lvl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SE">[10]INPUTS!$C$8</definedName>
    <definedName name="CaseDescription">'[5]Dispatch Cases'!$C$11</definedName>
    <definedName name="CBWorkbookPriority">-2060790043</definedName>
    <definedName name="CCGT_HeatRate">[5]Assumptions!$H$23</definedName>
    <definedName name="CCGTPrice">[5]Assumptions!$H$22</definedName>
    <definedName name="CL_RT2">'[11]Transp Data'!$A$6:$C$81</definedName>
    <definedName name="Construction_OH">'[12]Virtual 49 Back-Up'!$E$54</definedName>
    <definedName name="ConversionFactor">[5]Assumptions!$I$65</definedName>
    <definedName name="CurrQtr">'[13]Inc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'[13]Avg Amts'!$A$5:$BP$34</definedName>
    <definedName name="Data.Qtrs.Avg">'[13]Avg Amts'!$A$5:$IV$5</definedName>
    <definedName name="data1">'[14]Mix Variance'!$O$5:$T$25</definedName>
    <definedName name="DebtPerc">[5]Assumptions!$I$58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S1.T">[4]INTERNAL!$A$40:$IV$42</definedName>
    <definedName name="DES2.T">[4]INTERNAL!$A$43:$IV$45</definedName>
    <definedName name="DF_HeatRate">[5]Assumptions!$L$23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count_for_Revenue_Reqmt">'[15]Assumptions of Purchase'!$B$45</definedName>
    <definedName name="DocketNumber">'[16]JHS-4'!$AP$2</definedName>
    <definedName name="DP.T">[4]INTERNAL!$A$46:$IV$48</definedName>
    <definedName name="EBFIT.T">[4]INTERNAL!$A$88:$IV$90</definedName>
    <definedName name="EffTax">[4]INPUTS!$F$31</definedName>
    <definedName name="Electric_Prices">'[17]Monthly Price Summary'!$B$4:$E$27</definedName>
    <definedName name="ElRBLine">[1]BS!$AQ$7:$AQ$3303</definedName>
    <definedName name="EndDate">[5]Assumptions!$C$11</definedName>
    <definedName name="ENERGY_1">[4]EXTERNAL!$A$4:$IV$6</definedName>
    <definedName name="ENERGY_2">[4]EXTERNAL!$A$145:$IV$147</definedName>
    <definedName name="EPIS.T">[4]INTERNAL!$A$49:$IV$51</definedName>
    <definedName name="FCR">'[12]Virtual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[18]Inputs!$E$112</definedName>
    <definedName name="FedTaxRate">[5]Assumptions!$C$33</definedName>
    <definedName name="FERC_Lookup">'[19]Map Table'!$E$2:$F$58</definedName>
    <definedName name="FTAX">[4]INPUTS!$F$30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Jan04AMA">[1]BS!$AD$7:$AD$3582</definedName>
    <definedName name="Jan09AMA">[2]BS!$AK$7:$AK$1743</definedName>
    <definedName name="Jan10AMA">[2]BS!$AW$7:$AW$1726</definedName>
    <definedName name="JP_Bal">[20]ACCOUNTS!$AG$31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Last_Row">IF([0]!Values_Entered,Header_Row+[0]!Number_of_Payments,Header_Row)</definedName>
    <definedName name="LINE.T">[4]INTERNAL!$A$55:$IV$57</definedName>
    <definedName name="LoadArray">'[21]Load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[22]M9100F4!$A$1:$V$99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[23]!menu1_Button5_Click</definedName>
    <definedName name="menu1_Button6_Click">[23]!menu1_Button6_Click</definedName>
    <definedName name="MERGER_COST">[24]Sheet1!$AF$3:$AJ$28</definedName>
    <definedName name="METER">[4]EXTERNAL!$A$34:$IV$36</definedName>
    <definedName name="MTD_Format">[25]Mthly!$B$11:$D$11,[25]Mthly!$B$35:$D$35</definedName>
    <definedName name="NCP_360">[4]EXTERNAL!$A$13:$IV$15</definedName>
    <definedName name="NCP_361">[4]EXTERNAL!$A$16:$IV$18</definedName>
    <definedName name="NCP_362">[4]EXTERNAL!$A$19:$IV$21</definedName>
    <definedName name="Nov03AMA">[3]BS!$AI$7:$AI$3582</definedName>
    <definedName name="Nov04AMA">[1]BS!$AN$7:$AN$3582</definedName>
    <definedName name="Nov09AMA">[2]BS!$AU$7:$AU$1726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'[12]Virtual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thRCF">[10]INPUTS!$F$41</definedName>
    <definedName name="OthUnc">[4]INPUTS!$F$36</definedName>
    <definedName name="outlookdata">'[26]pivoted data'!$D$3:$Q$90</definedName>
    <definedName name="peak_new_table">'[27]2008 Extreme Peaks - 080403'!$E$5:$AD$8</definedName>
    <definedName name="peak_table">'[27]Peaks-F01'!$C$5:$E$243</definedName>
    <definedName name="Percent_debt">[18]Inputs!$E$129</definedName>
    <definedName name="POWER.T">[4]INTERNAL!$A$58:$IV$60</definedName>
    <definedName name="PP.T">[4]INTERNAL!$A$61:$IV$63</definedName>
    <definedName name="PreTaxDebtCost">[5]Assumptions!$I$56</definedName>
    <definedName name="PreTaxWACC">[5]Assumptions!$I$62</definedName>
    <definedName name="Prices_Aurora">'[17]Monthly Price Summary'!$C$4:$H$63</definedName>
    <definedName name="_xlnm.Print_Area" localSheetId="2">'Forecast PGA-3'!$A$1:$N$54</definedName>
    <definedName name="Prior_Month">[28]Sch_120!$I$21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[29]Sheet1!$A$1147:$B$1887</definedName>
    <definedName name="Prov_Cap_Tax">[18]Inputs!$E$111</definedName>
    <definedName name="PSE">'[30]4.04'!$A$6</definedName>
    <definedName name="PSE_Pre_Tax_Equity_Rate">'[15]Assumptions of Purchase'!$B$42</definedName>
    <definedName name="PTDGP.T">[4]INTERNAL!$A$64:$IV$66</definedName>
    <definedName name="PTDP.T">[4]INTERNAL!$A$67:$IV$69</definedName>
    <definedName name="QTD_Format">[25]QTD!$B$11:$D$11,[25]QTD!$B$35:$D$35</definedName>
    <definedName name="RATE2">'[11]Transp Data'!$A$8:$I$112</definedName>
    <definedName name="RB.T">[4]INTERNAL!$A$70:$IV$72</definedName>
    <definedName name="RCF">[20]INPUTS!$F$48</definedName>
    <definedName name="ResExchCrRate">[28]Sch_194!$M$31</definedName>
    <definedName name="RESID">[4]EXTERNAL!$A$88:$IV$90</definedName>
    <definedName name="resource_lookup">'[31]#REF'!$B$3:$C$112</definedName>
    <definedName name="ResRCF">[10]INPUTS!$F$39</definedName>
    <definedName name="ResUnc">[4]INPUTS!$F$34</definedName>
    <definedName name="REVFAC1.T">[4]INTERNAL!$A$73:$IV$75</definedName>
    <definedName name="ROD">[32]INPUTS!$F$25</definedName>
    <definedName name="ROE">[20]INPUTS!$F$31</definedName>
    <definedName name="ROR">[20]INPUTS!$F$29</definedName>
    <definedName name="SAPBEXhrIndnt">"Wide"</definedName>
    <definedName name="SAPsysID">"708C5W7SBKP804JT78WJ0JNKI"</definedName>
    <definedName name="SAPwbID">"ARS"</definedName>
    <definedName name="SBRCF">[10]INPUTS!$F$40</definedName>
    <definedName name="SbUnc">[4]INPUTS!$F$35</definedName>
    <definedName name="Sch194Rlfwd">'[33]Sch94 Rlfwd'!$B$11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[5]Assumptions!$C$9</definedName>
    <definedName name="STAX">[4]INPUTS!$F$29</definedName>
    <definedName name="SW.T">[4]INTERNAL!$A$76:$IV$78</definedName>
    <definedName name="SWPTD.T">[4]INTERNAL!$A$79:$IV$81</definedName>
    <definedName name="TDP.T">[4]INTERNAL!$A$82:$IV$84</definedName>
    <definedName name="TFR">[4]CLASSIFIERS!$A$11:$IV$11</definedName>
    <definedName name="ThermalBookLife">[5]Assumptions!$C$25</definedName>
    <definedName name="Title">[5]Assumptions!$A$1</definedName>
    <definedName name="TP.T">[4]INTERNAL!$A$91:$IV$93</definedName>
    <definedName name="transdb">'[34]Transp Unbilled'!$A$8:$E$174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VOMEsc">[5]Assumptions!$C$21</definedName>
    <definedName name="WACC">[5]Assumptions!$I$61</definedName>
    <definedName name="Winter">'[35]Input Tab'!$B$11</definedName>
    <definedName name="Years_evaluated">'[36]Revison Inputs'!$B$6</definedName>
    <definedName name="YTD_Format">[25]YTD!$B$13:$D$13,[25]YTD!$B$36:$D$36</definedName>
  </definedNames>
  <calcPr calcId="152511" iterateDelta="252"/>
</workbook>
</file>

<file path=xl/calcChain.xml><?xml version="1.0" encoding="utf-8"?>
<calcChain xmlns="http://schemas.openxmlformats.org/spreadsheetml/2006/main">
  <c r="B20" i="7" l="1"/>
  <c r="F18" i="7"/>
  <c r="E9" i="7"/>
  <c r="H7" i="7"/>
  <c r="G7" i="7"/>
  <c r="D23" i="6"/>
  <c r="C17" i="7" s="1"/>
  <c r="D22" i="6"/>
  <c r="C16" i="7" s="1"/>
  <c r="D21" i="6"/>
  <c r="C15" i="7" s="1"/>
  <c r="D17" i="6"/>
  <c r="C14" i="7" s="1"/>
  <c r="D16" i="6"/>
  <c r="C13" i="7" s="1"/>
  <c r="D12" i="6"/>
  <c r="C12" i="7" s="1"/>
  <c r="A12" i="6"/>
  <c r="A13" i="6" s="1"/>
  <c r="A16" i="6" s="1"/>
  <c r="A17" i="6" s="1"/>
  <c r="A18" i="6" s="1"/>
  <c r="A21" i="6" s="1"/>
  <c r="A22" i="6" s="1"/>
  <c r="A23" i="6" s="1"/>
  <c r="A24" i="6" s="1"/>
  <c r="A25" i="6" s="1"/>
  <c r="D11" i="6"/>
  <c r="C11" i="7" s="1"/>
  <c r="C17" i="5"/>
  <c r="C16" i="5"/>
  <c r="C15" i="5"/>
  <c r="C14" i="5"/>
  <c r="C13" i="5"/>
  <c r="F18" i="5"/>
  <c r="C12" i="5"/>
  <c r="C11" i="5"/>
  <c r="D23" i="4"/>
  <c r="D22" i="4"/>
  <c r="D21" i="4"/>
  <c r="D17" i="4"/>
  <c r="D16" i="4"/>
  <c r="D12" i="4"/>
  <c r="A12" i="4"/>
  <c r="A13" i="4" s="1"/>
  <c r="A16" i="4" s="1"/>
  <c r="A17" i="4" s="1"/>
  <c r="A18" i="4" s="1"/>
  <c r="A21" i="4" s="1"/>
  <c r="A22" i="4" s="1"/>
  <c r="A23" i="4" s="1"/>
  <c r="A24" i="4" s="1"/>
  <c r="A25" i="4" s="1"/>
  <c r="D11" i="4"/>
  <c r="N36" i="3"/>
  <c r="M23" i="6" s="1"/>
  <c r="N35" i="3"/>
  <c r="M22" i="6" s="1"/>
  <c r="N34" i="3"/>
  <c r="N30" i="3"/>
  <c r="N29" i="3"/>
  <c r="M16" i="6" s="1"/>
  <c r="M26" i="3"/>
  <c r="M38" i="3" s="1"/>
  <c r="L26" i="3"/>
  <c r="L38" i="3" s="1"/>
  <c r="K26" i="3"/>
  <c r="K38" i="3" s="1"/>
  <c r="J26" i="3"/>
  <c r="J38" i="3" s="1"/>
  <c r="I26" i="3"/>
  <c r="I38" i="3" s="1"/>
  <c r="H26" i="3"/>
  <c r="H38" i="3" s="1"/>
  <c r="G26" i="3"/>
  <c r="G38" i="3" s="1"/>
  <c r="F26" i="3"/>
  <c r="F38" i="3" s="1"/>
  <c r="E26" i="3"/>
  <c r="E38" i="3" s="1"/>
  <c r="D26" i="3"/>
  <c r="D38" i="3" s="1"/>
  <c r="C26" i="3"/>
  <c r="C38" i="3" s="1"/>
  <c r="B26" i="3"/>
  <c r="N26" i="3" s="1"/>
  <c r="N25" i="3"/>
  <c r="B23" i="3"/>
  <c r="I20" i="3"/>
  <c r="H23" i="4" s="1"/>
  <c r="H20" i="3"/>
  <c r="H22" i="4" s="1"/>
  <c r="G20" i="3"/>
  <c r="H21" i="4" s="1"/>
  <c r="F20" i="3"/>
  <c r="E20" i="3"/>
  <c r="H16" i="4" s="1"/>
  <c r="D20" i="3"/>
  <c r="H12" i="4" s="1"/>
  <c r="C20" i="3"/>
  <c r="H11" i="4" s="1"/>
  <c r="H13" i="4" s="1"/>
  <c r="N16" i="3"/>
  <c r="M14" i="3"/>
  <c r="L14" i="3"/>
  <c r="K14" i="3"/>
  <c r="J14" i="3"/>
  <c r="I14" i="3"/>
  <c r="H14" i="3"/>
  <c r="G14" i="3"/>
  <c r="F14" i="3"/>
  <c r="E14" i="3"/>
  <c r="D14" i="3"/>
  <c r="C14" i="3"/>
  <c r="B14" i="3"/>
  <c r="N13" i="3"/>
  <c r="L23" i="6" s="1"/>
  <c r="N12" i="3"/>
  <c r="L22" i="6" s="1"/>
  <c r="N11" i="3"/>
  <c r="L21" i="6" s="1"/>
  <c r="N10" i="3"/>
  <c r="L17" i="6" s="1"/>
  <c r="N9" i="3"/>
  <c r="E13" i="5" s="1"/>
  <c r="E13" i="7" s="1"/>
  <c r="N8" i="3"/>
  <c r="L12" i="6" s="1"/>
  <c r="N7" i="3"/>
  <c r="C6" i="3"/>
  <c r="C36" i="2"/>
  <c r="I25" i="2"/>
  <c r="I26" i="2" s="1"/>
  <c r="H25" i="2"/>
  <c r="H26" i="2" s="1"/>
  <c r="G25" i="2"/>
  <c r="G26" i="2" s="1"/>
  <c r="F25" i="2"/>
  <c r="F26" i="2" s="1"/>
  <c r="I23" i="2"/>
  <c r="H23" i="2"/>
  <c r="G23" i="2"/>
  <c r="F23" i="2"/>
  <c r="E23" i="2"/>
  <c r="D23" i="2"/>
  <c r="C23" i="2"/>
  <c r="D20" i="2"/>
  <c r="D21" i="2" s="1"/>
  <c r="C20" i="2"/>
  <c r="I19" i="2"/>
  <c r="I21" i="2" s="1"/>
  <c r="H19" i="2"/>
  <c r="G19" i="2"/>
  <c r="G21" i="2" s="1"/>
  <c r="F19" i="2"/>
  <c r="E19" i="2"/>
  <c r="D19" i="2"/>
  <c r="C19" i="2"/>
  <c r="C21" i="2" s="1"/>
  <c r="A11" i="2"/>
  <c r="A12" i="2" s="1"/>
  <c r="A14" i="2" s="1"/>
  <c r="A16" i="2" s="1"/>
  <c r="A17" i="2" s="1"/>
  <c r="A19" i="2" s="1"/>
  <c r="A20" i="2" s="1"/>
  <c r="A21" i="2" s="1"/>
  <c r="A23" i="2" s="1"/>
  <c r="A25" i="2" s="1"/>
  <c r="A26" i="2" s="1"/>
  <c r="A28" i="2" s="1"/>
  <c r="A29" i="2" s="1"/>
  <c r="A31" i="2" s="1"/>
  <c r="A32" i="2" s="1"/>
  <c r="A34" i="2" s="1"/>
  <c r="A36" i="2" s="1"/>
  <c r="G45" i="1"/>
  <c r="K43" i="1"/>
  <c r="K45" i="1" s="1"/>
  <c r="I17" i="2" s="1"/>
  <c r="I32" i="2" s="1"/>
  <c r="J43" i="1"/>
  <c r="H16" i="2" s="1"/>
  <c r="I43" i="1"/>
  <c r="G16" i="2" s="1"/>
  <c r="H43" i="1"/>
  <c r="G43" i="1"/>
  <c r="F43" i="1"/>
  <c r="F45" i="1" s="1"/>
  <c r="E43" i="1"/>
  <c r="E45" i="1" s="1"/>
  <c r="C32" i="1"/>
  <c r="K31" i="1"/>
  <c r="I20" i="2" s="1"/>
  <c r="J31" i="1"/>
  <c r="H20" i="2" s="1"/>
  <c r="I31" i="1"/>
  <c r="G20" i="2" s="1"/>
  <c r="H31" i="1"/>
  <c r="G31" i="1"/>
  <c r="E20" i="2" s="1"/>
  <c r="F31" i="1"/>
  <c r="I20" i="1"/>
  <c r="K11" i="1"/>
  <c r="K14" i="1" s="1"/>
  <c r="J11" i="1"/>
  <c r="I11" i="1"/>
  <c r="I32" i="1" s="1"/>
  <c r="I33" i="1" s="1"/>
  <c r="G11" i="1"/>
  <c r="G14" i="1" s="1"/>
  <c r="E11" i="1"/>
  <c r="E14" i="1" s="1"/>
  <c r="K10" i="1"/>
  <c r="K20" i="1" s="1"/>
  <c r="J10" i="1"/>
  <c r="J20" i="1" s="1"/>
  <c r="I10" i="1"/>
  <c r="H10" i="1"/>
  <c r="H20" i="1" s="1"/>
  <c r="B9" i="1"/>
  <c r="B10" i="1" s="1"/>
  <c r="B11" i="1" s="1"/>
  <c r="B13" i="1" s="1"/>
  <c r="B14" i="1" s="1"/>
  <c r="B16" i="1" s="1"/>
  <c r="B17" i="1" s="1"/>
  <c r="B19" i="1" s="1"/>
  <c r="B20" i="1" s="1"/>
  <c r="B22" i="1" s="1"/>
  <c r="B23" i="1" s="1"/>
  <c r="B24" i="1" s="1"/>
  <c r="B26" i="1" s="1"/>
  <c r="B27" i="1" s="1"/>
  <c r="B28" i="1" s="1"/>
  <c r="B31" i="1" s="1"/>
  <c r="B32" i="1" s="1"/>
  <c r="B33" i="1" s="1"/>
  <c r="B35" i="1" s="1"/>
  <c r="B36" i="1" s="1"/>
  <c r="B37" i="1" s="1"/>
  <c r="B38" i="1" s="1"/>
  <c r="B39" i="1" s="1"/>
  <c r="B40" i="1" s="1"/>
  <c r="B43" i="1" s="1"/>
  <c r="B44" i="1" s="1"/>
  <c r="B45" i="1" s="1"/>
  <c r="B47" i="1" s="1"/>
  <c r="B48" i="1" s="1"/>
  <c r="B49" i="1" s="1"/>
  <c r="B51" i="1" s="1"/>
  <c r="B52" i="1" s="1"/>
  <c r="B53" i="1" s="1"/>
  <c r="B54" i="1" s="1"/>
  <c r="B55" i="1" s="1"/>
  <c r="E21" i="2" l="1"/>
  <c r="E16" i="5"/>
  <c r="E16" i="7" s="1"/>
  <c r="F11" i="1"/>
  <c r="F32" i="1" s="1"/>
  <c r="J45" i="1"/>
  <c r="H17" i="2" s="1"/>
  <c r="H32" i="2" s="1"/>
  <c r="B38" i="3"/>
  <c r="I16" i="4"/>
  <c r="E15" i="5"/>
  <c r="E15" i="7" s="1"/>
  <c r="L16" i="6"/>
  <c r="L18" i="6" s="1"/>
  <c r="D20" i="1"/>
  <c r="G32" i="1"/>
  <c r="K32" i="1"/>
  <c r="I16" i="2"/>
  <c r="I31" i="2" s="1"/>
  <c r="I23" i="4"/>
  <c r="H24" i="4"/>
  <c r="H17" i="4"/>
  <c r="H11" i="1"/>
  <c r="D11" i="1" s="1"/>
  <c r="I14" i="1"/>
  <c r="D10" i="1"/>
  <c r="G33" i="1"/>
  <c r="F33" i="1"/>
  <c r="J20" i="3"/>
  <c r="E32" i="1"/>
  <c r="J14" i="1"/>
  <c r="F20" i="2"/>
  <c r="J32" i="1"/>
  <c r="N14" i="3"/>
  <c r="L11" i="6"/>
  <c r="E11" i="5"/>
  <c r="L24" i="6"/>
  <c r="M12" i="6"/>
  <c r="I12" i="4"/>
  <c r="F14" i="1"/>
  <c r="K33" i="1"/>
  <c r="F16" i="2"/>
  <c r="F31" i="2" s="1"/>
  <c r="H45" i="1"/>
  <c r="F17" i="2" s="1"/>
  <c r="F32" i="2" s="1"/>
  <c r="H21" i="2"/>
  <c r="C23" i="3"/>
  <c r="D6" i="3"/>
  <c r="M17" i="6"/>
  <c r="M18" i="6" s="1"/>
  <c r="I17" i="4"/>
  <c r="I18" i="4" s="1"/>
  <c r="G31" i="2"/>
  <c r="M21" i="6"/>
  <c r="M24" i="6" s="1"/>
  <c r="I21" i="4"/>
  <c r="H31" i="2"/>
  <c r="I45" i="1"/>
  <c r="G17" i="2" s="1"/>
  <c r="G32" i="2" s="1"/>
  <c r="F21" i="2"/>
  <c r="M11" i="6"/>
  <c r="M13" i="6" s="1"/>
  <c r="I11" i="4"/>
  <c r="N38" i="3"/>
  <c r="E12" i="5"/>
  <c r="E12" i="7" s="1"/>
  <c r="E14" i="5"/>
  <c r="E14" i="7" s="1"/>
  <c r="I22" i="4"/>
  <c r="E17" i="5"/>
  <c r="E17" i="7" s="1"/>
  <c r="I13" i="4" l="1"/>
  <c r="M25" i="6"/>
  <c r="E18" i="5"/>
  <c r="E11" i="7"/>
  <c r="E18" i="7" s="1"/>
  <c r="J33" i="1"/>
  <c r="H18" i="4"/>
  <c r="H25" i="4" s="1"/>
  <c r="I24" i="4"/>
  <c r="I25" i="4" s="1"/>
  <c r="D23" i="3"/>
  <c r="E6" i="3"/>
  <c r="L13" i="6"/>
  <c r="L25" i="6" s="1"/>
  <c r="D32" i="1"/>
  <c r="D36" i="1" s="1"/>
  <c r="E33" i="1"/>
  <c r="H32" i="1"/>
  <c r="H14" i="1"/>
  <c r="D14" i="1" s="1"/>
  <c r="J16" i="1" s="1"/>
  <c r="J17" i="1" l="1"/>
  <c r="J22" i="1"/>
  <c r="J23" i="1" s="1"/>
  <c r="E23" i="3"/>
  <c r="F6" i="3"/>
  <c r="H16" i="1"/>
  <c r="I36" i="1"/>
  <c r="E36" i="1"/>
  <c r="H36" i="1"/>
  <c r="G36" i="1"/>
  <c r="F36" i="1"/>
  <c r="K36" i="1"/>
  <c r="J36" i="1"/>
  <c r="H33" i="1"/>
  <c r="D33" i="1" s="1"/>
  <c r="E16" i="1"/>
  <c r="F16" i="1"/>
  <c r="I16" i="1"/>
  <c r="G16" i="1"/>
  <c r="K16" i="1"/>
  <c r="F23" i="3" l="1"/>
  <c r="G6" i="3"/>
  <c r="E22" i="1"/>
  <c r="E17" i="1"/>
  <c r="D17" i="1" s="1"/>
  <c r="G22" i="1"/>
  <c r="G23" i="1" s="1"/>
  <c r="G17" i="1"/>
  <c r="F39" i="1"/>
  <c r="F40" i="1" s="1"/>
  <c r="F38" i="1"/>
  <c r="F48" i="1"/>
  <c r="D11" i="2" s="1"/>
  <c r="F37" i="1"/>
  <c r="I48" i="1"/>
  <c r="G11" i="2" s="1"/>
  <c r="I39" i="1"/>
  <c r="I40" i="1" s="1"/>
  <c r="I37" i="1"/>
  <c r="F22" i="1"/>
  <c r="F23" i="1" s="1"/>
  <c r="F17" i="1"/>
  <c r="J39" i="1"/>
  <c r="J40" i="1" s="1"/>
  <c r="J48" i="1"/>
  <c r="H11" i="2" s="1"/>
  <c r="J37" i="1"/>
  <c r="H48" i="1"/>
  <c r="F11" i="2" s="1"/>
  <c r="H39" i="1"/>
  <c r="H40" i="1" s="1"/>
  <c r="K22" i="1"/>
  <c r="K23" i="1" s="1"/>
  <c r="K17" i="1"/>
  <c r="K48" i="1"/>
  <c r="I11" i="2" s="1"/>
  <c r="K39" i="1"/>
  <c r="K40" i="1" s="1"/>
  <c r="K37" i="1"/>
  <c r="E48" i="1"/>
  <c r="C11" i="2" s="1"/>
  <c r="E39" i="1"/>
  <c r="E40" i="1" s="1"/>
  <c r="E37" i="1"/>
  <c r="I22" i="1"/>
  <c r="I23" i="1" s="1"/>
  <c r="I17" i="1"/>
  <c r="H37" i="1"/>
  <c r="G48" i="1"/>
  <c r="E11" i="2" s="1"/>
  <c r="G39" i="1"/>
  <c r="G40" i="1" s="1"/>
  <c r="G37" i="1"/>
  <c r="H17" i="1"/>
  <c r="H22" i="1"/>
  <c r="H23" i="1" s="1"/>
  <c r="J27" i="1"/>
  <c r="J28" i="1" s="1"/>
  <c r="J26" i="1"/>
  <c r="J47" i="1"/>
  <c r="D37" i="1" l="1"/>
  <c r="H10" i="2"/>
  <c r="H12" i="2" s="1"/>
  <c r="H28" i="2" s="1"/>
  <c r="J49" i="1"/>
  <c r="J51" i="1" s="1"/>
  <c r="E23" i="1"/>
  <c r="D22" i="1"/>
  <c r="I47" i="1"/>
  <c r="I27" i="1"/>
  <c r="I28" i="1" s="1"/>
  <c r="I26" i="1"/>
  <c r="K47" i="1"/>
  <c r="K27" i="1"/>
  <c r="K28" i="1" s="1"/>
  <c r="K26" i="1"/>
  <c r="G47" i="1"/>
  <c r="G27" i="1"/>
  <c r="G28" i="1" s="1"/>
  <c r="G26" i="1"/>
  <c r="H47" i="1"/>
  <c r="H27" i="1"/>
  <c r="H28" i="1" s="1"/>
  <c r="H26" i="1"/>
  <c r="F27" i="1"/>
  <c r="F28" i="1" s="1"/>
  <c r="F26" i="1"/>
  <c r="F24" i="1"/>
  <c r="F47" i="1"/>
  <c r="G23" i="3"/>
  <c r="H6" i="3"/>
  <c r="H23" i="3" l="1"/>
  <c r="I6" i="3"/>
  <c r="H49" i="1"/>
  <c r="H51" i="1" s="1"/>
  <c r="F10" i="2"/>
  <c r="F12" i="2" s="1"/>
  <c r="F28" i="2" s="1"/>
  <c r="D16" i="5"/>
  <c r="G16" i="5" s="1"/>
  <c r="H16" i="5" s="1"/>
  <c r="I16" i="5" s="1"/>
  <c r="J54" i="1"/>
  <c r="J55" i="1" s="1"/>
  <c r="E22" i="4"/>
  <c r="F22" i="4" s="1"/>
  <c r="K22" i="4" s="1"/>
  <c r="L22" i="4" s="1"/>
  <c r="M22" i="4" s="1"/>
  <c r="E22" i="6"/>
  <c r="H14" i="2"/>
  <c r="H29" i="2" s="1"/>
  <c r="D10" i="2"/>
  <c r="D12" i="2" s="1"/>
  <c r="D28" i="2" s="1"/>
  <c r="F49" i="1"/>
  <c r="F51" i="1" s="1"/>
  <c r="K49" i="1"/>
  <c r="K51" i="1" s="1"/>
  <c r="I10" i="2"/>
  <c r="I12" i="2" s="1"/>
  <c r="I28" i="2" s="1"/>
  <c r="E10" i="2"/>
  <c r="E12" i="2" s="1"/>
  <c r="E28" i="2" s="1"/>
  <c r="G49" i="1"/>
  <c r="G51" i="1" s="1"/>
  <c r="E47" i="1"/>
  <c r="E27" i="1"/>
  <c r="E28" i="1" s="1"/>
  <c r="E26" i="1"/>
  <c r="D26" i="1" s="1"/>
  <c r="I49" i="1"/>
  <c r="I51" i="1" s="1"/>
  <c r="G10" i="2"/>
  <c r="G12" i="2" s="1"/>
  <c r="G28" i="2" s="1"/>
  <c r="E49" i="1" l="1"/>
  <c r="E51" i="1" s="1"/>
  <c r="C10" i="2"/>
  <c r="C12" i="2" s="1"/>
  <c r="C28" i="2" s="1"/>
  <c r="I14" i="2"/>
  <c r="I29" i="2" s="1"/>
  <c r="D17" i="5"/>
  <c r="G17" i="5" s="1"/>
  <c r="H17" i="5" s="1"/>
  <c r="I17" i="5" s="1"/>
  <c r="E23" i="6"/>
  <c r="E23" i="4"/>
  <c r="F23" i="4" s="1"/>
  <c r="K23" i="4" s="1"/>
  <c r="L23" i="4" s="1"/>
  <c r="M23" i="4" s="1"/>
  <c r="K54" i="1"/>
  <c r="K55" i="1" s="1"/>
  <c r="D16" i="7"/>
  <c r="G16" i="7" s="1"/>
  <c r="H16" i="7" s="1"/>
  <c r="I16" i="7" s="1"/>
  <c r="J22" i="6"/>
  <c r="O22" i="6" s="1"/>
  <c r="P22" i="6" s="1"/>
  <c r="Q22" i="6" s="1"/>
  <c r="E21" i="6"/>
  <c r="E21" i="4"/>
  <c r="F21" i="4" s="1"/>
  <c r="K21" i="4" s="1"/>
  <c r="D15" i="5"/>
  <c r="G15" i="5" s="1"/>
  <c r="H15" i="5" s="1"/>
  <c r="I15" i="5" s="1"/>
  <c r="I54" i="1"/>
  <c r="I55" i="1" s="1"/>
  <c r="G14" i="2"/>
  <c r="G29" i="2" s="1"/>
  <c r="E16" i="6"/>
  <c r="E16" i="4"/>
  <c r="F16" i="4" s="1"/>
  <c r="K16" i="4" s="1"/>
  <c r="E14" i="2"/>
  <c r="E29" i="2" s="1"/>
  <c r="D13" i="5"/>
  <c r="G13" i="5" s="1"/>
  <c r="H13" i="5" s="1"/>
  <c r="I13" i="5" s="1"/>
  <c r="G54" i="1"/>
  <c r="G55" i="1" s="1"/>
  <c r="D12" i="5"/>
  <c r="G12" i="5" s="1"/>
  <c r="H12" i="5" s="1"/>
  <c r="I12" i="5" s="1"/>
  <c r="F54" i="1"/>
  <c r="F55" i="1" s="1"/>
  <c r="F52" i="1"/>
  <c r="D14" i="2" s="1"/>
  <c r="D29" i="2" s="1"/>
  <c r="E12" i="6"/>
  <c r="E12" i="4"/>
  <c r="F12" i="4" s="1"/>
  <c r="K12" i="4" s="1"/>
  <c r="L12" i="4" s="1"/>
  <c r="M12" i="4" s="1"/>
  <c r="E17" i="4"/>
  <c r="F17" i="4" s="1"/>
  <c r="K17" i="4" s="1"/>
  <c r="L17" i="4" s="1"/>
  <c r="M17" i="4" s="1"/>
  <c r="F14" i="2"/>
  <c r="F29" i="2" s="1"/>
  <c r="D14" i="5"/>
  <c r="G14" i="5" s="1"/>
  <c r="H14" i="5" s="1"/>
  <c r="I14" i="5" s="1"/>
  <c r="H54" i="1"/>
  <c r="H55" i="1" s="1"/>
  <c r="E17" i="6"/>
  <c r="J6" i="3"/>
  <c r="I23" i="3"/>
  <c r="D12" i="7" l="1"/>
  <c r="G12" i="7" s="1"/>
  <c r="H12" i="7" s="1"/>
  <c r="I12" i="7" s="1"/>
  <c r="J12" i="6"/>
  <c r="O12" i="6" s="1"/>
  <c r="P12" i="6" s="1"/>
  <c r="Q12" i="6" s="1"/>
  <c r="D13" i="7"/>
  <c r="G13" i="7" s="1"/>
  <c r="H13" i="7" s="1"/>
  <c r="I13" i="7" s="1"/>
  <c r="J16" i="6"/>
  <c r="O16" i="6" s="1"/>
  <c r="K24" i="4"/>
  <c r="L24" i="4" s="1"/>
  <c r="M24" i="4" s="1"/>
  <c r="L21" i="4"/>
  <c r="M21" i="4" s="1"/>
  <c r="K18" i="4"/>
  <c r="L18" i="4" s="1"/>
  <c r="M18" i="4" s="1"/>
  <c r="L16" i="4"/>
  <c r="M16" i="4" s="1"/>
  <c r="K6" i="3"/>
  <c r="J23" i="3"/>
  <c r="D15" i="7"/>
  <c r="G15" i="7" s="1"/>
  <c r="H15" i="7" s="1"/>
  <c r="I15" i="7" s="1"/>
  <c r="J21" i="6"/>
  <c r="O21" i="6" s="1"/>
  <c r="D14" i="7"/>
  <c r="G14" i="7" s="1"/>
  <c r="H14" i="7" s="1"/>
  <c r="I14" i="7" s="1"/>
  <c r="J17" i="6"/>
  <c r="O17" i="6" s="1"/>
  <c r="P17" i="6" s="1"/>
  <c r="Q17" i="6" s="1"/>
  <c r="J23" i="6"/>
  <c r="O23" i="6" s="1"/>
  <c r="P23" i="6" s="1"/>
  <c r="Q23" i="6" s="1"/>
  <c r="D17" i="7"/>
  <c r="G17" i="7" s="1"/>
  <c r="H17" i="7" s="1"/>
  <c r="I17" i="7" s="1"/>
  <c r="E11" i="6"/>
  <c r="E11" i="4"/>
  <c r="F11" i="4" s="1"/>
  <c r="K11" i="4" s="1"/>
  <c r="D11" i="5"/>
  <c r="G11" i="5" s="1"/>
  <c r="H11" i="5" s="1"/>
  <c r="E54" i="1"/>
  <c r="E55" i="1" s="1"/>
  <c r="C14" i="2"/>
  <c r="C29" i="2" s="1"/>
  <c r="O24" i="6" l="1"/>
  <c r="P24" i="6" s="1"/>
  <c r="Q24" i="6" s="1"/>
  <c r="P21" i="6"/>
  <c r="Q21" i="6" s="1"/>
  <c r="O18" i="6"/>
  <c r="P18" i="6" s="1"/>
  <c r="Q18" i="6" s="1"/>
  <c r="P16" i="6"/>
  <c r="Q16" i="6" s="1"/>
  <c r="H18" i="5"/>
  <c r="I11" i="5"/>
  <c r="K13" i="4"/>
  <c r="L11" i="4"/>
  <c r="M11" i="4" s="1"/>
  <c r="D11" i="7"/>
  <c r="G11" i="7" s="1"/>
  <c r="H11" i="7" s="1"/>
  <c r="J11" i="6"/>
  <c r="O11" i="6" s="1"/>
  <c r="K23" i="3"/>
  <c r="L6" i="3"/>
  <c r="L23" i="3" l="1"/>
  <c r="M6" i="3"/>
  <c r="M23" i="3" s="1"/>
  <c r="L13" i="4"/>
  <c r="M13" i="4" s="1"/>
  <c r="K25" i="4"/>
  <c r="O13" i="6"/>
  <c r="P11" i="6"/>
  <c r="Q11" i="6" s="1"/>
  <c r="H18" i="7"/>
  <c r="I11" i="7"/>
  <c r="G18" i="5"/>
  <c r="I18" i="5"/>
  <c r="I18" i="7" l="1"/>
  <c r="G18" i="7"/>
  <c r="P13" i="6"/>
  <c r="Q13" i="6" s="1"/>
  <c r="O25" i="6"/>
</calcChain>
</file>

<file path=xl/sharedStrings.xml><?xml version="1.0" encoding="utf-8"?>
<sst xmlns="http://schemas.openxmlformats.org/spreadsheetml/2006/main" count="289" uniqueCount="172">
  <si>
    <t>Puget Sound Energy</t>
  </si>
  <si>
    <t>Calculation of Proposed Schedule 101 Rates</t>
  </si>
  <si>
    <t>Residential</t>
  </si>
  <si>
    <t>Commercial and Industrial</t>
  </si>
  <si>
    <t>Interruptible</t>
  </si>
  <si>
    <t>Line</t>
  </si>
  <si>
    <t>Description</t>
  </si>
  <si>
    <t>Total</t>
  </si>
  <si>
    <t>Calculation of PGA Demand Rates</t>
  </si>
  <si>
    <t>Current Gas Supply Demand Rates (Sched. 101)</t>
  </si>
  <si>
    <t>Current Volumetric Demand Rates (Sched. 101)</t>
  </si>
  <si>
    <t>Contract Demand (therms)</t>
  </si>
  <si>
    <r>
      <t xml:space="preserve">Projected Volume </t>
    </r>
    <r>
      <rPr>
        <sz val="10"/>
        <color rgb="FF0000FF"/>
        <rFont val="Arial"/>
        <family val="2"/>
      </rPr>
      <t>Nov. 17 - Oct. 18</t>
    </r>
    <r>
      <rPr>
        <sz val="10"/>
        <rFont val="Arial"/>
        <family val="2"/>
      </rPr>
      <t xml:space="preserve"> (therms)</t>
    </r>
  </si>
  <si>
    <t>Unit Demand Costs from Cost Study (1)</t>
  </si>
  <si>
    <t>Estimated PGA Revenue Under Cost of Service Rates (line 4 x line 5)</t>
  </si>
  <si>
    <t>Projected Annual Demand Cost (Revenue Requirement) (2)</t>
  </si>
  <si>
    <t>Percent of Total Demand Cost</t>
  </si>
  <si>
    <t>Proposed Gas Supply Demand Rates (Sched. 101)</t>
  </si>
  <si>
    <t>Revenue Under Proposed Gas Supply Demand Rates (line 3 x line 9)</t>
  </si>
  <si>
    <t>Revenue Requirement for Volumetric Charge (line 7 - line 10)</t>
  </si>
  <si>
    <t>Proposed Volumetric Demand Rates (line 11 / line 4)</t>
  </si>
  <si>
    <t>Proposed Schedule 16 Rate per Mantle (line 12 x 19)</t>
  </si>
  <si>
    <t>Proposed Total Demand Revenue ((line 2 x line 12) + (line 3 x line 9))</t>
  </si>
  <si>
    <t>Proposed Change in Volumetric Demand Rate (line 12 - line 2)</t>
  </si>
  <si>
    <t>Percent Change in Volumetric Demand Rate</t>
  </si>
  <si>
    <t>Calculation of PGA Commodity Rates</t>
  </si>
  <si>
    <t>Current Commodity Rate (Sched. 101)</t>
  </si>
  <si>
    <t>Revenue Under Current Rates (line 17 x line 18)</t>
  </si>
  <si>
    <t>Projected Annual Commodity Cost (Revenue Requirement)</t>
  </si>
  <si>
    <t>Proposed Commodity Rates (line 20 / line 18)</t>
  </si>
  <si>
    <t>Revenue Under Proposed Rates (line 21 x line 18)</t>
  </si>
  <si>
    <t>Schedule 16 Rate per Mantle (line 21 x 19)</t>
  </si>
  <si>
    <t>Proposed Change in Commodity Rate (line 21 - line 17)</t>
  </si>
  <si>
    <t>Percent Change</t>
  </si>
  <si>
    <t>Total Proposed PGA Rates</t>
  </si>
  <si>
    <t>Proposed Gas Supply Demand Charge (line 9)</t>
  </si>
  <si>
    <t>Revenue Adjustment Factor (RAF)</t>
  </si>
  <si>
    <t>Proposed Gas Supply Demand Charge Including RAF (line 26 x (1 + line 27))</t>
  </si>
  <si>
    <t>Proposed Volumetric Demand Rates (line 14)</t>
  </si>
  <si>
    <t>Proposed Commodity Rates (line 21)</t>
  </si>
  <si>
    <t>Proposed Total Volumetric Rates</t>
  </si>
  <si>
    <t>Proposed Total Volumetric Rates Including RAF (line 31 x (1 + line 27))</t>
  </si>
  <si>
    <t>Schedule 16 Rate per Mantle (line 32 x 19)</t>
  </si>
  <si>
    <t>Current Volumetric Rates Including RAF (Schedule 101)</t>
  </si>
  <si>
    <t>Proposed Volumetric Change Including RAF (line 32 - line 34)</t>
  </si>
  <si>
    <t>(1) 2011 GRC cost of service study</t>
  </si>
  <si>
    <t>(2) Allocated based on line 6</t>
  </si>
  <si>
    <t>Summary of Proposed Schedule 101 Rate Changes</t>
  </si>
  <si>
    <t>16 (unit x 19)</t>
  </si>
  <si>
    <t>(a)</t>
  </si>
  <si>
    <t>(b)</t>
  </si>
  <si>
    <t>(c )</t>
  </si>
  <si>
    <t>(d)</t>
  </si>
  <si>
    <t>(e)</t>
  </si>
  <si>
    <t>(f)</t>
  </si>
  <si>
    <t>(g)</t>
  </si>
  <si>
    <t>Proposed Pre-Tax Volumetric Demand Rate</t>
  </si>
  <si>
    <t>Proposed Pre-Tax Commodity Rate</t>
  </si>
  <si>
    <t>Proposed Pre-Tax Volumetric Rate</t>
  </si>
  <si>
    <t>Proposed Volumetric Rate Including RAF</t>
  </si>
  <si>
    <t>Proposed Pre-Tax Gas Supply Demand Rate (1)</t>
  </si>
  <si>
    <t xml:space="preserve">Proposed Gas Supply Demand Rate Including RAF </t>
  </si>
  <si>
    <t xml:space="preserve">Current Pre-Tax Volumetric Demand Rate </t>
  </si>
  <si>
    <t>Current Pre-Tax Commodity Rate</t>
  </si>
  <si>
    <t>Current Pre-Tax Volumetric Rate</t>
  </si>
  <si>
    <t>Total Current Volumetric Rate Including RAF</t>
  </si>
  <si>
    <t>Current Pre-Tax Gas Supply Demand Rate (1)</t>
  </si>
  <si>
    <t>Current Gas Supply Demand Rate Including RAF</t>
  </si>
  <si>
    <t>Total Proposed Volumetric Rate Change, Before RAF (line 3 - line 11)</t>
  </si>
  <si>
    <t>Total Proposed Volumetric Rate Change, Including RAF (line 6 - line 14)</t>
  </si>
  <si>
    <t>Proposed Gas Supply Demand Rate Change, Before RAF (line 7 - line 15)</t>
  </si>
  <si>
    <t>Proposed Gas Supply Demand Rate Change, Including RAF (line 8 - line 16)</t>
  </si>
  <si>
    <t>Total Percentage Change Including RAF (2)</t>
  </si>
  <si>
    <t>(1) Gas supply demand charge is billed based on contract or fixed demand.</t>
  </si>
  <si>
    <t>(2) Includes gas supply demand charge.</t>
  </si>
  <si>
    <t>Page 1 of 1</t>
  </si>
  <si>
    <t>Exhibit____(PGA-2)</t>
  </si>
  <si>
    <t>Advice No. 2017 - 14</t>
  </si>
  <si>
    <t>Sources: Exhibit PGA-1</t>
  </si>
  <si>
    <t>Forecasted Sales Volumes and Customer Counts</t>
  </si>
  <si>
    <t>Projected Sales Volume by Month (Therms)</t>
  </si>
  <si>
    <t>Rate Sch</t>
  </si>
  <si>
    <t>Sales</t>
  </si>
  <si>
    <t>Transportation</t>
  </si>
  <si>
    <t>Annual Sales Volume</t>
  </si>
  <si>
    <t>Schedule:</t>
  </si>
  <si>
    <t>Annual Sales:</t>
  </si>
  <si>
    <t>Number of Customers by Month</t>
  </si>
  <si>
    <t>Average</t>
  </si>
  <si>
    <t>16 (1)</t>
  </si>
  <si>
    <t>Commercial &amp; Industrial</t>
  </si>
  <si>
    <t>Large Volume</t>
  </si>
  <si>
    <t>(1) Number of mantles</t>
  </si>
  <si>
    <t>Source: 2016 Forecast customer counts and delivered volumes.</t>
  </si>
  <si>
    <t>Estimated Annual and Monthly Customer Impact for PGA Period</t>
  </si>
  <si>
    <t>Schedule 101 Rates Including RAF</t>
  </si>
  <si>
    <t>PGA Period</t>
  </si>
  <si>
    <t>Total Annual</t>
  </si>
  <si>
    <t>Rate</t>
  </si>
  <si>
    <t>Revenue</t>
  </si>
  <si>
    <t>Change Per Customer</t>
  </si>
  <si>
    <t>Schedule</t>
  </si>
  <si>
    <t>Current</t>
  </si>
  <si>
    <t>Proposed</t>
  </si>
  <si>
    <t>Change</t>
  </si>
  <si>
    <t>Volume (therms)</t>
  </si>
  <si>
    <t>Customers (1)</t>
  </si>
  <si>
    <t>Annual</t>
  </si>
  <si>
    <t>Monthly</t>
  </si>
  <si>
    <t>(c)</t>
  </si>
  <si>
    <t>(h)</t>
  </si>
  <si>
    <t>c = (b) - (a)</t>
  </si>
  <si>
    <t>f = (c) * (d)</t>
  </si>
  <si>
    <t>g = (f) / (e)</t>
  </si>
  <si>
    <t>h = (g) / 12</t>
  </si>
  <si>
    <t>Total Residential</t>
  </si>
  <si>
    <t>Total Commercial &amp; Industrial</t>
  </si>
  <si>
    <t>Total Large Volume</t>
  </si>
  <si>
    <t>(1) Average customers for schedule 16 is the average numbers of mantles</t>
  </si>
  <si>
    <t>Exhibit____(PGA-4)</t>
  </si>
  <si>
    <t>Sources: Exhibit PGA-1; Exhibit PGA-3.</t>
  </si>
  <si>
    <t>Estimated Impact of Schedule 101 Change on Total Bills</t>
  </si>
  <si>
    <t>Forecasted</t>
  </si>
  <si>
    <t>2017 PGA</t>
  </si>
  <si>
    <t>Schedule 101</t>
  </si>
  <si>
    <t>Volume (Therms)</t>
  </si>
  <si>
    <t>Revenue at</t>
  </si>
  <si>
    <t xml:space="preserve">Net Change </t>
  </si>
  <si>
    <t xml:space="preserve">Percent </t>
  </si>
  <si>
    <t>Rate Class</t>
  </si>
  <si>
    <t xml:space="preserve">Rates </t>
  </si>
  <si>
    <t>Nov17 - Oct18</t>
  </si>
  <si>
    <t>Current Rates (1)</t>
  </si>
  <si>
    <t>$ / therm</t>
  </si>
  <si>
    <t xml:space="preserve">$ </t>
  </si>
  <si>
    <t>A</t>
  </si>
  <si>
    <t>B</t>
  </si>
  <si>
    <t>C</t>
  </si>
  <si>
    <t>D</t>
  </si>
  <si>
    <t>E</t>
  </si>
  <si>
    <t>F</t>
  </si>
  <si>
    <t>G=D*F</t>
  </si>
  <si>
    <t>H=G/E</t>
  </si>
  <si>
    <t>Residential (23)</t>
  </si>
  <si>
    <t>Residential (16)</t>
  </si>
  <si>
    <t>Commercial &amp; industrial (31)</t>
  </si>
  <si>
    <t>Large volume (41)</t>
  </si>
  <si>
    <t>Interruptible (85)</t>
  </si>
  <si>
    <t>Limited interruptible (86)</t>
  </si>
  <si>
    <t>Non exclusive interruptible (87)</t>
  </si>
  <si>
    <t>(1) Forecasted revenue at rates in effect May 1, 2017 for the 12 months ended October 2018.</t>
  </si>
  <si>
    <t xml:space="preserve">Exhibit____(PGA-5)   </t>
  </si>
  <si>
    <t>Combined Annual and Monthly Customer Impact for PGA Period</t>
  </si>
  <si>
    <t>Schedule 106 Rates Incl. RAF</t>
  </si>
  <si>
    <t>( c)</t>
  </si>
  <si>
    <t>(i)</t>
  </si>
  <si>
    <t>(j)</t>
  </si>
  <si>
    <t>h = (e) * (f)</t>
  </si>
  <si>
    <t>i = (h) / (g)</t>
  </si>
  <si>
    <t>j = (i) / 12</t>
  </si>
  <si>
    <t>Total Interruptible</t>
  </si>
  <si>
    <t>Exhibit___(PGA-6)</t>
  </si>
  <si>
    <t xml:space="preserve"> Advice No. 2017 - 14</t>
  </si>
  <si>
    <t>Sources: Exhibit PGA-1; Exhibit PGA-3; Exhibit Tracker-2</t>
  </si>
  <si>
    <t>Estimated Impact of Schedule 101 and 106 Changes on Total Bills</t>
  </si>
  <si>
    <t>Schedule 101 &amp; 106</t>
  </si>
  <si>
    <t>Rates</t>
  </si>
  <si>
    <t xml:space="preserve">Exhibit___(PGA-7) </t>
  </si>
  <si>
    <t>PGA Filing Proposed Effective November 1, 2017</t>
  </si>
  <si>
    <t>Schedule 101 Rates Proposed Effective November 1, 2017</t>
  </si>
  <si>
    <t>Schedule 101 and 106 Rates Proposed Effective November 1, 2017</t>
  </si>
  <si>
    <t>PGA &amp; Tracker Filing Proposed Effective November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</si>
</sst>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.00000_);_(&quot;$&quot;* \(#,##0.00000\);_(&quot;$&quot;* &quot;-&quot;?????_);_(@_)"/>
    <numFmt numFmtId="165" formatCode="0.0%"/>
    <numFmt numFmtId="166" formatCode="_(&quot;$&quot;* #,##0.00000_);_(&quot;$&quot;* \(#,##0.00000\);_(&quot;$&quot;* &quot;-&quot;??_);_(@_)"/>
    <numFmt numFmtId="167" formatCode="_(&quot;$&quot;* #,##0.00_);_(&quot;$&quot;* \(#,##0.00\);_(&quot;$&quot;* &quot;-&quot;_);_(@_)"/>
    <numFmt numFmtId="168" formatCode="0.0000%"/>
    <numFmt numFmtId="169" formatCode="_(&quot;$&quot;* #,##0.00_);_(&quot;$&quot;* \(#,##0.00\);_(&quot;$&quot;* &quot;-&quot;?????_);_(@_)"/>
    <numFmt numFmtId="170" formatCode="&quot;$&quot;#,##0.00000_);\(&quot;$&quot;#,##0.00000\)"/>
    <numFmt numFmtId="171" formatCode="#,##0.00000_);[Red]\(#,##0.00000\)"/>
    <numFmt numFmtId="172" formatCode="&quot;$&quot;#,##0.00000_);[Red]\(&quot;$&quot;#,##0.00000\)"/>
    <numFmt numFmtId="173" formatCode="#,##0.00000_);\(#,##0.00000\)"/>
    <numFmt numFmtId="174" formatCode="0.000%"/>
    <numFmt numFmtId="175" formatCode="0.000000%"/>
    <numFmt numFmtId="176" formatCode="_(* #,##0_);_(* \(#,##0\);_(* &quot;-&quot;??_);_(@_)"/>
    <numFmt numFmtId="177" formatCode="_(&quot;$&quot;* #,##0_);_(&quot;$&quot;* \(#,##0\);_(&quot;$&quot;* &quot;-&quot;??_);_(@_)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2"/>
      <color rgb="FF008080"/>
      <name val="Arial"/>
      <family val="2"/>
    </font>
    <font>
      <b/>
      <sz val="12"/>
      <color rgb="FF009999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indexed="57"/>
      <name val="Arial"/>
      <family val="2"/>
    </font>
    <font>
      <sz val="10"/>
      <color rgb="FF00808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44" fontId="6" fillId="0" borderId="0" xfId="0" applyNumberFormat="1" applyFont="1"/>
    <xf numFmtId="0" fontId="2" fillId="0" borderId="0" xfId="0" applyFont="1" applyBorder="1"/>
    <xf numFmtId="164" fontId="7" fillId="0" borderId="0" xfId="0" applyNumberFormat="1" applyFont="1" applyFill="1" applyBorder="1"/>
    <xf numFmtId="164" fontId="6" fillId="0" borderId="0" xfId="0" applyNumberFormat="1" applyFont="1" applyFill="1" applyBorder="1"/>
    <xf numFmtId="37" fontId="2" fillId="0" borderId="0" xfId="0" applyNumberFormat="1" applyFont="1"/>
    <xf numFmtId="7" fontId="2" fillId="0" borderId="0" xfId="0" applyNumberFormat="1" applyFont="1"/>
    <xf numFmtId="3" fontId="7" fillId="0" borderId="0" xfId="0" applyNumberFormat="1" applyFont="1" applyFill="1"/>
    <xf numFmtId="3" fontId="6" fillId="0" borderId="0" xfId="0" applyNumberFormat="1" applyFont="1" applyFill="1"/>
    <xf numFmtId="2" fontId="2" fillId="0" borderId="0" xfId="0" applyNumberFormat="1" applyFont="1"/>
    <xf numFmtId="3" fontId="2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164" fontId="10" fillId="0" borderId="0" xfId="0" applyNumberFormat="1" applyFont="1"/>
    <xf numFmtId="42" fontId="2" fillId="0" borderId="0" xfId="0" applyNumberFormat="1" applyFont="1"/>
    <xf numFmtId="44" fontId="2" fillId="0" borderId="0" xfId="0" applyNumberFormat="1" applyFont="1"/>
    <xf numFmtId="42" fontId="10" fillId="0" borderId="0" xfId="0" applyNumberFormat="1" applyFont="1"/>
    <xf numFmtId="165" fontId="2" fillId="0" borderId="0" xfId="0" applyNumberFormat="1" applyFont="1"/>
    <xf numFmtId="0" fontId="5" fillId="0" borderId="0" xfId="0" applyFont="1"/>
    <xf numFmtId="44" fontId="7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Fill="1"/>
    <xf numFmtId="164" fontId="2" fillId="0" borderId="0" xfId="0" applyNumberFormat="1" applyFont="1" applyFill="1" applyBorder="1"/>
    <xf numFmtId="42" fontId="8" fillId="0" borderId="0" xfId="0" applyNumberFormat="1" applyFont="1" applyFill="1"/>
    <xf numFmtId="164" fontId="2" fillId="0" borderId="0" xfId="0" applyNumberFormat="1" applyFont="1"/>
    <xf numFmtId="9" fontId="2" fillId="0" borderId="0" xfId="0" applyNumberFormat="1" applyFont="1"/>
    <xf numFmtId="42" fontId="2" fillId="0" borderId="0" xfId="0" applyNumberFormat="1" applyFont="1" applyFill="1"/>
    <xf numFmtId="167" fontId="2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Alignment="1"/>
    <xf numFmtId="168" fontId="7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/>
    <xf numFmtId="164" fontId="2" fillId="0" borderId="8" xfId="0" applyNumberFormat="1" applyFont="1" applyBorder="1"/>
    <xf numFmtId="169" fontId="2" fillId="0" borderId="0" xfId="0" applyNumberFormat="1" applyFont="1"/>
    <xf numFmtId="170" fontId="2" fillId="0" borderId="0" xfId="0" applyNumberFormat="1" applyFont="1"/>
    <xf numFmtId="164" fontId="6" fillId="0" borderId="0" xfId="0" applyNumberFormat="1" applyFont="1" applyFill="1"/>
    <xf numFmtId="164" fontId="7" fillId="0" borderId="0" xfId="0" applyNumberFormat="1" applyFont="1" applyFill="1"/>
    <xf numFmtId="0" fontId="2" fillId="0" borderId="0" xfId="0" applyFont="1" applyAlignment="1">
      <alignment horizontal="left" textRotation="180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5" fontId="2" fillId="0" borderId="0" xfId="0" applyNumberFormat="1" applyFont="1" applyFill="1"/>
    <xf numFmtId="6" fontId="2" fillId="0" borderId="0" xfId="0" applyNumberFormat="1" applyFont="1" applyFill="1"/>
    <xf numFmtId="0" fontId="2" fillId="0" borderId="0" xfId="0" applyFont="1" applyFill="1" applyBorder="1"/>
    <xf numFmtId="171" fontId="6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3" fillId="0" borderId="0" xfId="0" applyFont="1" applyFill="1" applyAlignment="1">
      <alignment horizontal="center" wrapText="1"/>
    </xf>
    <xf numFmtId="172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8" fillId="0" borderId="0" xfId="0" applyNumberFormat="1" applyFont="1" applyFill="1" applyBorder="1"/>
    <xf numFmtId="44" fontId="8" fillId="0" borderId="0" xfId="0" applyNumberFormat="1" applyFont="1" applyFill="1" applyBorder="1"/>
    <xf numFmtId="164" fontId="10" fillId="0" borderId="0" xfId="0" applyNumberFormat="1" applyFont="1" applyFill="1" applyBorder="1"/>
    <xf numFmtId="164" fontId="2" fillId="0" borderId="8" xfId="0" applyNumberFormat="1" applyFont="1" applyFill="1" applyBorder="1"/>
    <xf numFmtId="44" fontId="2" fillId="0" borderId="8" xfId="0" applyNumberFormat="1" applyFont="1" applyFill="1" applyBorder="1"/>
    <xf numFmtId="44" fontId="2" fillId="0" borderId="0" xfId="0" applyNumberFormat="1" applyFont="1" applyFill="1" applyBorder="1" applyAlignment="1">
      <alignment horizontal="left"/>
    </xf>
    <xf numFmtId="169" fontId="8" fillId="0" borderId="0" xfId="0" applyNumberFormat="1" applyFont="1" applyFill="1" applyBorder="1"/>
    <xf numFmtId="44" fontId="2" fillId="0" borderId="0" xfId="0" applyNumberFormat="1" applyFont="1" applyFill="1" applyBorder="1"/>
    <xf numFmtId="173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165" fontId="8" fillId="0" borderId="0" xfId="0" applyNumberFormat="1" applyFont="1" applyFill="1" applyBorder="1"/>
    <xf numFmtId="165" fontId="2" fillId="0" borderId="0" xfId="0" applyNumberFormat="1" applyFont="1" applyFill="1" applyBorder="1"/>
    <xf numFmtId="168" fontId="10" fillId="0" borderId="0" xfId="0" applyNumberFormat="1" applyFont="1" applyFill="1" applyBorder="1"/>
    <xf numFmtId="165" fontId="5" fillId="0" borderId="0" xfId="0" applyNumberFormat="1" applyFont="1" applyFill="1" applyBorder="1"/>
    <xf numFmtId="174" fontId="6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75" fontId="6" fillId="0" borderId="0" xfId="0" applyNumberFormat="1" applyFont="1" applyFill="1" applyBorder="1"/>
    <xf numFmtId="0" fontId="2" fillId="0" borderId="7" xfId="0" applyFont="1" applyFill="1" applyBorder="1" applyAlignment="1">
      <alignment horizontal="center" vertical="center" textRotation="180"/>
    </xf>
    <xf numFmtId="0" fontId="2" fillId="0" borderId="5" xfId="0" applyFont="1" applyFill="1" applyBorder="1" applyAlignment="1">
      <alignment horizontal="center" vertical="center" textRotation="180"/>
    </xf>
    <xf numFmtId="0" fontId="2" fillId="0" borderId="6" xfId="0" applyFont="1" applyFill="1" applyBorder="1" applyAlignment="1">
      <alignment horizontal="center" vertical="center" textRotation="180"/>
    </xf>
    <xf numFmtId="0" fontId="5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0" xfId="0" applyFont="1" applyFill="1"/>
    <xf numFmtId="17" fontId="2" fillId="0" borderId="2" xfId="0" applyNumberFormat="1" applyFont="1" applyFill="1" applyBorder="1" applyAlignment="1">
      <alignment horizontal="center"/>
    </xf>
    <xf numFmtId="37" fontId="6" fillId="0" borderId="0" xfId="0" applyNumberFormat="1" applyFont="1" applyFill="1" applyBorder="1"/>
    <xf numFmtId="176" fontId="2" fillId="0" borderId="0" xfId="0" applyNumberFormat="1" applyFont="1" applyFill="1"/>
    <xf numFmtId="176" fontId="2" fillId="0" borderId="0" xfId="0" applyNumberFormat="1" applyFont="1" applyFill="1" applyBorder="1"/>
    <xf numFmtId="37" fontId="2" fillId="0" borderId="8" xfId="0" applyNumberFormat="1" applyFont="1" applyFill="1" applyBorder="1"/>
    <xf numFmtId="37" fontId="2" fillId="0" borderId="0" xfId="0" applyNumberFormat="1" applyFont="1" applyFill="1"/>
    <xf numFmtId="10" fontId="2" fillId="0" borderId="0" xfId="0" applyNumberFormat="1" applyFont="1" applyFill="1"/>
    <xf numFmtId="37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17" fontId="2" fillId="0" borderId="2" xfId="0" applyNumberFormat="1" applyFont="1" applyFill="1" applyBorder="1"/>
    <xf numFmtId="0" fontId="13" fillId="0" borderId="0" xfId="0" applyFont="1" applyFill="1" applyAlignment="1">
      <alignment horizontal="left"/>
    </xf>
    <xf numFmtId="37" fontId="7" fillId="0" borderId="0" xfId="0" applyNumberFormat="1" applyFont="1" applyFill="1" applyBorder="1"/>
    <xf numFmtId="0" fontId="14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38" fontId="14" fillId="0" borderId="0" xfId="0" applyNumberFormat="1" applyFont="1" applyAlignment="1">
      <alignment horizontal="centerContinuous"/>
    </xf>
    <xf numFmtId="38" fontId="14" fillId="0" borderId="0" xfId="0" applyNumberFormat="1" applyFont="1" applyBorder="1" applyAlignment="1">
      <alignment horizontal="centerContinuous"/>
    </xf>
    <xf numFmtId="6" fontId="14" fillId="0" borderId="0" xfId="0" applyNumberFormat="1" applyFont="1" applyAlignment="1">
      <alignment horizontal="centerContinuous"/>
    </xf>
    <xf numFmtId="44" fontId="14" fillId="0" borderId="0" xfId="0" applyNumberFormat="1" applyFont="1" applyAlignment="1">
      <alignment horizontal="centerContinuous"/>
    </xf>
    <xf numFmtId="6" fontId="2" fillId="0" borderId="0" xfId="0" applyNumberFormat="1" applyFont="1"/>
    <xf numFmtId="38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centerContinuous"/>
    </xf>
    <xf numFmtId="44" fontId="2" fillId="0" borderId="0" xfId="0" applyNumberFormat="1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38" fontId="2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Continuous"/>
    </xf>
    <xf numFmtId="44" fontId="13" fillId="0" borderId="2" xfId="0" applyNumberFormat="1" applyFont="1" applyBorder="1" applyAlignment="1">
      <alignment horizontal="centerContinuous"/>
    </xf>
    <xf numFmtId="38" fontId="2" fillId="0" borderId="2" xfId="0" applyNumberFormat="1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8" fontId="2" fillId="0" borderId="0" xfId="0" applyNumberFormat="1" applyFont="1" applyFill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5" fontId="2" fillId="0" borderId="0" xfId="0" applyNumberFormat="1" applyFont="1" applyFill="1" applyAlignment="1">
      <alignment horizontal="right"/>
    </xf>
    <xf numFmtId="44" fontId="2" fillId="0" borderId="0" xfId="0" applyNumberFormat="1" applyFont="1" applyAlignment="1">
      <alignment horizontal="right"/>
    </xf>
    <xf numFmtId="172" fontId="2" fillId="0" borderId="0" xfId="0" applyNumberFormat="1" applyFont="1"/>
    <xf numFmtId="164" fontId="8" fillId="0" borderId="0" xfId="0" applyNumberFormat="1" applyFont="1" applyFill="1"/>
    <xf numFmtId="164" fontId="2" fillId="0" borderId="0" xfId="0" applyNumberFormat="1" applyFont="1" applyFill="1"/>
    <xf numFmtId="172" fontId="2" fillId="0" borderId="0" xfId="0" applyNumberFormat="1" applyFont="1" applyFill="1"/>
    <xf numFmtId="38" fontId="8" fillId="0" borderId="0" xfId="0" applyNumberFormat="1" applyFont="1" applyFill="1" applyAlignment="1">
      <alignment horizontal="right"/>
    </xf>
    <xf numFmtId="38" fontId="9" fillId="0" borderId="0" xfId="0" applyNumberFormat="1" applyFont="1" applyFill="1" applyBorder="1" applyAlignment="1">
      <alignment horizontal="right"/>
    </xf>
    <xf numFmtId="42" fontId="2" fillId="0" borderId="0" xfId="0" applyNumberFormat="1" applyFont="1" applyFill="1" applyAlignment="1">
      <alignment horizontal="right"/>
    </xf>
    <xf numFmtId="44" fontId="2" fillId="0" borderId="0" xfId="0" applyNumberFormat="1" applyFont="1" applyFill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42" fontId="2" fillId="0" borderId="5" xfId="0" applyNumberFormat="1" applyFont="1" applyFill="1" applyBorder="1" applyAlignment="1">
      <alignment horizontal="right"/>
    </xf>
    <xf numFmtId="44" fontId="2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/>
    <xf numFmtId="38" fontId="10" fillId="0" borderId="0" xfId="0" applyNumberFormat="1" applyFont="1" applyFill="1" applyAlignment="1">
      <alignment horizontal="right"/>
    </xf>
    <xf numFmtId="42" fontId="2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38" fontId="2" fillId="0" borderId="5" xfId="0" applyNumberFormat="1" applyFont="1" applyBorder="1" applyAlignment="1">
      <alignment horizontal="right"/>
    </xf>
    <xf numFmtId="42" fontId="2" fillId="0" borderId="5" xfId="0" applyNumberFormat="1" applyFont="1" applyBorder="1" applyAlignment="1">
      <alignment horizontal="right"/>
    </xf>
    <xf numFmtId="38" fontId="2" fillId="0" borderId="0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0" fontId="14" fillId="0" borderId="0" xfId="0" applyFont="1" applyAlignment="1"/>
    <xf numFmtId="38" fontId="14" fillId="0" borderId="0" xfId="0" applyNumberFormat="1" applyFont="1" applyAlignment="1">
      <alignment horizontal="right"/>
    </xf>
    <xf numFmtId="0" fontId="14" fillId="0" borderId="0" xfId="0" applyFont="1" applyBorder="1"/>
    <xf numFmtId="42" fontId="14" fillId="0" borderId="0" xfId="0" applyNumberFormat="1" applyFont="1"/>
    <xf numFmtId="42" fontId="14" fillId="0" borderId="0" xfId="0" applyNumberFormat="1" applyFont="1" applyAlignment="1">
      <alignment horizontal="right"/>
    </xf>
    <xf numFmtId="6" fontId="2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6" fontId="14" fillId="0" borderId="0" xfId="0" applyNumberFormat="1" applyFont="1" applyAlignment="1">
      <alignment horizontal="right"/>
    </xf>
    <xf numFmtId="0" fontId="2" fillId="0" borderId="7" xfId="0" applyFont="1" applyBorder="1" applyAlignment="1">
      <alignment horizontal="left" vertical="center" textRotation="180"/>
    </xf>
    <xf numFmtId="0" fontId="2" fillId="0" borderId="5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76" fontId="10" fillId="0" borderId="0" xfId="0" applyNumberFormat="1" applyFont="1"/>
    <xf numFmtId="164" fontId="16" fillId="0" borderId="0" xfId="0" applyNumberFormat="1" applyFont="1" applyFill="1"/>
    <xf numFmtId="165" fontId="0" fillId="0" borderId="0" xfId="0" applyNumberFormat="1" applyFont="1"/>
    <xf numFmtId="0" fontId="0" fillId="0" borderId="0" xfId="0" applyFill="1" applyBorder="1" applyAlignment="1">
      <alignment horizontal="left"/>
    </xf>
    <xf numFmtId="0" fontId="0" fillId="0" borderId="2" xfId="0" applyBorder="1" applyAlignment="1">
      <alignment horizontal="left"/>
    </xf>
    <xf numFmtId="165" fontId="2" fillId="0" borderId="2" xfId="0" applyNumberFormat="1" applyFont="1" applyBorder="1"/>
    <xf numFmtId="0" fontId="0" fillId="0" borderId="8" xfId="0" applyBorder="1" applyAlignment="1">
      <alignment horizontal="left"/>
    </xf>
    <xf numFmtId="164" fontId="0" fillId="0" borderId="8" xfId="0" applyNumberFormat="1" applyFill="1" applyBorder="1"/>
    <xf numFmtId="176" fontId="2" fillId="0" borderId="8" xfId="0" applyNumberFormat="1" applyFont="1" applyBorder="1"/>
    <xf numFmtId="42" fontId="2" fillId="0" borderId="8" xfId="0" applyNumberFormat="1" applyFont="1" applyBorder="1"/>
    <xf numFmtId="164" fontId="0" fillId="0" borderId="8" xfId="0" applyNumberFormat="1" applyBorder="1"/>
    <xf numFmtId="165" fontId="2" fillId="0" borderId="8" xfId="0" applyNumberFormat="1" applyFont="1" applyBorder="1"/>
    <xf numFmtId="176" fontId="2" fillId="0" borderId="0" xfId="0" applyNumberFormat="1" applyFont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7" xfId="0" applyFont="1" applyFill="1" applyBorder="1" applyAlignment="1">
      <alignment horizontal="left" vertical="center" textRotation="180"/>
    </xf>
    <xf numFmtId="0" fontId="2" fillId="0" borderId="5" xfId="0" applyFont="1" applyFill="1" applyBorder="1" applyAlignment="1">
      <alignment horizontal="left" vertical="center" textRotation="180"/>
    </xf>
    <xf numFmtId="0" fontId="2" fillId="0" borderId="6" xfId="0" applyFont="1" applyFill="1" applyBorder="1" applyAlignment="1">
      <alignment horizontal="left" vertical="center" textRotation="180"/>
    </xf>
    <xf numFmtId="41" fontId="0" fillId="0" borderId="0" xfId="0" applyNumberFormat="1" applyBorder="1"/>
    <xf numFmtId="42" fontId="0" fillId="0" borderId="0" xfId="0" applyNumberFormat="1" applyBorder="1"/>
    <xf numFmtId="177" fontId="0" fillId="0" borderId="0" xfId="0" applyNumberFormat="1"/>
    <xf numFmtId="0" fontId="0" fillId="0" borderId="0" xfId="0" applyFill="1" applyBorder="1"/>
    <xf numFmtId="176" fontId="0" fillId="0" borderId="0" xfId="0" applyNumberFormat="1" applyFill="1"/>
    <xf numFmtId="38" fontId="14" fillId="0" borderId="0" xfId="0" applyNumberFormat="1" applyFont="1" applyAlignment="1">
      <alignment horizontal="left"/>
    </xf>
    <xf numFmtId="0" fontId="11" fillId="0" borderId="0" xfId="0" applyFont="1" applyAlignment="1">
      <alignment horizontal="centerContinuous"/>
    </xf>
    <xf numFmtId="0" fontId="2" fillId="0" borderId="0" xfId="0" applyFont="1" applyBorder="1" applyAlignment="1"/>
    <xf numFmtId="6" fontId="2" fillId="0" borderId="0" xfId="0" applyNumberFormat="1" applyFont="1" applyAlignment="1"/>
    <xf numFmtId="44" fontId="2" fillId="0" borderId="0" xfId="0" applyNumberFormat="1" applyFont="1" applyAlignment="1"/>
    <xf numFmtId="0" fontId="2" fillId="0" borderId="0" xfId="0" applyFont="1" applyFill="1" applyAlignment="1">
      <alignment horizontal="right"/>
    </xf>
    <xf numFmtId="38" fontId="2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38" fontId="9" fillId="0" borderId="0" xfId="0" applyNumberFormat="1" applyFont="1" applyBorder="1" applyAlignment="1">
      <alignment horizontal="right"/>
    </xf>
    <xf numFmtId="42" fontId="2" fillId="0" borderId="0" xfId="0" applyNumberFormat="1" applyFont="1" applyAlignment="1">
      <alignment horizontal="right"/>
    </xf>
    <xf numFmtId="164" fontId="9" fillId="0" borderId="0" xfId="0" applyNumberFormat="1" applyFont="1" applyFill="1"/>
    <xf numFmtId="44" fontId="2" fillId="0" borderId="5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right"/>
    </xf>
    <xf numFmtId="8" fontId="2" fillId="0" borderId="0" xfId="0" applyNumberFormat="1" applyFont="1" applyFill="1"/>
    <xf numFmtId="6" fontId="2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textRotation="180"/>
    </xf>
    <xf numFmtId="0" fontId="5" fillId="0" borderId="0" xfId="0" applyFont="1" applyAlignment="1">
      <alignment horizontal="left" textRotation="180" wrapText="1"/>
    </xf>
    <xf numFmtId="0" fontId="2" fillId="0" borderId="7" xfId="0" applyFont="1" applyBorder="1" applyAlignment="1">
      <alignment horizontal="center" vertical="center" textRotation="180"/>
    </xf>
    <xf numFmtId="0" fontId="2" fillId="0" borderId="5" xfId="0" applyFont="1" applyBorder="1" applyAlignment="1">
      <alignment horizontal="center" vertical="center" textRotation="180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76" fontId="8" fillId="0" borderId="0" xfId="0" applyNumberFormat="1" applyFont="1"/>
    <xf numFmtId="164" fontId="16" fillId="0" borderId="0" xfId="0" applyNumberFormat="1" applyFont="1"/>
    <xf numFmtId="0" fontId="8" fillId="0" borderId="0" xfId="0" applyFont="1" applyAlignment="1">
      <alignment wrapText="1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45</xdr:row>
      <xdr:rowOff>133350</xdr:rowOff>
    </xdr:from>
    <xdr:to>
      <xdr:col>13</xdr:col>
      <xdr:colOff>152400</xdr:colOff>
      <xdr:row>54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020550" y="7534275"/>
          <a:ext cx="514350" cy="1428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27432" tIns="22860" rIns="0" bIns="22860" anchor="b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Advice No. 2017 - 14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Exhibit___(PGA-1)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 1 of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742950</xdr:colOff>
      <xdr:row>38</xdr:row>
      <xdr:rowOff>47625</xdr:rowOff>
    </xdr:from>
    <xdr:to>
      <xdr:col>13</xdr:col>
      <xdr:colOff>590550</xdr:colOff>
      <xdr:row>49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848975" y="6353175"/>
          <a:ext cx="647700" cy="1743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36576" tIns="22860" rIns="0" bIns="22860" anchor="b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Advice No. 2017 - 14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Exhibit___(PGA 3)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Page 1 of 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4Home/JDyer/Unbilled%20Reasonableness/04-2013%20Gas%20Reasonablene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lsea%20Projects/Encogen/Sept%2023%20Review/PSE%20Own%2011-99%20for%20$1yr00noboilerJ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ates/Public/Gas%20GRC%202011/Compliance%20Filing/Mei%20Cass%20Files/2011%20Gas%20COSS%20December%20TY%20Compliance_Me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Mid%20Office/aaa%20Jody%20Test/variance%20to%20budget%20dollar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COS%20Inputs\COS%20Model\ECOS%20Model%20-%20FINAL%20COMPAN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  <sheetName val="SUMMARY (Sum Sales and Trans)"/>
      <sheetName val="SUMMARY (Compliance Filing)"/>
      <sheetName val="SUMMARY (check)"/>
    </sheetNames>
    <sheetDataSet>
      <sheetData sheetId="0" refreshError="1"/>
      <sheetData sheetId="1">
        <row r="11">
          <cell r="C11">
            <v>4</v>
          </cell>
        </row>
        <row r="29">
          <cell r="F29">
            <v>7.8E-2</v>
          </cell>
        </row>
        <row r="31">
          <cell r="F31">
            <v>4.7E-2</v>
          </cell>
        </row>
        <row r="48">
          <cell r="F48">
            <v>0.62148999999999999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"/>
      <sheetName val="2006-07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7"/>
  <sheetViews>
    <sheetView tabSelected="1" zoomScaleNormal="100" workbookViewId="0">
      <pane xSplit="3" ySplit="6" topLeftCell="D7" activePane="bottomRight" state="frozen"/>
      <selection activeCell="J59" sqref="J59"/>
      <selection pane="topRight" activeCell="J59" sqref="J59"/>
      <selection pane="bottomLeft" activeCell="J59" sqref="J59"/>
      <selection pane="bottomRight" activeCell="L16" sqref="L16"/>
    </sheetView>
  </sheetViews>
  <sheetFormatPr defaultRowHeight="12.75" x14ac:dyDescent="0.2"/>
  <cols>
    <col min="1" max="1" width="2.140625" style="3" customWidth="1"/>
    <col min="2" max="2" width="4.42578125" style="3" customWidth="1"/>
    <col min="3" max="3" width="59.42578125" style="3" customWidth="1"/>
    <col min="4" max="4" width="14.42578125" style="3" bestFit="1" customWidth="1"/>
    <col min="5" max="5" width="18.42578125" style="3" bestFit="1" customWidth="1"/>
    <col min="6" max="6" width="11.7109375" style="3" customWidth="1"/>
    <col min="7" max="7" width="14.42578125" style="3" bestFit="1" customWidth="1"/>
    <col min="8" max="8" width="14.140625" style="3" bestFit="1" customWidth="1"/>
    <col min="9" max="9" width="13.42578125" style="3" bestFit="1" customWidth="1"/>
    <col min="10" max="11" width="12.85546875" style="3" bestFit="1" customWidth="1"/>
    <col min="12" max="14" width="3.7109375" style="3" customWidth="1"/>
    <col min="15" max="15" width="3.42578125" style="3" customWidth="1"/>
    <col min="16" max="16" width="3.85546875" style="3" bestFit="1" customWidth="1"/>
    <col min="17" max="17" width="9.140625" style="3"/>
    <col min="18" max="18" width="12" style="3" customWidth="1"/>
    <col min="19" max="16384" width="9.140625" style="3"/>
  </cols>
  <sheetData>
    <row r="1" spans="2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</row>
    <row r="2" spans="2:18" ht="15.75" x14ac:dyDescent="0.25">
      <c r="B2" s="4" t="s">
        <v>168</v>
      </c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</row>
    <row r="3" spans="2:18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</row>
    <row r="4" spans="2:18" x14ac:dyDescent="0.2">
      <c r="B4" s="6"/>
      <c r="C4" s="6"/>
      <c r="D4" s="6"/>
      <c r="L4" s="2"/>
      <c r="M4" s="2"/>
      <c r="N4" s="2"/>
      <c r="O4" s="2"/>
    </row>
    <row r="5" spans="2:18" x14ac:dyDescent="0.2">
      <c r="D5" s="7"/>
      <c r="E5" s="8" t="s">
        <v>2</v>
      </c>
      <c r="F5" s="9"/>
      <c r="G5" s="8" t="s">
        <v>3</v>
      </c>
      <c r="H5" s="8"/>
      <c r="I5" s="10" t="s">
        <v>4</v>
      </c>
      <c r="J5" s="8"/>
      <c r="K5" s="11"/>
      <c r="L5" s="2"/>
      <c r="M5" s="2"/>
      <c r="N5" s="2"/>
      <c r="O5" s="2"/>
    </row>
    <row r="6" spans="2:18" x14ac:dyDescent="0.2">
      <c r="B6" s="12" t="s">
        <v>5</v>
      </c>
      <c r="C6" s="12" t="s">
        <v>6</v>
      </c>
      <c r="D6" s="13" t="s">
        <v>7</v>
      </c>
      <c r="E6" s="14">
        <v>23</v>
      </c>
      <c r="F6" s="15">
        <v>16</v>
      </c>
      <c r="G6" s="14">
        <v>31</v>
      </c>
      <c r="H6" s="16">
        <v>41</v>
      </c>
      <c r="I6" s="17">
        <v>85</v>
      </c>
      <c r="J6" s="16">
        <v>86</v>
      </c>
      <c r="K6" s="16">
        <v>87</v>
      </c>
      <c r="L6" s="2"/>
      <c r="M6" s="18"/>
      <c r="N6" s="18"/>
      <c r="O6" s="18"/>
    </row>
    <row r="7" spans="2:18" x14ac:dyDescent="0.2">
      <c r="B7" s="19"/>
      <c r="C7" s="20" t="s">
        <v>8</v>
      </c>
      <c r="D7" s="19"/>
      <c r="E7" s="19"/>
      <c r="F7" s="19"/>
      <c r="G7" s="21"/>
      <c r="H7" s="19"/>
      <c r="I7" s="19"/>
      <c r="J7" s="19"/>
      <c r="K7" s="19"/>
      <c r="L7" s="2"/>
      <c r="M7" s="18"/>
      <c r="N7" s="18"/>
      <c r="O7" s="18"/>
    </row>
    <row r="8" spans="2:18" x14ac:dyDescent="0.2">
      <c r="B8" s="22">
        <v>1</v>
      </c>
      <c r="C8" s="3" t="s">
        <v>9</v>
      </c>
      <c r="D8" s="19"/>
      <c r="E8" s="19"/>
      <c r="F8" s="19"/>
      <c r="G8" s="21"/>
      <c r="H8" s="23">
        <v>1</v>
      </c>
      <c r="I8" s="23">
        <v>1</v>
      </c>
      <c r="J8" s="23">
        <v>1</v>
      </c>
      <c r="K8" s="23">
        <v>1</v>
      </c>
      <c r="L8" s="2"/>
      <c r="M8" s="18"/>
      <c r="N8" s="18"/>
      <c r="O8" s="18"/>
    </row>
    <row r="9" spans="2:18" x14ac:dyDescent="0.2">
      <c r="B9" s="22">
        <f>B8+1</f>
        <v>2</v>
      </c>
      <c r="C9" s="3" t="s">
        <v>10</v>
      </c>
      <c r="D9" s="24"/>
      <c r="E9" s="25">
        <v>0.13228999999999999</v>
      </c>
      <c r="F9" s="26">
        <v>0.13228999999999999</v>
      </c>
      <c r="G9" s="26">
        <v>0.12592999999999999</v>
      </c>
      <c r="H9" s="26">
        <v>4.5359999999999998E-2</v>
      </c>
      <c r="I9" s="26">
        <v>7.5689999999999993E-2</v>
      </c>
      <c r="J9" s="26">
        <v>8.1129999999999994E-2</v>
      </c>
      <c r="K9" s="26">
        <v>7.8700000000000006E-2</v>
      </c>
      <c r="L9" s="2"/>
      <c r="M9" s="18"/>
      <c r="N9" s="18"/>
      <c r="O9" s="18"/>
    </row>
    <row r="10" spans="2:18" x14ac:dyDescent="0.2">
      <c r="B10" s="22">
        <f>B9+1</f>
        <v>3</v>
      </c>
      <c r="C10" s="3" t="s">
        <v>11</v>
      </c>
      <c r="D10" s="27">
        <f>SUM(E10:K10)</f>
        <v>3849216</v>
      </c>
      <c r="F10" s="28"/>
      <c r="H10" s="29">
        <f>ROUND(305864*12,0)</f>
        <v>3670368</v>
      </c>
      <c r="I10" s="30">
        <f>ROUND(8468*12,0)</f>
        <v>101616</v>
      </c>
      <c r="J10" s="30">
        <f>ROUND(6436*12,0)</f>
        <v>77232</v>
      </c>
      <c r="K10" s="30">
        <f>ROUND(0*12,0)</f>
        <v>0</v>
      </c>
      <c r="L10" s="2"/>
      <c r="M10" s="18"/>
      <c r="N10" s="18"/>
      <c r="O10" s="18"/>
      <c r="R10" s="31"/>
    </row>
    <row r="11" spans="2:18" x14ac:dyDescent="0.2">
      <c r="B11" s="22">
        <f>B10+1</f>
        <v>4</v>
      </c>
      <c r="C11" s="3" t="s">
        <v>12</v>
      </c>
      <c r="D11" s="32">
        <f>SUM(E11:K11)</f>
        <v>953859187</v>
      </c>
      <c r="E11" s="33">
        <f>'Forecast PGA-3'!C20</f>
        <v>607149561</v>
      </c>
      <c r="F11" s="33">
        <f>'Forecast PGA-3'!D20</f>
        <v>13738</v>
      </c>
      <c r="G11" s="33">
        <f>'Forecast PGA-3'!E20</f>
        <v>231908804</v>
      </c>
      <c r="H11" s="33">
        <f>'Forecast PGA-3'!F20</f>
        <v>67177571</v>
      </c>
      <c r="I11" s="33">
        <f>'Forecast PGA-3'!G20</f>
        <v>17913519</v>
      </c>
      <c r="J11" s="33">
        <f>'Forecast PGA-3'!H20</f>
        <v>8625159</v>
      </c>
      <c r="K11" s="33">
        <f>'Forecast PGA-3'!I20</f>
        <v>21070835</v>
      </c>
      <c r="L11" s="2"/>
      <c r="M11" s="18"/>
      <c r="N11" s="18"/>
      <c r="O11" s="18"/>
      <c r="R11" s="31"/>
    </row>
    <row r="12" spans="2:18" x14ac:dyDescent="0.2">
      <c r="B12" s="22"/>
      <c r="D12" s="32"/>
      <c r="E12" s="34"/>
      <c r="F12" s="34"/>
      <c r="G12" s="34"/>
      <c r="H12" s="34"/>
      <c r="I12" s="34"/>
      <c r="J12" s="34"/>
      <c r="K12" s="34"/>
      <c r="L12" s="2"/>
      <c r="M12" s="18"/>
      <c r="N12" s="18"/>
      <c r="O12" s="18"/>
      <c r="R12" s="31"/>
    </row>
    <row r="13" spans="2:18" x14ac:dyDescent="0.2">
      <c r="B13" s="22">
        <f>B11+1</f>
        <v>5</v>
      </c>
      <c r="C13" s="3" t="s">
        <v>13</v>
      </c>
      <c r="D13" s="35"/>
      <c r="E13" s="35">
        <v>0.13101480759517126</v>
      </c>
      <c r="F13" s="35">
        <v>0.13101480759517126</v>
      </c>
      <c r="G13" s="35">
        <v>0.12471608965842278</v>
      </c>
      <c r="H13" s="35">
        <v>9.6640246699616919E-2</v>
      </c>
      <c r="I13" s="35">
        <v>8.01746941725891E-2</v>
      </c>
      <c r="J13" s="35">
        <v>8.8629899588895819E-2</v>
      </c>
      <c r="K13" s="35">
        <v>7.7938765514146011E-2</v>
      </c>
      <c r="L13" s="2"/>
      <c r="M13" s="18"/>
      <c r="N13" s="18"/>
      <c r="O13" s="18"/>
      <c r="R13" s="31"/>
    </row>
    <row r="14" spans="2:18" x14ac:dyDescent="0.2">
      <c r="B14" s="22">
        <f>B13+1</f>
        <v>6</v>
      </c>
      <c r="C14" s="3" t="s">
        <v>14</v>
      </c>
      <c r="D14" s="36">
        <f>SUM(E14:K14)</f>
        <v>118805091.77543746</v>
      </c>
      <c r="E14" s="36">
        <f>E11*E13</f>
        <v>79545582.915907696</v>
      </c>
      <c r="F14" s="36">
        <f t="shared" ref="F14:K14" si="0">F11*F13</f>
        <v>1799.8814267424627</v>
      </c>
      <c r="G14" s="36">
        <f t="shared" si="0"/>
        <v>28922759.192241594</v>
      </c>
      <c r="H14" s="36">
        <f t="shared" si="0"/>
        <v>6492057.0341210309</v>
      </c>
      <c r="I14" s="36">
        <f t="shared" si="0"/>
        <v>1436210.907379864</v>
      </c>
      <c r="J14" s="36">
        <f t="shared" si="0"/>
        <v>764446.97610826103</v>
      </c>
      <c r="K14" s="36">
        <f t="shared" si="0"/>
        <v>1642234.8682522608</v>
      </c>
      <c r="L14" s="2"/>
      <c r="M14" s="18"/>
      <c r="N14" s="18"/>
      <c r="O14" s="18"/>
      <c r="R14" s="31"/>
    </row>
    <row r="15" spans="2:18" x14ac:dyDescent="0.2">
      <c r="B15" s="22"/>
      <c r="F15" s="37"/>
      <c r="L15" s="2"/>
      <c r="M15" s="18"/>
      <c r="N15" s="18"/>
      <c r="O15" s="18"/>
      <c r="R15" s="31"/>
    </row>
    <row r="16" spans="2:18" x14ac:dyDescent="0.2">
      <c r="B16" s="22">
        <f>B14+1</f>
        <v>7</v>
      </c>
      <c r="C16" s="3" t="s">
        <v>15</v>
      </c>
      <c r="D16" s="38">
        <v>115006020.16508956</v>
      </c>
      <c r="E16" s="36">
        <f>$D16*(E14/$D14)</f>
        <v>77001926.231936529</v>
      </c>
      <c r="F16" s="36">
        <f>$D16*(F14/$D14)</f>
        <v>1742.3259943266994</v>
      </c>
      <c r="G16" s="36">
        <f t="shared" ref="G16:K16" si="1">$D16*(G14/$D14)</f>
        <v>27997886.093806844</v>
      </c>
      <c r="H16" s="36">
        <f t="shared" si="1"/>
        <v>6284458.275494528</v>
      </c>
      <c r="I16" s="36">
        <f t="shared" si="1"/>
        <v>1390284.693249142</v>
      </c>
      <c r="J16" s="36">
        <f t="shared" si="1"/>
        <v>740001.99011356465</v>
      </c>
      <c r="K16" s="36">
        <f t="shared" si="1"/>
        <v>1589720.5544946205</v>
      </c>
      <c r="L16" s="2"/>
      <c r="M16" s="18"/>
      <c r="N16" s="18"/>
      <c r="O16" s="18"/>
      <c r="R16" s="31"/>
    </row>
    <row r="17" spans="2:18" x14ac:dyDescent="0.2">
      <c r="B17" s="22">
        <f>B16+1</f>
        <v>8</v>
      </c>
      <c r="C17" s="3" t="s">
        <v>16</v>
      </c>
      <c r="D17" s="39">
        <f>SUM(E17:K17)</f>
        <v>1</v>
      </c>
      <c r="E17" s="39">
        <f>E16/$D$16</f>
        <v>0.66954691694748958</v>
      </c>
      <c r="F17" s="39">
        <f t="shared" ref="F17:K17" si="2">F16/$D$16</f>
        <v>1.5149867735842128E-5</v>
      </c>
      <c r="G17" s="39">
        <f t="shared" si="2"/>
        <v>0.24344713479882413</v>
      </c>
      <c r="H17" s="39">
        <f t="shared" si="2"/>
        <v>5.4644602660567462E-2</v>
      </c>
      <c r="I17" s="39">
        <f t="shared" si="2"/>
        <v>1.2088799275493643E-2</v>
      </c>
      <c r="J17" s="39">
        <f t="shared" si="2"/>
        <v>6.4344630746399362E-3</v>
      </c>
      <c r="K17" s="39">
        <f t="shared" si="2"/>
        <v>1.3822933375249386E-2</v>
      </c>
      <c r="L17" s="2"/>
      <c r="M17" s="18"/>
      <c r="N17" s="18"/>
      <c r="O17" s="18"/>
      <c r="R17" s="31"/>
    </row>
    <row r="18" spans="2:18" x14ac:dyDescent="0.2">
      <c r="B18" s="22"/>
      <c r="L18" s="2"/>
      <c r="M18" s="18"/>
      <c r="N18" s="18"/>
      <c r="O18" s="18"/>
      <c r="R18" s="31"/>
    </row>
    <row r="19" spans="2:18" x14ac:dyDescent="0.2">
      <c r="B19" s="22">
        <f>B17+1</f>
        <v>9</v>
      </c>
      <c r="C19" s="3" t="s">
        <v>17</v>
      </c>
      <c r="E19" s="40"/>
      <c r="F19" s="40"/>
      <c r="G19" s="40"/>
      <c r="H19" s="41">
        <v>1</v>
      </c>
      <c r="I19" s="41">
        <v>1</v>
      </c>
      <c r="J19" s="41">
        <v>1</v>
      </c>
      <c r="K19" s="41">
        <v>1</v>
      </c>
      <c r="L19" s="2"/>
      <c r="M19" s="18"/>
      <c r="N19" s="18"/>
      <c r="O19" s="18"/>
      <c r="R19" s="31"/>
    </row>
    <row r="20" spans="2:18" x14ac:dyDescent="0.2">
      <c r="B20" s="22">
        <f>B19+1</f>
        <v>10</v>
      </c>
      <c r="C20" s="3" t="s">
        <v>18</v>
      </c>
      <c r="D20" s="36">
        <f>SUM(E20:K20)</f>
        <v>3849216</v>
      </c>
      <c r="H20" s="36">
        <f>H19*H10</f>
        <v>3670368</v>
      </c>
      <c r="I20" s="36">
        <f t="shared" ref="I20:K20" si="3">I19*I10</f>
        <v>101616</v>
      </c>
      <c r="J20" s="36">
        <f t="shared" si="3"/>
        <v>77232</v>
      </c>
      <c r="K20" s="36">
        <f t="shared" si="3"/>
        <v>0</v>
      </c>
      <c r="L20" s="2"/>
      <c r="M20" s="18"/>
      <c r="N20" s="18"/>
      <c r="O20" s="18"/>
      <c r="R20" s="31"/>
    </row>
    <row r="21" spans="2:18" x14ac:dyDescent="0.2">
      <c r="B21" s="22"/>
      <c r="L21" s="2"/>
      <c r="M21" s="18"/>
      <c r="N21" s="18"/>
      <c r="O21" s="18"/>
      <c r="R21" s="31"/>
    </row>
    <row r="22" spans="2:18" x14ac:dyDescent="0.2">
      <c r="B22" s="22">
        <f>B20+1</f>
        <v>11</v>
      </c>
      <c r="C22" s="6" t="s">
        <v>19</v>
      </c>
      <c r="D22" s="36">
        <f>SUM(E22:K22)</f>
        <v>111156804.16508956</v>
      </c>
      <c r="E22" s="36">
        <f>E16-E20</f>
        <v>77001926.231936529</v>
      </c>
      <c r="F22" s="36">
        <f t="shared" ref="F22:K22" si="4">F16-F20</f>
        <v>1742.3259943266994</v>
      </c>
      <c r="G22" s="36">
        <f t="shared" si="4"/>
        <v>27997886.093806844</v>
      </c>
      <c r="H22" s="36">
        <f t="shared" si="4"/>
        <v>2614090.275494528</v>
      </c>
      <c r="I22" s="36">
        <f t="shared" si="4"/>
        <v>1288668.693249142</v>
      </c>
      <c r="J22" s="36">
        <f t="shared" si="4"/>
        <v>662769.99011356465</v>
      </c>
      <c r="K22" s="36">
        <f t="shared" si="4"/>
        <v>1589720.5544946205</v>
      </c>
      <c r="L22" s="2"/>
      <c r="M22" s="18"/>
      <c r="N22" s="18"/>
      <c r="O22" s="18"/>
      <c r="R22" s="31"/>
    </row>
    <row r="23" spans="2:18" x14ac:dyDescent="0.2">
      <c r="B23" s="22">
        <f>B22+1</f>
        <v>12</v>
      </c>
      <c r="C23" s="6" t="s">
        <v>20</v>
      </c>
      <c r="E23" s="42">
        <f>ROUND(E22/E11,5)</f>
        <v>0.12683</v>
      </c>
      <c r="F23" s="42">
        <f t="shared" ref="F23:K23" si="5">ROUND(F22/F11,5)</f>
        <v>0.12683</v>
      </c>
      <c r="G23" s="42">
        <f t="shared" si="5"/>
        <v>0.12073</v>
      </c>
      <c r="H23" s="42">
        <f t="shared" si="5"/>
        <v>3.891E-2</v>
      </c>
      <c r="I23" s="42">
        <f t="shared" si="5"/>
        <v>7.1940000000000004E-2</v>
      </c>
      <c r="J23" s="42">
        <f t="shared" si="5"/>
        <v>7.6840000000000006E-2</v>
      </c>
      <c r="K23" s="42">
        <f t="shared" si="5"/>
        <v>7.5450000000000003E-2</v>
      </c>
      <c r="L23" s="2"/>
      <c r="M23" s="18"/>
      <c r="N23" s="18"/>
      <c r="O23" s="18"/>
      <c r="R23" s="31"/>
    </row>
    <row r="24" spans="2:18" x14ac:dyDescent="0.2">
      <c r="B24" s="22">
        <f>B23+1</f>
        <v>13</v>
      </c>
      <c r="C24" s="3" t="s">
        <v>21</v>
      </c>
      <c r="F24" s="37">
        <f>ROUND(F23*19,2)</f>
        <v>2.41</v>
      </c>
      <c r="L24" s="2"/>
      <c r="M24" s="18"/>
      <c r="N24" s="18"/>
      <c r="O24" s="18"/>
      <c r="R24" s="31"/>
    </row>
    <row r="25" spans="2:18" x14ac:dyDescent="0.2">
      <c r="B25" s="22"/>
      <c r="F25" s="37"/>
      <c r="L25" s="2"/>
      <c r="M25" s="18"/>
      <c r="N25" s="18"/>
      <c r="O25" s="18"/>
      <c r="R25" s="31"/>
    </row>
    <row r="26" spans="2:18" x14ac:dyDescent="0.2">
      <c r="B26" s="22">
        <f>B24+1</f>
        <v>14</v>
      </c>
      <c r="C26" s="3" t="s">
        <v>22</v>
      </c>
      <c r="D26" s="36">
        <f>SUM(E26:K26)</f>
        <v>115009216.68187</v>
      </c>
      <c r="E26" s="36">
        <f>(E23*E11)+(E19*E10)</f>
        <v>77004778.821630001</v>
      </c>
      <c r="F26" s="36">
        <f t="shared" ref="F26:K26" si="6">(F23*F11)+(F19*F10)</f>
        <v>1742.3905399999999</v>
      </c>
      <c r="G26" s="36">
        <f t="shared" si="6"/>
        <v>27998349.906920001</v>
      </c>
      <c r="H26" s="36">
        <f t="shared" si="6"/>
        <v>6284247.28761</v>
      </c>
      <c r="I26" s="36">
        <f t="shared" si="6"/>
        <v>1390314.5568600001</v>
      </c>
      <c r="J26" s="36">
        <f t="shared" si="6"/>
        <v>739989.21756000002</v>
      </c>
      <c r="K26" s="36">
        <f t="shared" si="6"/>
        <v>1589794.5007500001</v>
      </c>
      <c r="L26" s="2"/>
      <c r="M26" s="18"/>
      <c r="N26" s="18"/>
      <c r="O26" s="18"/>
      <c r="R26" s="31"/>
    </row>
    <row r="27" spans="2:18" x14ac:dyDescent="0.2">
      <c r="B27" s="22">
        <f>B26+1</f>
        <v>15</v>
      </c>
      <c r="C27" s="6" t="s">
        <v>23</v>
      </c>
      <c r="D27" s="24"/>
      <c r="E27" s="43">
        <f>ROUND(E23-E9,5)</f>
        <v>-5.4599999999999996E-3</v>
      </c>
      <c r="F27" s="43">
        <f t="shared" ref="F27:K27" si="7">ROUND(F23-F9,5)</f>
        <v>-5.4599999999999996E-3</v>
      </c>
      <c r="G27" s="43">
        <f t="shared" si="7"/>
        <v>-5.1999999999999998E-3</v>
      </c>
      <c r="H27" s="43">
        <f t="shared" si="7"/>
        <v>-6.45E-3</v>
      </c>
      <c r="I27" s="43">
        <f t="shared" si="7"/>
        <v>-3.7499999999999999E-3</v>
      </c>
      <c r="J27" s="43">
        <f t="shared" si="7"/>
        <v>-4.2900000000000004E-3</v>
      </c>
      <c r="K27" s="43">
        <f t="shared" si="7"/>
        <v>-3.2499999999999999E-3</v>
      </c>
      <c r="L27" s="2"/>
      <c r="M27" s="18"/>
      <c r="N27" s="18"/>
      <c r="O27" s="18"/>
      <c r="R27" s="31"/>
    </row>
    <row r="28" spans="2:18" x14ac:dyDescent="0.2">
      <c r="B28" s="22">
        <f>B27+1</f>
        <v>16</v>
      </c>
      <c r="C28" s="6" t="s">
        <v>24</v>
      </c>
      <c r="D28" s="6"/>
      <c r="E28" s="44">
        <f>E27/E9</f>
        <v>-4.1272960919192685E-2</v>
      </c>
      <c r="F28" s="44">
        <f t="shared" ref="F28:K28" si="8">F27/F9</f>
        <v>-4.1272960919192685E-2</v>
      </c>
      <c r="G28" s="44">
        <f t="shared" si="8"/>
        <v>-4.1292781704121338E-2</v>
      </c>
      <c r="H28" s="44">
        <f t="shared" si="8"/>
        <v>-0.14219576719576721</v>
      </c>
      <c r="I28" s="44">
        <f t="shared" si="8"/>
        <v>-4.9544193420531117E-2</v>
      </c>
      <c r="J28" s="44">
        <f t="shared" si="8"/>
        <v>-5.2878096881548139E-2</v>
      </c>
      <c r="K28" s="44">
        <f t="shared" si="8"/>
        <v>-4.1296060991105457E-2</v>
      </c>
      <c r="L28" s="2"/>
      <c r="M28" s="18"/>
      <c r="N28" s="18"/>
      <c r="O28" s="18"/>
      <c r="R28" s="31"/>
    </row>
    <row r="29" spans="2:18" x14ac:dyDescent="0.2">
      <c r="D29" s="36"/>
    </row>
    <row r="30" spans="2:18" x14ac:dyDescent="0.2">
      <c r="C30" s="40" t="s">
        <v>25</v>
      </c>
      <c r="L30" s="2"/>
      <c r="M30" s="2"/>
      <c r="N30" s="2"/>
      <c r="O30" s="2"/>
    </row>
    <row r="31" spans="2:18" x14ac:dyDescent="0.2">
      <c r="B31" s="3">
        <f>B28+1</f>
        <v>17</v>
      </c>
      <c r="C31" s="3" t="s">
        <v>26</v>
      </c>
      <c r="E31" s="26">
        <v>0.26661000000000001</v>
      </c>
      <c r="F31" s="45">
        <f t="shared" ref="F31:K31" si="9">$E31</f>
        <v>0.26661000000000001</v>
      </c>
      <c r="G31" s="45">
        <f t="shared" si="9"/>
        <v>0.26661000000000001</v>
      </c>
      <c r="H31" s="45">
        <f t="shared" si="9"/>
        <v>0.26661000000000001</v>
      </c>
      <c r="I31" s="45">
        <f t="shared" si="9"/>
        <v>0.26661000000000001</v>
      </c>
      <c r="J31" s="45">
        <f t="shared" si="9"/>
        <v>0.26661000000000001</v>
      </c>
      <c r="K31" s="45">
        <f t="shared" si="9"/>
        <v>0.26661000000000001</v>
      </c>
      <c r="L31" s="2"/>
      <c r="M31" s="2"/>
      <c r="N31" s="2"/>
      <c r="O31" s="2"/>
    </row>
    <row r="32" spans="2:18" x14ac:dyDescent="0.2">
      <c r="B32" s="3">
        <f>B31+1</f>
        <v>18</v>
      </c>
      <c r="C32" s="3" t="str">
        <f>+C11</f>
        <v>Projected Volume Nov. 17 - Oct. 18 (therms)</v>
      </c>
      <c r="D32" s="32">
        <f>SUM(E32:K32)</f>
        <v>953859187</v>
      </c>
      <c r="E32" s="32">
        <f t="shared" ref="E32:K32" si="10">E11</f>
        <v>607149561</v>
      </c>
      <c r="F32" s="32">
        <f t="shared" si="10"/>
        <v>13738</v>
      </c>
      <c r="G32" s="32">
        <f t="shared" si="10"/>
        <v>231908804</v>
      </c>
      <c r="H32" s="32">
        <f t="shared" si="10"/>
        <v>67177571</v>
      </c>
      <c r="I32" s="32">
        <f t="shared" si="10"/>
        <v>17913519</v>
      </c>
      <c r="J32" s="32">
        <f t="shared" si="10"/>
        <v>8625159</v>
      </c>
      <c r="K32" s="32">
        <f t="shared" si="10"/>
        <v>21070835</v>
      </c>
      <c r="L32" s="2"/>
      <c r="M32" s="2"/>
      <c r="N32" s="2"/>
      <c r="O32" s="2"/>
    </row>
    <row r="33" spans="2:19" x14ac:dyDescent="0.2">
      <c r="B33" s="3">
        <f>B32+1</f>
        <v>19</v>
      </c>
      <c r="C33" s="3" t="s">
        <v>27</v>
      </c>
      <c r="D33" s="36">
        <f>SUM(E33:K33)</f>
        <v>254308397.84607002</v>
      </c>
      <c r="E33" s="36">
        <f>E31*E32</f>
        <v>161872144.45821002</v>
      </c>
      <c r="F33" s="36">
        <f t="shared" ref="F33:K33" si="11">F31*F32</f>
        <v>3662.6881800000001</v>
      </c>
      <c r="G33" s="36">
        <f t="shared" si="11"/>
        <v>61829206.234440006</v>
      </c>
      <c r="H33" s="36">
        <f t="shared" si="11"/>
        <v>17910212.20431</v>
      </c>
      <c r="I33" s="36">
        <f t="shared" si="11"/>
        <v>4775923.3005900001</v>
      </c>
      <c r="J33" s="36">
        <f t="shared" si="11"/>
        <v>2299553.6409900002</v>
      </c>
      <c r="K33" s="36">
        <f t="shared" si="11"/>
        <v>5617695.3193500005</v>
      </c>
      <c r="L33" s="2"/>
      <c r="M33" s="2"/>
      <c r="N33" s="2"/>
      <c r="O33" s="2"/>
    </row>
    <row r="34" spans="2:19" x14ac:dyDescent="0.2">
      <c r="D34" s="36"/>
      <c r="E34" s="36"/>
      <c r="F34" s="36"/>
      <c r="G34" s="36"/>
      <c r="H34" s="36"/>
      <c r="I34" s="36"/>
      <c r="J34" s="36"/>
      <c r="K34" s="36"/>
      <c r="L34" s="2"/>
      <c r="M34" s="2"/>
      <c r="N34" s="2"/>
      <c r="O34" s="2"/>
    </row>
    <row r="35" spans="2:19" x14ac:dyDescent="0.2">
      <c r="B35" s="3">
        <f>B33+1</f>
        <v>20</v>
      </c>
      <c r="C35" s="3" t="s">
        <v>28</v>
      </c>
      <c r="D35" s="46">
        <v>229579578.385068</v>
      </c>
      <c r="E35" s="36"/>
      <c r="F35" s="36"/>
      <c r="G35" s="36"/>
      <c r="H35" s="36"/>
      <c r="I35" s="36"/>
      <c r="J35" s="36"/>
      <c r="K35" s="36"/>
      <c r="L35" s="2"/>
      <c r="M35" s="2"/>
      <c r="N35" s="2"/>
      <c r="O35" s="2"/>
    </row>
    <row r="36" spans="2:19" x14ac:dyDescent="0.2">
      <c r="B36" s="3">
        <f>B35+1</f>
        <v>21</v>
      </c>
      <c r="C36" s="6" t="s">
        <v>29</v>
      </c>
      <c r="D36" s="45">
        <f>ROUND(D35/D32,5)</f>
        <v>0.24068000000000001</v>
      </c>
      <c r="E36" s="45">
        <f>$D$36</f>
        <v>0.24068000000000001</v>
      </c>
      <c r="F36" s="45">
        <f t="shared" ref="F36:K36" si="12">$D$36</f>
        <v>0.24068000000000001</v>
      </c>
      <c r="G36" s="45">
        <f t="shared" si="12"/>
        <v>0.24068000000000001</v>
      </c>
      <c r="H36" s="45">
        <f t="shared" si="12"/>
        <v>0.24068000000000001</v>
      </c>
      <c r="I36" s="45">
        <f t="shared" si="12"/>
        <v>0.24068000000000001</v>
      </c>
      <c r="J36" s="45">
        <f t="shared" si="12"/>
        <v>0.24068000000000001</v>
      </c>
      <c r="K36" s="45">
        <f t="shared" si="12"/>
        <v>0.24068000000000001</v>
      </c>
      <c r="L36" s="2"/>
      <c r="M36" s="2"/>
      <c r="N36" s="2"/>
      <c r="O36" s="2"/>
      <c r="R36" s="47"/>
      <c r="S36" s="48"/>
    </row>
    <row r="37" spans="2:19" x14ac:dyDescent="0.2">
      <c r="B37" s="3">
        <f>B36+1</f>
        <v>22</v>
      </c>
      <c r="C37" s="6" t="s">
        <v>30</v>
      </c>
      <c r="D37" s="49">
        <f>SUM(E37:K37)</f>
        <v>229574829</v>
      </c>
      <c r="E37" s="36">
        <f>ROUND(E32*E36,0)</f>
        <v>146128756</v>
      </c>
      <c r="F37" s="36">
        <f t="shared" ref="F37:K37" si="13">ROUND(F32*F36,0)</f>
        <v>3306</v>
      </c>
      <c r="G37" s="36">
        <f t="shared" si="13"/>
        <v>55815811</v>
      </c>
      <c r="H37" s="36">
        <f t="shared" si="13"/>
        <v>16168298</v>
      </c>
      <c r="I37" s="36">
        <f t="shared" si="13"/>
        <v>4311426</v>
      </c>
      <c r="J37" s="36">
        <f t="shared" si="13"/>
        <v>2075903</v>
      </c>
      <c r="K37" s="36">
        <f t="shared" si="13"/>
        <v>5071329</v>
      </c>
      <c r="L37" s="2"/>
      <c r="M37" s="2"/>
      <c r="N37" s="2"/>
      <c r="O37" s="2"/>
    </row>
    <row r="38" spans="2:19" x14ac:dyDescent="0.2">
      <c r="B38" s="3">
        <f>B37+1</f>
        <v>23</v>
      </c>
      <c r="C38" s="6" t="s">
        <v>31</v>
      </c>
      <c r="D38" s="6"/>
      <c r="F38" s="50">
        <f>ROUND(F36*19,2)</f>
        <v>4.57</v>
      </c>
      <c r="L38" s="2"/>
      <c r="M38" s="2"/>
      <c r="N38" s="2"/>
      <c r="O38" s="2"/>
    </row>
    <row r="39" spans="2:19" x14ac:dyDescent="0.2">
      <c r="B39" s="22">
        <f>B38+1</f>
        <v>24</v>
      </c>
      <c r="C39" s="6" t="s">
        <v>32</v>
      </c>
      <c r="D39" s="6"/>
      <c r="E39" s="47">
        <f>E36-E31</f>
        <v>-2.5930000000000009E-2</v>
      </c>
      <c r="F39" s="47">
        <f>F36-F31</f>
        <v>-2.5930000000000009E-2</v>
      </c>
      <c r="G39" s="47">
        <f t="shared" ref="G39:K39" si="14">G36-G31</f>
        <v>-2.5930000000000009E-2</v>
      </c>
      <c r="H39" s="47">
        <f t="shared" si="14"/>
        <v>-2.5930000000000009E-2</v>
      </c>
      <c r="I39" s="47">
        <f t="shared" si="14"/>
        <v>-2.5930000000000009E-2</v>
      </c>
      <c r="J39" s="47">
        <f t="shared" si="14"/>
        <v>-2.5930000000000009E-2</v>
      </c>
      <c r="K39" s="47">
        <f t="shared" si="14"/>
        <v>-2.5930000000000009E-2</v>
      </c>
      <c r="L39" s="2"/>
      <c r="M39" s="2"/>
      <c r="N39" s="2"/>
      <c r="O39" s="2"/>
    </row>
    <row r="40" spans="2:19" x14ac:dyDescent="0.2">
      <c r="B40" s="22">
        <f>B39+1</f>
        <v>25</v>
      </c>
      <c r="C40" s="3" t="s">
        <v>33</v>
      </c>
      <c r="E40" s="39">
        <f t="shared" ref="E40:K40" si="15">E39/E31</f>
        <v>-9.7258167360564141E-2</v>
      </c>
      <c r="F40" s="39">
        <f t="shared" si="15"/>
        <v>-9.7258167360564141E-2</v>
      </c>
      <c r="G40" s="39">
        <f t="shared" si="15"/>
        <v>-9.7258167360564141E-2</v>
      </c>
      <c r="H40" s="39">
        <f t="shared" si="15"/>
        <v>-9.7258167360564141E-2</v>
      </c>
      <c r="I40" s="39">
        <f t="shared" si="15"/>
        <v>-9.7258167360564141E-2</v>
      </c>
      <c r="J40" s="39">
        <f t="shared" si="15"/>
        <v>-9.7258167360564141E-2</v>
      </c>
      <c r="K40" s="39">
        <f t="shared" si="15"/>
        <v>-9.7258167360564141E-2</v>
      </c>
      <c r="L40" s="2"/>
      <c r="M40" s="2"/>
      <c r="N40" s="2"/>
      <c r="O40" s="2"/>
    </row>
    <row r="42" spans="2:19" ht="12.75" customHeight="1" x14ac:dyDescent="0.2">
      <c r="C42" s="40" t="s">
        <v>34</v>
      </c>
      <c r="L42" s="2"/>
      <c r="M42" s="51"/>
      <c r="N42" s="51"/>
      <c r="O42" s="51"/>
      <c r="P42" s="52"/>
      <c r="Q42" s="53"/>
      <c r="R42" s="53"/>
      <c r="S42" s="53"/>
    </row>
    <row r="43" spans="2:19" ht="12.75" customHeight="1" x14ac:dyDescent="0.2">
      <c r="B43" s="3">
        <f>B40+1</f>
        <v>26</v>
      </c>
      <c r="C43" s="3" t="s">
        <v>35</v>
      </c>
      <c r="E43" s="37">
        <f t="shared" ref="E43:G43" si="16">E19</f>
        <v>0</v>
      </c>
      <c r="F43" s="37">
        <f t="shared" si="16"/>
        <v>0</v>
      </c>
      <c r="G43" s="37">
        <f t="shared" si="16"/>
        <v>0</v>
      </c>
      <c r="H43" s="37">
        <f>H19</f>
        <v>1</v>
      </c>
      <c r="I43" s="37">
        <f t="shared" ref="I43:K43" si="17">I19</f>
        <v>1</v>
      </c>
      <c r="J43" s="37">
        <f t="shared" si="17"/>
        <v>1</v>
      </c>
      <c r="K43" s="37">
        <f t="shared" si="17"/>
        <v>1</v>
      </c>
      <c r="L43" s="2"/>
      <c r="M43" s="51"/>
      <c r="N43" s="51"/>
      <c r="O43" s="51"/>
      <c r="P43" s="52"/>
      <c r="Q43" s="53"/>
      <c r="R43" s="53"/>
      <c r="S43" s="53"/>
    </row>
    <row r="44" spans="2:19" ht="12.75" customHeight="1" x14ac:dyDescent="0.2">
      <c r="B44" s="22">
        <f>B43+1</f>
        <v>27</v>
      </c>
      <c r="C44" s="3" t="s">
        <v>36</v>
      </c>
      <c r="D44" s="54">
        <v>4.6135000000000002E-2</v>
      </c>
      <c r="L44" s="2"/>
      <c r="M44" s="51"/>
      <c r="N44" s="51"/>
      <c r="O44" s="51"/>
      <c r="P44" s="52"/>
      <c r="Q44" s="53"/>
      <c r="R44" s="53"/>
      <c r="S44" s="53"/>
    </row>
    <row r="45" spans="2:19" ht="12.75" customHeight="1" x14ac:dyDescent="0.2">
      <c r="B45" s="22">
        <f>B44+1</f>
        <v>28</v>
      </c>
      <c r="C45" s="3" t="s">
        <v>37</v>
      </c>
      <c r="E45" s="37">
        <f>ROUND(E43*(1+$D$44),2)</f>
        <v>0</v>
      </c>
      <c r="F45" s="37">
        <f t="shared" ref="F45:K45" si="18">ROUND(F43*(1+$D$44),2)</f>
        <v>0</v>
      </c>
      <c r="G45" s="37">
        <f t="shared" si="18"/>
        <v>0</v>
      </c>
      <c r="H45" s="37">
        <f>ROUND(H43*(1+$D$44),2)</f>
        <v>1.05</v>
      </c>
      <c r="I45" s="37">
        <f t="shared" si="18"/>
        <v>1.05</v>
      </c>
      <c r="J45" s="37">
        <f t="shared" si="18"/>
        <v>1.05</v>
      </c>
      <c r="K45" s="37">
        <f t="shared" si="18"/>
        <v>1.05</v>
      </c>
      <c r="L45" s="2"/>
      <c r="M45" s="51"/>
      <c r="N45" s="51"/>
      <c r="O45" s="51"/>
      <c r="P45" s="52"/>
      <c r="Q45" s="53"/>
      <c r="R45" s="53"/>
      <c r="S45" s="53"/>
    </row>
    <row r="46" spans="2:19" ht="12.75" customHeight="1" x14ac:dyDescent="0.2">
      <c r="C46" s="40"/>
      <c r="L46" s="2"/>
      <c r="M46" s="51"/>
      <c r="N46" s="51"/>
      <c r="O46" s="51"/>
      <c r="P46" s="52"/>
      <c r="Q46" s="53"/>
      <c r="R46" s="53"/>
      <c r="S46" s="53"/>
    </row>
    <row r="47" spans="2:19" x14ac:dyDescent="0.2">
      <c r="B47" s="22">
        <f>B45+1</f>
        <v>29</v>
      </c>
      <c r="C47" s="3" t="s">
        <v>38</v>
      </c>
      <c r="E47" s="47">
        <f>E23</f>
        <v>0.12683</v>
      </c>
      <c r="F47" s="47">
        <f t="shared" ref="F47:K47" si="19">F23</f>
        <v>0.12683</v>
      </c>
      <c r="G47" s="47">
        <f t="shared" si="19"/>
        <v>0.12073</v>
      </c>
      <c r="H47" s="47">
        <f t="shared" si="19"/>
        <v>3.891E-2</v>
      </c>
      <c r="I47" s="47">
        <f t="shared" si="19"/>
        <v>7.1940000000000004E-2</v>
      </c>
      <c r="J47" s="47">
        <f t="shared" si="19"/>
        <v>7.6840000000000006E-2</v>
      </c>
      <c r="K47" s="47">
        <f t="shared" si="19"/>
        <v>7.5450000000000003E-2</v>
      </c>
      <c r="L47" s="2"/>
      <c r="M47" s="55"/>
      <c r="N47" s="55"/>
      <c r="O47" s="55"/>
      <c r="P47" s="56"/>
      <c r="Q47" s="53"/>
      <c r="R47" s="53"/>
      <c r="S47" s="53"/>
    </row>
    <row r="48" spans="2:19" x14ac:dyDescent="0.2">
      <c r="B48" s="22">
        <f t="shared" ref="B48:B55" si="20">B47+1</f>
        <v>30</v>
      </c>
      <c r="C48" s="3" t="s">
        <v>39</v>
      </c>
      <c r="E48" s="47">
        <f>E36</f>
        <v>0.24068000000000001</v>
      </c>
      <c r="F48" s="47">
        <f t="shared" ref="F48:K48" si="21">F36</f>
        <v>0.24068000000000001</v>
      </c>
      <c r="G48" s="47">
        <f t="shared" si="21"/>
        <v>0.24068000000000001</v>
      </c>
      <c r="H48" s="47">
        <f t="shared" si="21"/>
        <v>0.24068000000000001</v>
      </c>
      <c r="I48" s="47">
        <f t="shared" si="21"/>
        <v>0.24068000000000001</v>
      </c>
      <c r="J48" s="47">
        <f t="shared" si="21"/>
        <v>0.24068000000000001</v>
      </c>
      <c r="K48" s="47">
        <f t="shared" si="21"/>
        <v>0.24068000000000001</v>
      </c>
      <c r="L48" s="2"/>
      <c r="M48" s="55"/>
      <c r="N48" s="55"/>
      <c r="O48" s="55"/>
      <c r="P48" s="56"/>
      <c r="Q48" s="53"/>
      <c r="R48" s="53"/>
      <c r="S48" s="53"/>
    </row>
    <row r="49" spans="2:19" x14ac:dyDescent="0.2">
      <c r="B49" s="22">
        <f t="shared" si="20"/>
        <v>31</v>
      </c>
      <c r="C49" s="3" t="s">
        <v>40</v>
      </c>
      <c r="E49" s="57">
        <f>SUM(E47:E48)</f>
        <v>0.36751</v>
      </c>
      <c r="F49" s="57">
        <f t="shared" ref="F49:K49" si="22">SUM(F47:F48)</f>
        <v>0.36751</v>
      </c>
      <c r="G49" s="57">
        <f t="shared" si="22"/>
        <v>0.36141000000000001</v>
      </c>
      <c r="H49" s="57">
        <f t="shared" si="22"/>
        <v>0.27959000000000001</v>
      </c>
      <c r="I49" s="57">
        <f t="shared" si="22"/>
        <v>0.31262000000000001</v>
      </c>
      <c r="J49" s="57">
        <f t="shared" si="22"/>
        <v>0.31752000000000002</v>
      </c>
      <c r="K49" s="57">
        <f t="shared" si="22"/>
        <v>0.31613000000000002</v>
      </c>
      <c r="L49" s="2"/>
      <c r="M49" s="55"/>
      <c r="N49" s="55"/>
      <c r="O49" s="55"/>
      <c r="P49" s="56"/>
      <c r="Q49" s="53"/>
      <c r="R49" s="53"/>
      <c r="S49" s="53"/>
    </row>
    <row r="50" spans="2:19" x14ac:dyDescent="0.2">
      <c r="B50" s="22"/>
      <c r="E50" s="47"/>
      <c r="F50" s="47"/>
      <c r="G50" s="47"/>
      <c r="H50" s="47"/>
      <c r="I50" s="47"/>
      <c r="J50" s="47"/>
      <c r="K50" s="47"/>
      <c r="L50" s="2"/>
      <c r="M50" s="55"/>
      <c r="N50" s="55"/>
      <c r="O50" s="55"/>
      <c r="P50" s="56"/>
      <c r="Q50" s="53"/>
      <c r="R50" s="53"/>
      <c r="S50" s="53"/>
    </row>
    <row r="51" spans="2:19" x14ac:dyDescent="0.2">
      <c r="B51" s="22">
        <f>B49+1</f>
        <v>32</v>
      </c>
      <c r="C51" s="3" t="s">
        <v>41</v>
      </c>
      <c r="E51" s="47">
        <f>ROUND(E49*(1+$D$44),5)</f>
        <v>0.38446999999999998</v>
      </c>
      <c r="F51" s="47">
        <f t="shared" ref="F51:K51" si="23">ROUND(F49*(1+$D$44),5)</f>
        <v>0.38446999999999998</v>
      </c>
      <c r="G51" s="47">
        <f t="shared" si="23"/>
        <v>0.37808000000000003</v>
      </c>
      <c r="H51" s="47">
        <f t="shared" si="23"/>
        <v>0.29249000000000003</v>
      </c>
      <c r="I51" s="47">
        <f t="shared" si="23"/>
        <v>0.32704</v>
      </c>
      <c r="J51" s="47">
        <f t="shared" si="23"/>
        <v>0.33217000000000002</v>
      </c>
      <c r="K51" s="47">
        <f t="shared" si="23"/>
        <v>0.33071</v>
      </c>
      <c r="L51" s="2"/>
      <c r="M51" s="55"/>
      <c r="N51" s="55"/>
      <c r="O51" s="55"/>
      <c r="P51" s="56"/>
      <c r="Q51" s="53"/>
      <c r="R51" s="53"/>
      <c r="S51" s="53"/>
    </row>
    <row r="52" spans="2:19" x14ac:dyDescent="0.2">
      <c r="B52" s="22">
        <f t="shared" si="20"/>
        <v>33</v>
      </c>
      <c r="C52" s="3" t="s">
        <v>42</v>
      </c>
      <c r="E52" s="47"/>
      <c r="F52" s="58">
        <f>ROUND(F51*19,2)</f>
        <v>7.3</v>
      </c>
      <c r="G52" s="47"/>
      <c r="H52" s="47"/>
      <c r="I52" s="47"/>
      <c r="J52" s="47"/>
      <c r="K52" s="47"/>
      <c r="L52" s="2"/>
      <c r="M52" s="55"/>
      <c r="N52" s="55"/>
      <c r="O52" s="55"/>
      <c r="P52" s="56"/>
      <c r="Q52" s="53"/>
      <c r="R52" s="53"/>
      <c r="S52" s="53"/>
    </row>
    <row r="53" spans="2:19" x14ac:dyDescent="0.2">
      <c r="B53" s="22">
        <f t="shared" si="20"/>
        <v>34</v>
      </c>
      <c r="C53" s="3" t="s">
        <v>43</v>
      </c>
      <c r="D53" s="59"/>
      <c r="E53" s="60">
        <v>0.4173</v>
      </c>
      <c r="F53" s="60">
        <v>0.4173</v>
      </c>
      <c r="G53" s="61">
        <v>0.41065000000000002</v>
      </c>
      <c r="H53" s="60">
        <v>0.32635999999999998</v>
      </c>
      <c r="I53" s="60">
        <v>0.35809000000000002</v>
      </c>
      <c r="J53" s="60">
        <v>0.36377999999999999</v>
      </c>
      <c r="K53" s="60">
        <v>0.36124000000000001</v>
      </c>
      <c r="L53" s="2"/>
      <c r="M53" s="55"/>
      <c r="N53" s="55"/>
      <c r="O53" s="55"/>
      <c r="P53" s="56"/>
      <c r="Q53" s="53"/>
      <c r="R53" s="53"/>
      <c r="S53" s="53"/>
    </row>
    <row r="54" spans="2:19" x14ac:dyDescent="0.2">
      <c r="B54" s="22">
        <f t="shared" si="20"/>
        <v>35</v>
      </c>
      <c r="C54" s="3" t="s">
        <v>44</v>
      </c>
      <c r="E54" s="57">
        <f>E51-E53</f>
        <v>-3.2830000000000026E-2</v>
      </c>
      <c r="F54" s="57">
        <f t="shared" ref="F54:K54" si="24">F51-F53</f>
        <v>-3.2830000000000026E-2</v>
      </c>
      <c r="G54" s="57">
        <f t="shared" si="24"/>
        <v>-3.2569999999999988E-2</v>
      </c>
      <c r="H54" s="57">
        <f t="shared" si="24"/>
        <v>-3.3869999999999956E-2</v>
      </c>
      <c r="I54" s="57">
        <f t="shared" si="24"/>
        <v>-3.1050000000000022E-2</v>
      </c>
      <c r="J54" s="57">
        <f t="shared" si="24"/>
        <v>-3.1609999999999971E-2</v>
      </c>
      <c r="K54" s="57">
        <f t="shared" si="24"/>
        <v>-3.0530000000000002E-2</v>
      </c>
      <c r="L54" s="2"/>
      <c r="M54" s="55"/>
      <c r="N54" s="55"/>
      <c r="O54" s="55"/>
      <c r="P54" s="56"/>
      <c r="Q54" s="53"/>
      <c r="R54" s="53"/>
      <c r="S54" s="53"/>
    </row>
    <row r="55" spans="2:19" x14ac:dyDescent="0.2">
      <c r="B55" s="22">
        <f t="shared" si="20"/>
        <v>36</v>
      </c>
      <c r="C55" s="3" t="s">
        <v>33</v>
      </c>
      <c r="E55" s="39">
        <f>E54/E53</f>
        <v>-7.8672417924754434E-2</v>
      </c>
      <c r="F55" s="39">
        <f t="shared" ref="F55:K55" si="25">F54/F53</f>
        <v>-7.8672417924754434E-2</v>
      </c>
      <c r="G55" s="39">
        <f t="shared" si="25"/>
        <v>-7.9313283818336744E-2</v>
      </c>
      <c r="H55" s="39">
        <f t="shared" si="25"/>
        <v>-0.10378110062507648</v>
      </c>
      <c r="I55" s="39">
        <f t="shared" si="25"/>
        <v>-8.6710044960764107E-2</v>
      </c>
      <c r="J55" s="39">
        <f t="shared" si="25"/>
        <v>-8.6893177195007901E-2</v>
      </c>
      <c r="K55" s="39">
        <f t="shared" si="25"/>
        <v>-8.4514450226995899E-2</v>
      </c>
      <c r="L55" s="2"/>
      <c r="M55" s="55"/>
      <c r="N55" s="55"/>
      <c r="O55" s="55"/>
      <c r="P55" s="56"/>
      <c r="Q55" s="53"/>
      <c r="R55" s="53"/>
      <c r="S55" s="53"/>
    </row>
    <row r="56" spans="2:19" x14ac:dyDescent="0.2">
      <c r="L56" s="62"/>
      <c r="M56" s="62"/>
      <c r="N56" s="62"/>
      <c r="P56" s="56"/>
    </row>
    <row r="57" spans="2:19" x14ac:dyDescent="0.2">
      <c r="B57" s="6"/>
      <c r="C57" s="3" t="s">
        <v>45</v>
      </c>
      <c r="E57" s="47"/>
      <c r="L57" s="2"/>
      <c r="M57" s="2"/>
      <c r="N57" s="2"/>
      <c r="O57" s="2"/>
    </row>
    <row r="58" spans="2:19" x14ac:dyDescent="0.2">
      <c r="C58" s="3" t="s">
        <v>46</v>
      </c>
      <c r="E58" s="47"/>
      <c r="L58" s="2"/>
      <c r="M58" s="2"/>
      <c r="N58" s="2"/>
      <c r="O58" s="2"/>
    </row>
    <row r="59" spans="2:19" x14ac:dyDescent="0.2">
      <c r="E59" s="47"/>
      <c r="L59" s="2"/>
      <c r="M59" s="2"/>
      <c r="N59" s="2"/>
      <c r="O59" s="2"/>
    </row>
    <row r="60" spans="2:19" x14ac:dyDescent="0.2">
      <c r="E60" s="47"/>
      <c r="L60" s="2"/>
      <c r="M60" s="2"/>
      <c r="N60" s="2"/>
      <c r="O60" s="2"/>
    </row>
    <row r="61" spans="2:19" x14ac:dyDescent="0.2">
      <c r="D61" s="36"/>
      <c r="E61" s="47"/>
      <c r="F61" s="36"/>
      <c r="G61" s="36"/>
      <c r="H61" s="36"/>
      <c r="I61" s="36"/>
      <c r="J61" s="36"/>
      <c r="K61" s="36"/>
      <c r="L61" s="2"/>
      <c r="M61" s="2"/>
      <c r="N61" s="2"/>
      <c r="O61" s="2"/>
    </row>
    <row r="62" spans="2:19" x14ac:dyDescent="0.2">
      <c r="D62" s="48"/>
      <c r="L62" s="2"/>
      <c r="M62" s="2"/>
      <c r="N62" s="2"/>
      <c r="O62" s="2"/>
    </row>
    <row r="63" spans="2:19" x14ac:dyDescent="0.2">
      <c r="E63" s="47"/>
      <c r="F63" s="47"/>
      <c r="G63" s="47"/>
      <c r="H63" s="47"/>
      <c r="I63" s="47"/>
      <c r="J63" s="47"/>
      <c r="K63" s="47"/>
      <c r="L63" s="2"/>
      <c r="M63" s="2"/>
      <c r="N63" s="2"/>
      <c r="O63" s="2"/>
    </row>
    <row r="64" spans="2:19" x14ac:dyDescent="0.2">
      <c r="L64" s="2"/>
      <c r="M64" s="2"/>
      <c r="N64" s="2"/>
      <c r="O64" s="2"/>
    </row>
    <row r="65" spans="12:15" x14ac:dyDescent="0.2">
      <c r="L65" s="2"/>
      <c r="M65" s="2"/>
      <c r="N65" s="2"/>
      <c r="O65" s="2"/>
    </row>
    <row r="66" spans="12:15" x14ac:dyDescent="0.2">
      <c r="L66" s="2"/>
      <c r="M66" s="2"/>
      <c r="N66" s="2"/>
      <c r="O66" s="2"/>
    </row>
    <row r="67" spans="12:15" x14ac:dyDescent="0.2">
      <c r="L67" s="2"/>
      <c r="M67" s="2"/>
      <c r="N67" s="2"/>
      <c r="O67" s="2"/>
    </row>
  </sheetData>
  <printOptions horizontalCentered="1"/>
  <pageMargins left="0.5" right="0.5" top="1" bottom="0.6" header="0.5" footer="0.3"/>
  <pageSetup scale="68" orientation="landscape" blackAndWhite="1" r:id="rId1"/>
  <headerFooter alignWithMargins="0">
    <oddFooter>&amp;L&amp;F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J59" sqref="J59"/>
    </sheetView>
  </sheetViews>
  <sheetFormatPr defaultRowHeight="12.75" x14ac:dyDescent="0.2"/>
  <cols>
    <col min="1" max="1" width="5" style="6" customWidth="1"/>
    <col min="2" max="2" width="63.85546875" style="6" bestFit="1" customWidth="1"/>
    <col min="3" max="3" width="10.28515625" style="6" bestFit="1" customWidth="1"/>
    <col min="4" max="4" width="11.42578125" style="6" customWidth="1"/>
    <col min="5" max="5" width="12.85546875" style="6" bestFit="1" customWidth="1"/>
    <col min="6" max="6" width="10.140625" style="6" customWidth="1"/>
    <col min="7" max="7" width="10.28515625" style="6" bestFit="1" customWidth="1"/>
    <col min="8" max="8" width="10.42578125" style="6" customWidth="1"/>
    <col min="9" max="9" width="10.28515625" style="6" bestFit="1" customWidth="1"/>
    <col min="10" max="12" width="3.28515625" style="6" bestFit="1" customWidth="1"/>
    <col min="13" max="16384" width="9.140625" style="6"/>
  </cols>
  <sheetData>
    <row r="1" spans="1:12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63"/>
      <c r="K1" s="63"/>
    </row>
    <row r="2" spans="1:12" ht="15.75" x14ac:dyDescent="0.25">
      <c r="A2" s="4" t="s">
        <v>168</v>
      </c>
      <c r="B2" s="1"/>
      <c r="C2" s="1"/>
      <c r="D2" s="1"/>
      <c r="E2" s="64"/>
      <c r="F2" s="1"/>
      <c r="G2" s="1"/>
      <c r="H2" s="1"/>
      <c r="I2" s="1"/>
      <c r="J2" s="65"/>
      <c r="K2" s="65"/>
      <c r="L2" s="65"/>
    </row>
    <row r="3" spans="1:12" ht="15.75" x14ac:dyDescent="0.25">
      <c r="A3" s="1" t="s">
        <v>47</v>
      </c>
      <c r="B3" s="1"/>
      <c r="C3" s="1"/>
      <c r="D3" s="1"/>
      <c r="E3" s="64"/>
      <c r="F3" s="1"/>
      <c r="G3" s="1"/>
      <c r="H3" s="1"/>
      <c r="I3" s="1"/>
    </row>
    <row r="4" spans="1:12" ht="11.25" customHeight="1" x14ac:dyDescent="0.2">
      <c r="D4" s="66"/>
      <c r="E4" s="67"/>
    </row>
    <row r="5" spans="1:12" x14ac:dyDescent="0.2">
      <c r="D5" s="68"/>
    </row>
    <row r="6" spans="1:12" x14ac:dyDescent="0.2">
      <c r="D6" s="69"/>
    </row>
    <row r="7" spans="1:12" x14ac:dyDescent="0.2">
      <c r="A7" s="70"/>
      <c r="C7" s="238" t="s">
        <v>2</v>
      </c>
      <c r="D7" s="239"/>
      <c r="E7" s="71" t="s">
        <v>3</v>
      </c>
      <c r="F7" s="72"/>
      <c r="G7" s="71" t="s">
        <v>4</v>
      </c>
      <c r="H7" s="72"/>
      <c r="I7" s="72"/>
    </row>
    <row r="8" spans="1:12" x14ac:dyDescent="0.2">
      <c r="A8" s="73" t="s">
        <v>5</v>
      </c>
      <c r="B8" s="74" t="s">
        <v>6</v>
      </c>
      <c r="C8" s="14">
        <v>23</v>
      </c>
      <c r="D8" s="75" t="s">
        <v>48</v>
      </c>
      <c r="E8" s="14">
        <v>31</v>
      </c>
      <c r="F8" s="14">
        <v>41</v>
      </c>
      <c r="G8" s="14">
        <v>85</v>
      </c>
      <c r="H8" s="14">
        <v>86</v>
      </c>
      <c r="I8" s="14">
        <v>87</v>
      </c>
      <c r="J8" s="70"/>
      <c r="K8" s="70"/>
      <c r="L8" s="70"/>
    </row>
    <row r="9" spans="1:12" ht="12.75" customHeight="1" x14ac:dyDescent="0.2">
      <c r="A9" s="76"/>
      <c r="B9" s="70"/>
      <c r="C9" s="77" t="s">
        <v>49</v>
      </c>
      <c r="D9" s="78" t="s">
        <v>50</v>
      </c>
      <c r="E9" s="78" t="s">
        <v>51</v>
      </c>
      <c r="F9" s="78" t="s">
        <v>52</v>
      </c>
      <c r="G9" s="78" t="s">
        <v>53</v>
      </c>
      <c r="H9" s="78" t="s">
        <v>54</v>
      </c>
      <c r="I9" s="21" t="s">
        <v>55</v>
      </c>
      <c r="J9" s="70"/>
      <c r="K9" s="70"/>
      <c r="L9" s="70"/>
    </row>
    <row r="10" spans="1:12" s="68" customFormat="1" ht="12.75" customHeight="1" x14ac:dyDescent="0.2">
      <c r="A10" s="21">
        <v>1</v>
      </c>
      <c r="B10" s="68" t="s">
        <v>56</v>
      </c>
      <c r="C10" s="79">
        <f>'Rates PGA-1'!E47</f>
        <v>0.12683</v>
      </c>
      <c r="D10" s="80">
        <f>'Rates PGA-1'!F47*19</f>
        <v>2.40977</v>
      </c>
      <c r="E10" s="79">
        <f>'Rates PGA-1'!G47</f>
        <v>0.12073</v>
      </c>
      <c r="F10" s="79">
        <f>'Rates PGA-1'!H47</f>
        <v>3.891E-2</v>
      </c>
      <c r="G10" s="79">
        <f>'Rates PGA-1'!I47</f>
        <v>7.1940000000000004E-2</v>
      </c>
      <c r="H10" s="79">
        <f>'Rates PGA-1'!J47</f>
        <v>7.6840000000000006E-2</v>
      </c>
      <c r="I10" s="79">
        <f>'Rates PGA-1'!K47</f>
        <v>7.5450000000000003E-2</v>
      </c>
    </row>
    <row r="11" spans="1:12" s="68" customFormat="1" ht="12.75" customHeight="1" x14ac:dyDescent="0.2">
      <c r="A11" s="21">
        <f>A10+1</f>
        <v>2</v>
      </c>
      <c r="B11" s="68" t="s">
        <v>57</v>
      </c>
      <c r="C11" s="81">
        <f>'Rates PGA-1'!E48</f>
        <v>0.24068000000000001</v>
      </c>
      <c r="D11" s="80">
        <f>'Rates PGA-1'!F48*19</f>
        <v>4.5729199999999999</v>
      </c>
      <c r="E11" s="79">
        <f>'Rates PGA-1'!G48</f>
        <v>0.24068000000000001</v>
      </c>
      <c r="F11" s="79">
        <f>'Rates PGA-1'!H48</f>
        <v>0.24068000000000001</v>
      </c>
      <c r="G11" s="79">
        <f>'Rates PGA-1'!I48</f>
        <v>0.24068000000000001</v>
      </c>
      <c r="H11" s="79">
        <f>'Rates PGA-1'!J48</f>
        <v>0.24068000000000001</v>
      </c>
      <c r="I11" s="79">
        <f>'Rates PGA-1'!K48</f>
        <v>0.24068000000000001</v>
      </c>
    </row>
    <row r="12" spans="1:12" s="68" customFormat="1" ht="12.75" customHeight="1" x14ac:dyDescent="0.2">
      <c r="A12" s="21">
        <f>A11+1</f>
        <v>3</v>
      </c>
      <c r="B12" s="68" t="s">
        <v>58</v>
      </c>
      <c r="C12" s="82">
        <f>SUM(C10:C11)</f>
        <v>0.36751</v>
      </c>
      <c r="D12" s="83">
        <f>ROUND(+D10+D11,2)</f>
        <v>6.98</v>
      </c>
      <c r="E12" s="82">
        <f>SUM(E10:E11)</f>
        <v>0.36141000000000001</v>
      </c>
      <c r="F12" s="82">
        <f>SUM(F10:F11)</f>
        <v>0.27959000000000001</v>
      </c>
      <c r="G12" s="82">
        <f>SUM(G10:G11)</f>
        <v>0.31262000000000001</v>
      </c>
      <c r="H12" s="82">
        <f>SUM(H10:H11)</f>
        <v>0.31752000000000002</v>
      </c>
      <c r="I12" s="82">
        <f>SUM(I10:I11)</f>
        <v>0.31613000000000002</v>
      </c>
    </row>
    <row r="13" spans="1:12" s="68" customFormat="1" ht="12.75" customHeight="1" x14ac:dyDescent="0.2">
      <c r="A13" s="21"/>
      <c r="C13" s="45"/>
      <c r="D13" s="84"/>
      <c r="E13" s="45"/>
      <c r="F13" s="45"/>
      <c r="G13" s="45"/>
      <c r="H13" s="45"/>
      <c r="I13" s="45"/>
    </row>
    <row r="14" spans="1:12" s="68" customFormat="1" ht="12.75" customHeight="1" x14ac:dyDescent="0.2">
      <c r="A14" s="21">
        <f>A12+1</f>
        <v>4</v>
      </c>
      <c r="B14" s="68" t="s">
        <v>59</v>
      </c>
      <c r="C14" s="79">
        <f>'Rates PGA-1'!E51</f>
        <v>0.38446999999999998</v>
      </c>
      <c r="D14" s="85">
        <f>'Rates PGA-1'!F52</f>
        <v>7.3</v>
      </c>
      <c r="E14" s="79">
        <f>'Rates PGA-1'!G51</f>
        <v>0.37808000000000003</v>
      </c>
      <c r="F14" s="79">
        <f>'Rates PGA-1'!H51</f>
        <v>0.29249000000000003</v>
      </c>
      <c r="G14" s="79">
        <f>'Rates PGA-1'!I51</f>
        <v>0.32704</v>
      </c>
      <c r="H14" s="79">
        <f>'Rates PGA-1'!J51</f>
        <v>0.33217000000000002</v>
      </c>
      <c r="I14" s="79">
        <f>'Rates PGA-1'!K51</f>
        <v>0.33071</v>
      </c>
    </row>
    <row r="15" spans="1:12" s="68" customFormat="1" ht="12.75" customHeight="1" x14ac:dyDescent="0.2">
      <c r="A15" s="21"/>
      <c r="C15" s="45"/>
      <c r="D15" s="86"/>
      <c r="E15" s="45"/>
      <c r="F15" s="45"/>
      <c r="G15" s="45"/>
      <c r="H15" s="45"/>
      <c r="I15" s="45"/>
    </row>
    <row r="16" spans="1:12" s="68" customFormat="1" ht="12.75" customHeight="1" x14ac:dyDescent="0.2">
      <c r="A16" s="21">
        <f>A14+1</f>
        <v>5</v>
      </c>
      <c r="B16" s="68" t="s">
        <v>60</v>
      </c>
      <c r="C16" s="86"/>
      <c r="D16" s="86"/>
      <c r="E16" s="86"/>
      <c r="F16" s="80">
        <f>'Rates PGA-1'!H43</f>
        <v>1</v>
      </c>
      <c r="G16" s="80">
        <f>'Rates PGA-1'!I43</f>
        <v>1</v>
      </c>
      <c r="H16" s="80">
        <f>'Rates PGA-1'!J43</f>
        <v>1</v>
      </c>
      <c r="I16" s="80">
        <f>'Rates PGA-1'!K43</f>
        <v>1</v>
      </c>
    </row>
    <row r="17" spans="1:12" s="68" customFormat="1" ht="12.75" customHeight="1" x14ac:dyDescent="0.2">
      <c r="A17" s="21">
        <f>A16+1</f>
        <v>6</v>
      </c>
      <c r="B17" s="68" t="s">
        <v>61</v>
      </c>
      <c r="C17" s="86"/>
      <c r="D17" s="86"/>
      <c r="E17" s="86"/>
      <c r="F17" s="80">
        <f>'Rates PGA-1'!H45</f>
        <v>1.05</v>
      </c>
      <c r="G17" s="80">
        <f>'Rates PGA-1'!I45</f>
        <v>1.05</v>
      </c>
      <c r="H17" s="80">
        <f>'Rates PGA-1'!J45</f>
        <v>1.05</v>
      </c>
      <c r="I17" s="80">
        <f>'Rates PGA-1'!K45</f>
        <v>1.05</v>
      </c>
    </row>
    <row r="18" spans="1:12" s="68" customFormat="1" ht="12.75" customHeight="1" x14ac:dyDescent="0.2">
      <c r="A18" s="21"/>
      <c r="C18" s="45"/>
      <c r="D18" s="86"/>
      <c r="E18" s="45"/>
      <c r="F18" s="45"/>
      <c r="G18" s="45"/>
      <c r="H18" s="45"/>
      <c r="I18" s="45"/>
    </row>
    <row r="19" spans="1:12" s="68" customFormat="1" ht="12.75" customHeight="1" x14ac:dyDescent="0.2">
      <c r="A19" s="21">
        <f>A17+1</f>
        <v>7</v>
      </c>
      <c r="B19" s="68" t="s">
        <v>62</v>
      </c>
      <c r="C19" s="79">
        <f>'Rates PGA-1'!E9</f>
        <v>0.13228999999999999</v>
      </c>
      <c r="D19" s="80">
        <f>'Rates PGA-1'!F9*19</f>
        <v>2.5135099999999997</v>
      </c>
      <c r="E19" s="79">
        <f>'Rates PGA-1'!G9</f>
        <v>0.12592999999999999</v>
      </c>
      <c r="F19" s="79">
        <f>'Rates PGA-1'!H9</f>
        <v>4.5359999999999998E-2</v>
      </c>
      <c r="G19" s="79">
        <f>'Rates PGA-1'!I9</f>
        <v>7.5689999999999993E-2</v>
      </c>
      <c r="H19" s="79">
        <f>'Rates PGA-1'!J9</f>
        <v>8.1129999999999994E-2</v>
      </c>
      <c r="I19" s="79">
        <f>'Rates PGA-1'!K9</f>
        <v>7.8700000000000006E-2</v>
      </c>
    </row>
    <row r="20" spans="1:12" s="68" customFormat="1" ht="12.75" customHeight="1" x14ac:dyDescent="0.2">
      <c r="A20" s="21">
        <f>A19+1</f>
        <v>8</v>
      </c>
      <c r="B20" s="87" t="s">
        <v>63</v>
      </c>
      <c r="C20" s="79">
        <f>'Rates PGA-1'!E31</f>
        <v>0.26661000000000001</v>
      </c>
      <c r="D20" s="80">
        <f>'Rates PGA-1'!F31*19</f>
        <v>5.0655900000000003</v>
      </c>
      <c r="E20" s="79">
        <f>'Rates PGA-1'!G31</f>
        <v>0.26661000000000001</v>
      </c>
      <c r="F20" s="79">
        <f>'Rates PGA-1'!H31</f>
        <v>0.26661000000000001</v>
      </c>
      <c r="G20" s="79">
        <f>'Rates PGA-1'!I31</f>
        <v>0.26661000000000001</v>
      </c>
      <c r="H20" s="79">
        <f>'Rates PGA-1'!J31</f>
        <v>0.26661000000000001</v>
      </c>
      <c r="I20" s="79">
        <f>'Rates PGA-1'!K31</f>
        <v>0.26661000000000001</v>
      </c>
      <c r="J20" s="87"/>
      <c r="K20" s="87"/>
      <c r="L20" s="87"/>
    </row>
    <row r="21" spans="1:12" s="68" customFormat="1" ht="12.75" customHeight="1" x14ac:dyDescent="0.2">
      <c r="A21" s="21">
        <f>A20+1</f>
        <v>9</v>
      </c>
      <c r="B21" s="68" t="s">
        <v>64</v>
      </c>
      <c r="C21" s="82">
        <f>SUM(C19:C20)</f>
        <v>0.39890000000000003</v>
      </c>
      <c r="D21" s="83">
        <f>ROUND(+D19+D20,2)</f>
        <v>7.58</v>
      </c>
      <c r="E21" s="82">
        <f>SUM(E19:E20)</f>
        <v>0.39254</v>
      </c>
      <c r="F21" s="82">
        <f>SUM(F19:F20)</f>
        <v>0.31197000000000003</v>
      </c>
      <c r="G21" s="82">
        <f>SUM(G19:G20)</f>
        <v>0.34229999999999999</v>
      </c>
      <c r="H21" s="82">
        <f>SUM(H19:H20)</f>
        <v>0.34773999999999999</v>
      </c>
      <c r="I21" s="82">
        <f>SUM(I19:I20)</f>
        <v>0.34531000000000001</v>
      </c>
    </row>
    <row r="22" spans="1:12" s="68" customFormat="1" ht="12.75" customHeight="1" x14ac:dyDescent="0.2">
      <c r="A22" s="21"/>
      <c r="C22" s="45"/>
      <c r="D22" s="84"/>
      <c r="E22" s="45"/>
      <c r="F22" s="45"/>
      <c r="G22" s="45"/>
      <c r="H22" s="45"/>
      <c r="I22" s="45"/>
    </row>
    <row r="23" spans="1:12" s="68" customFormat="1" ht="12.75" customHeight="1" x14ac:dyDescent="0.2">
      <c r="A23" s="21">
        <f>+A21+1</f>
        <v>10</v>
      </c>
      <c r="B23" s="68" t="s">
        <v>65</v>
      </c>
      <c r="C23" s="79">
        <f>+'Rates PGA-1'!E53</f>
        <v>0.4173</v>
      </c>
      <c r="D23" s="85">
        <f>ROUND(+'Rates PGA-1'!F53*19,2)</f>
        <v>7.93</v>
      </c>
      <c r="E23" s="79">
        <f>+'Rates PGA-1'!G53</f>
        <v>0.41065000000000002</v>
      </c>
      <c r="F23" s="79">
        <f>+'Rates PGA-1'!H53</f>
        <v>0.32635999999999998</v>
      </c>
      <c r="G23" s="79">
        <f>+'Rates PGA-1'!I53</f>
        <v>0.35809000000000002</v>
      </c>
      <c r="H23" s="79">
        <f>+'Rates PGA-1'!J53</f>
        <v>0.36377999999999999</v>
      </c>
      <c r="I23" s="79">
        <f>+'Rates PGA-1'!K53</f>
        <v>0.36124000000000001</v>
      </c>
    </row>
    <row r="24" spans="1:12" s="68" customFormat="1" ht="12.75" customHeight="1" x14ac:dyDescent="0.2">
      <c r="A24" s="21"/>
      <c r="C24" s="45"/>
      <c r="D24" s="86"/>
      <c r="E24" s="45"/>
      <c r="F24" s="45"/>
      <c r="G24" s="45"/>
      <c r="H24" s="45"/>
      <c r="I24" s="45"/>
    </row>
    <row r="25" spans="1:12" s="68" customFormat="1" ht="12.75" customHeight="1" x14ac:dyDescent="0.2">
      <c r="A25" s="21">
        <f>A23+1</f>
        <v>11</v>
      </c>
      <c r="B25" s="68" t="s">
        <v>66</v>
      </c>
      <c r="C25" s="86"/>
      <c r="D25" s="86"/>
      <c r="E25" s="86"/>
      <c r="F25" s="80">
        <f>'Rates PGA-1'!H8</f>
        <v>1</v>
      </c>
      <c r="G25" s="80">
        <f>'Rates PGA-1'!I8</f>
        <v>1</v>
      </c>
      <c r="H25" s="80">
        <f>'Rates PGA-1'!J8</f>
        <v>1</v>
      </c>
      <c r="I25" s="80">
        <f>'Rates PGA-1'!K8</f>
        <v>1</v>
      </c>
    </row>
    <row r="26" spans="1:12" s="68" customFormat="1" ht="12.75" customHeight="1" x14ac:dyDescent="0.2">
      <c r="A26" s="21">
        <f>A25+1</f>
        <v>12</v>
      </c>
      <c r="B26" s="68" t="s">
        <v>67</v>
      </c>
      <c r="C26" s="86"/>
      <c r="D26" s="86"/>
      <c r="E26" s="86"/>
      <c r="F26" s="86">
        <f>F25*(1+$C$36)</f>
        <v>1.046135</v>
      </c>
      <c r="G26" s="86">
        <f>G25*(1+$C$36)</f>
        <v>1.046135</v>
      </c>
      <c r="H26" s="86">
        <f>H25*(1+$C$36)</f>
        <v>1.046135</v>
      </c>
      <c r="I26" s="86">
        <f>I25*(1+$C$36)</f>
        <v>1.046135</v>
      </c>
    </row>
    <row r="27" spans="1:12" ht="12.75" customHeight="1" x14ac:dyDescent="0.2">
      <c r="A27" s="70"/>
      <c r="C27" s="45"/>
      <c r="D27" s="84"/>
      <c r="E27" s="45"/>
      <c r="F27" s="45"/>
      <c r="G27" s="45"/>
      <c r="H27" s="45"/>
      <c r="I27" s="45"/>
    </row>
    <row r="28" spans="1:12" s="68" customFormat="1" ht="12.75" customHeight="1" x14ac:dyDescent="0.2">
      <c r="A28" s="21">
        <f>A26+1</f>
        <v>13</v>
      </c>
      <c r="B28" s="88" t="s">
        <v>68</v>
      </c>
      <c r="C28" s="45">
        <f>+C12-C21</f>
        <v>-3.1390000000000029E-2</v>
      </c>
      <c r="D28" s="86">
        <f>ROUND(+D12-D21,2)</f>
        <v>-0.6</v>
      </c>
      <c r="E28" s="45">
        <f>+E12-E21</f>
        <v>-3.1129999999999991E-2</v>
      </c>
      <c r="F28" s="45">
        <f>+F12-F21</f>
        <v>-3.238000000000002E-2</v>
      </c>
      <c r="G28" s="45">
        <f>+G12-G21</f>
        <v>-2.9679999999999984E-2</v>
      </c>
      <c r="H28" s="45">
        <f>+H12-H21</f>
        <v>-3.0219999999999969E-2</v>
      </c>
      <c r="I28" s="45">
        <f>+I12-I21</f>
        <v>-2.9179999999999984E-2</v>
      </c>
    </row>
    <row r="29" spans="1:12" s="68" customFormat="1" ht="12.75" customHeight="1" x14ac:dyDescent="0.2">
      <c r="A29" s="21">
        <f>A28+1</f>
        <v>14</v>
      </c>
      <c r="B29" s="88" t="s">
        <v>69</v>
      </c>
      <c r="C29" s="45">
        <f>+C14-C23</f>
        <v>-3.2830000000000026E-2</v>
      </c>
      <c r="D29" s="86">
        <f>ROUND(+D14-D23,2)</f>
        <v>-0.63</v>
      </c>
      <c r="E29" s="45">
        <f>+E14-E23</f>
        <v>-3.2569999999999988E-2</v>
      </c>
      <c r="F29" s="45">
        <f>+F14-F23</f>
        <v>-3.3869999999999956E-2</v>
      </c>
      <c r="G29" s="45">
        <f>+G14-G23</f>
        <v>-3.1050000000000022E-2</v>
      </c>
      <c r="H29" s="45">
        <f>+H14-H23</f>
        <v>-3.1609999999999971E-2</v>
      </c>
      <c r="I29" s="45">
        <f>+I14-I23</f>
        <v>-3.0530000000000002E-2</v>
      </c>
    </row>
    <row r="30" spans="1:12" ht="12.75" customHeight="1" x14ac:dyDescent="0.2">
      <c r="A30" s="70"/>
      <c r="B30" s="88"/>
      <c r="C30" s="45"/>
      <c r="D30" s="86"/>
      <c r="E30" s="45"/>
      <c r="F30" s="45"/>
      <c r="G30" s="45"/>
      <c r="H30" s="45"/>
      <c r="I30" s="45"/>
    </row>
    <row r="31" spans="1:12" ht="12.75" customHeight="1" x14ac:dyDescent="0.2">
      <c r="A31" s="21">
        <f>A29+1</f>
        <v>15</v>
      </c>
      <c r="B31" s="88" t="s">
        <v>70</v>
      </c>
      <c r="C31" s="45"/>
      <c r="D31" s="86"/>
      <c r="E31" s="45"/>
      <c r="F31" s="86">
        <f t="shared" ref="F31:I32" si="0">F16-F25</f>
        <v>0</v>
      </c>
      <c r="G31" s="86">
        <f t="shared" si="0"/>
        <v>0</v>
      </c>
      <c r="H31" s="86">
        <f t="shared" si="0"/>
        <v>0</v>
      </c>
      <c r="I31" s="86">
        <f t="shared" si="0"/>
        <v>0</v>
      </c>
    </row>
    <row r="32" spans="1:12" ht="12.75" customHeight="1" x14ac:dyDescent="0.2">
      <c r="A32" s="21">
        <f>A31+1</f>
        <v>16</v>
      </c>
      <c r="B32" s="88" t="s">
        <v>71</v>
      </c>
      <c r="C32" s="45"/>
      <c r="D32" s="86"/>
      <c r="E32" s="45"/>
      <c r="F32" s="86">
        <f t="shared" si="0"/>
        <v>3.8650000000000073E-3</v>
      </c>
      <c r="G32" s="86">
        <f t="shared" si="0"/>
        <v>3.8650000000000073E-3</v>
      </c>
      <c r="H32" s="86">
        <f t="shared" si="0"/>
        <v>3.8650000000000073E-3</v>
      </c>
      <c r="I32" s="86">
        <f t="shared" si="0"/>
        <v>3.8650000000000073E-3</v>
      </c>
    </row>
    <row r="33" spans="1:12" ht="12.75" customHeight="1" x14ac:dyDescent="0.2">
      <c r="A33" s="70"/>
      <c r="B33" s="88"/>
      <c r="C33" s="45"/>
      <c r="D33" s="86"/>
      <c r="E33" s="45"/>
      <c r="F33" s="86"/>
      <c r="G33" s="86"/>
      <c r="H33" s="86"/>
      <c r="I33" s="86"/>
    </row>
    <row r="34" spans="1:12" s="68" customFormat="1" ht="12.75" customHeight="1" x14ac:dyDescent="0.2">
      <c r="A34" s="21">
        <f>A32+1</f>
        <v>17</v>
      </c>
      <c r="B34" s="68" t="s">
        <v>72</v>
      </c>
      <c r="C34" s="89">
        <v>-7.8672417924754434E-2</v>
      </c>
      <c r="D34" s="89">
        <v>-7.8672417924754434E-2</v>
      </c>
      <c r="E34" s="89">
        <v>-7.9313283818336744E-2</v>
      </c>
      <c r="F34" s="89">
        <v>-8.8265186459229039E-2</v>
      </c>
      <c r="G34" s="89">
        <v>-8.5290482076637877E-2</v>
      </c>
      <c r="H34" s="89">
        <v>-8.4704432177501399E-2</v>
      </c>
      <c r="I34" s="89">
        <v>-8.4514450226995899E-2</v>
      </c>
    </row>
    <row r="35" spans="1:12" s="68" customFormat="1" ht="12.75" customHeight="1" x14ac:dyDescent="0.2">
      <c r="A35" s="21"/>
      <c r="C35" s="90"/>
      <c r="D35" s="90"/>
      <c r="E35" s="90"/>
      <c r="F35" s="90"/>
      <c r="G35" s="90"/>
      <c r="H35" s="90"/>
      <c r="I35" s="90"/>
    </row>
    <row r="36" spans="1:12" s="68" customFormat="1" ht="12.75" customHeight="1" x14ac:dyDescent="0.2">
      <c r="A36" s="21">
        <f>A34+1</f>
        <v>18</v>
      </c>
      <c r="B36" s="3" t="s">
        <v>36</v>
      </c>
      <c r="C36" s="91">
        <f>'Rates PGA-1'!D44</f>
        <v>4.6135000000000002E-2</v>
      </c>
      <c r="E36" s="92"/>
      <c r="F36" s="92"/>
      <c r="G36" s="92"/>
      <c r="H36" s="92"/>
      <c r="I36" s="92"/>
    </row>
    <row r="37" spans="1:12" s="68" customFormat="1" ht="12.75" customHeight="1" x14ac:dyDescent="0.2">
      <c r="A37" s="21"/>
      <c r="B37" s="3"/>
      <c r="C37" s="93"/>
      <c r="E37" s="92"/>
      <c r="F37" s="92"/>
      <c r="G37" s="92"/>
      <c r="H37" s="92"/>
      <c r="I37" s="92"/>
    </row>
    <row r="38" spans="1:12" s="68" customFormat="1" ht="12" customHeight="1" x14ac:dyDescent="0.2">
      <c r="A38" s="94" t="s">
        <v>73</v>
      </c>
      <c r="B38" s="3"/>
      <c r="C38" s="95"/>
      <c r="E38" s="92"/>
      <c r="F38" s="92"/>
      <c r="G38" s="92"/>
      <c r="H38" s="92"/>
      <c r="I38" s="92"/>
    </row>
    <row r="39" spans="1:12" s="68" customFormat="1" ht="12.75" customHeight="1" x14ac:dyDescent="0.2">
      <c r="A39" s="94" t="s">
        <v>74</v>
      </c>
      <c r="B39" s="3"/>
      <c r="C39" s="93"/>
      <c r="E39" s="92"/>
      <c r="F39" s="92"/>
      <c r="G39" s="92"/>
      <c r="H39" s="92"/>
      <c r="I39" s="92"/>
    </row>
    <row r="40" spans="1:12" ht="113.25" customHeight="1" x14ac:dyDescent="0.2">
      <c r="D40" s="68"/>
      <c r="E40" s="68"/>
      <c r="F40" s="68"/>
      <c r="G40" s="68"/>
      <c r="J40" s="96" t="s">
        <v>75</v>
      </c>
      <c r="K40" s="97" t="s">
        <v>76</v>
      </c>
      <c r="L40" s="98" t="s">
        <v>77</v>
      </c>
    </row>
    <row r="43" spans="1:12" x14ac:dyDescent="0.2">
      <c r="A43" s="6" t="s">
        <v>78</v>
      </c>
    </row>
  </sheetData>
  <mergeCells count="1">
    <mergeCell ref="C7:D7"/>
  </mergeCells>
  <printOptions horizontalCentered="1"/>
  <pageMargins left="0.75" right="0.75" top="1" bottom="1" header="0.5" footer="0.5"/>
  <pageSetup scale="73" orientation="landscape" blackAndWhite="1" r:id="rId1"/>
  <headerFooter alignWithMargins="0"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zoomScaleNormal="100" workbookViewId="0">
      <selection activeCell="J59" sqref="J59"/>
    </sheetView>
  </sheetViews>
  <sheetFormatPr defaultRowHeight="12.75" x14ac:dyDescent="0.2"/>
  <cols>
    <col min="1" max="1" width="12" style="6" customWidth="1"/>
    <col min="2" max="2" width="12.7109375" style="6" bestFit="1" customWidth="1"/>
    <col min="3" max="3" width="13.28515625" style="6" bestFit="1" customWidth="1"/>
    <col min="4" max="4" width="13.42578125" style="6" bestFit="1" customWidth="1"/>
    <col min="5" max="5" width="13.28515625" style="6" bestFit="1" customWidth="1"/>
    <col min="6" max="6" width="12.7109375" style="6" bestFit="1" customWidth="1"/>
    <col min="7" max="7" width="11.85546875" style="6" bestFit="1" customWidth="1"/>
    <col min="8" max="8" width="12" style="6" bestFit="1" customWidth="1"/>
    <col min="9" max="9" width="12.5703125" style="6" bestFit="1" customWidth="1"/>
    <col min="10" max="10" width="13.28515625" style="6" bestFit="1" customWidth="1"/>
    <col min="11" max="11" width="12.42578125" style="6" bestFit="1" customWidth="1"/>
    <col min="12" max="13" width="12" style="6" bestFit="1" customWidth="1"/>
    <col min="14" max="14" width="13.42578125" style="6" bestFit="1" customWidth="1"/>
    <col min="15" max="17" width="5.42578125" style="6" customWidth="1"/>
    <col min="18" max="18" width="6" style="6" bestFit="1" customWidth="1"/>
    <col min="19" max="30" width="11.28515625" style="6" bestFit="1" customWidth="1"/>
    <col min="31" max="16384" width="9.140625" style="6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9"/>
    </row>
    <row r="2" spans="1:30" ht="15.75" x14ac:dyDescent="0.25">
      <c r="A2" s="4" t="s">
        <v>168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99"/>
    </row>
    <row r="3" spans="1:30" ht="15.75" x14ac:dyDescent="0.25">
      <c r="A3" s="1" t="s">
        <v>79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9"/>
    </row>
    <row r="4" spans="1:30" ht="15.7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  <c r="L4" s="102"/>
      <c r="M4" s="102"/>
      <c r="N4" s="102"/>
      <c r="O4" s="102"/>
      <c r="P4" s="102"/>
    </row>
    <row r="5" spans="1:30" x14ac:dyDescent="0.2">
      <c r="A5" s="101" t="s">
        <v>80</v>
      </c>
      <c r="G5" s="101"/>
      <c r="H5" s="101"/>
    </row>
    <row r="6" spans="1:30" x14ac:dyDescent="0.2">
      <c r="A6" s="74" t="s">
        <v>81</v>
      </c>
      <c r="B6" s="104">
        <v>43040</v>
      </c>
      <c r="C6" s="104">
        <f>EDATE(B6,1)</f>
        <v>43070</v>
      </c>
      <c r="D6" s="104">
        <f t="shared" ref="D6:M6" si="0">EDATE(C6,1)</f>
        <v>43101</v>
      </c>
      <c r="E6" s="104">
        <f t="shared" si="0"/>
        <v>43132</v>
      </c>
      <c r="F6" s="104">
        <f t="shared" si="0"/>
        <v>43160</v>
      </c>
      <c r="G6" s="104">
        <f t="shared" si="0"/>
        <v>43191</v>
      </c>
      <c r="H6" s="104">
        <f t="shared" si="0"/>
        <v>43221</v>
      </c>
      <c r="I6" s="104">
        <f t="shared" si="0"/>
        <v>43252</v>
      </c>
      <c r="J6" s="104">
        <f t="shared" si="0"/>
        <v>43282</v>
      </c>
      <c r="K6" s="104">
        <f t="shared" si="0"/>
        <v>43313</v>
      </c>
      <c r="L6" s="104">
        <f t="shared" si="0"/>
        <v>43344</v>
      </c>
      <c r="M6" s="104">
        <f t="shared" si="0"/>
        <v>43374</v>
      </c>
      <c r="N6" s="74" t="s">
        <v>7</v>
      </c>
    </row>
    <row r="7" spans="1:30" x14ac:dyDescent="0.2">
      <c r="A7" s="70">
        <v>23</v>
      </c>
      <c r="B7" s="105">
        <v>76553993</v>
      </c>
      <c r="C7" s="105">
        <v>99166365</v>
      </c>
      <c r="D7" s="105">
        <v>92825759</v>
      </c>
      <c r="E7" s="105">
        <v>79116472</v>
      </c>
      <c r="F7" s="105">
        <v>70321754</v>
      </c>
      <c r="G7" s="105">
        <v>50344063</v>
      </c>
      <c r="H7" s="105">
        <v>29807410</v>
      </c>
      <c r="I7" s="105">
        <v>19685784</v>
      </c>
      <c r="J7" s="105">
        <v>13977573</v>
      </c>
      <c r="K7" s="105">
        <v>13268595</v>
      </c>
      <c r="L7" s="105">
        <v>18617317</v>
      </c>
      <c r="M7" s="105">
        <v>43464476</v>
      </c>
      <c r="N7" s="106">
        <f>SUM($B7:M7)</f>
        <v>607149561</v>
      </c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x14ac:dyDescent="0.2">
      <c r="A8" s="70">
        <v>16</v>
      </c>
      <c r="B8" s="105">
        <v>1269</v>
      </c>
      <c r="C8" s="105">
        <v>899</v>
      </c>
      <c r="D8" s="105">
        <v>1425</v>
      </c>
      <c r="E8" s="105">
        <v>1593</v>
      </c>
      <c r="F8" s="105">
        <v>1229</v>
      </c>
      <c r="G8" s="105">
        <v>1044</v>
      </c>
      <c r="H8" s="105">
        <v>815</v>
      </c>
      <c r="I8" s="105">
        <v>1019</v>
      </c>
      <c r="J8" s="105">
        <v>1138</v>
      </c>
      <c r="K8" s="105">
        <v>1032</v>
      </c>
      <c r="L8" s="105">
        <v>1288</v>
      </c>
      <c r="M8" s="105">
        <v>987</v>
      </c>
      <c r="N8" s="106">
        <f>SUM($B8:M8)</f>
        <v>13738</v>
      </c>
      <c r="O8" s="105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x14ac:dyDescent="0.2">
      <c r="A9" s="70">
        <v>31</v>
      </c>
      <c r="B9" s="105">
        <v>26587672</v>
      </c>
      <c r="C9" s="105">
        <v>34692971</v>
      </c>
      <c r="D9" s="105">
        <v>32812139</v>
      </c>
      <c r="E9" s="105">
        <v>27700297</v>
      </c>
      <c r="F9" s="105">
        <v>25567558</v>
      </c>
      <c r="G9" s="105">
        <v>19496968</v>
      </c>
      <c r="H9" s="105">
        <v>12913930</v>
      </c>
      <c r="I9" s="105">
        <v>10044580</v>
      </c>
      <c r="J9" s="105">
        <v>7513580</v>
      </c>
      <c r="K9" s="105">
        <v>7996352</v>
      </c>
      <c r="L9" s="105">
        <v>9708289</v>
      </c>
      <c r="M9" s="105">
        <v>16874468</v>
      </c>
      <c r="N9" s="106">
        <f>SUM($B9:M9)</f>
        <v>231908804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x14ac:dyDescent="0.2">
      <c r="A10" s="70">
        <v>41</v>
      </c>
      <c r="B10" s="105">
        <v>7166797</v>
      </c>
      <c r="C10" s="105">
        <v>7874157</v>
      </c>
      <c r="D10" s="105">
        <v>7557277</v>
      </c>
      <c r="E10" s="105">
        <v>7191768</v>
      </c>
      <c r="F10" s="105">
        <v>6936005</v>
      </c>
      <c r="G10" s="105">
        <v>5763934</v>
      </c>
      <c r="H10" s="105">
        <v>4968233</v>
      </c>
      <c r="I10" s="105">
        <v>3648982</v>
      </c>
      <c r="J10" s="105">
        <v>3656806</v>
      </c>
      <c r="K10" s="105">
        <v>3310061</v>
      </c>
      <c r="L10" s="105">
        <v>3773315</v>
      </c>
      <c r="M10" s="105">
        <v>5330236</v>
      </c>
      <c r="N10" s="106">
        <f>SUM($B10:M10)</f>
        <v>67177571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x14ac:dyDescent="0.2">
      <c r="A11" s="70">
        <v>85</v>
      </c>
      <c r="B11" s="105">
        <v>1645936</v>
      </c>
      <c r="C11" s="105">
        <v>1758666</v>
      </c>
      <c r="D11" s="105">
        <v>2724608</v>
      </c>
      <c r="E11" s="105">
        <v>1558969</v>
      </c>
      <c r="F11" s="105">
        <v>2194709</v>
      </c>
      <c r="G11" s="105">
        <v>1340639</v>
      </c>
      <c r="H11" s="105">
        <v>1419037</v>
      </c>
      <c r="I11" s="105">
        <v>844407</v>
      </c>
      <c r="J11" s="105">
        <v>944376</v>
      </c>
      <c r="K11" s="105">
        <v>790935</v>
      </c>
      <c r="L11" s="105">
        <v>947491</v>
      </c>
      <c r="M11" s="105">
        <v>1743746</v>
      </c>
      <c r="N11" s="106">
        <f>SUM($B11:M11)</f>
        <v>17913519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x14ac:dyDescent="0.2">
      <c r="A12" s="70">
        <v>86</v>
      </c>
      <c r="B12" s="105">
        <v>937309</v>
      </c>
      <c r="C12" s="105">
        <v>1300490</v>
      </c>
      <c r="D12" s="105">
        <v>952648</v>
      </c>
      <c r="E12" s="105">
        <v>1359234</v>
      </c>
      <c r="F12" s="105">
        <v>1191245</v>
      </c>
      <c r="G12" s="105">
        <v>810549</v>
      </c>
      <c r="H12" s="105">
        <v>480608</v>
      </c>
      <c r="I12" s="105">
        <v>292769</v>
      </c>
      <c r="J12" s="105">
        <v>154090</v>
      </c>
      <c r="K12" s="105">
        <v>264387</v>
      </c>
      <c r="L12" s="105">
        <v>157839</v>
      </c>
      <c r="M12" s="105">
        <v>723991</v>
      </c>
      <c r="N12" s="106">
        <f>SUM($B12:M12)</f>
        <v>8625159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x14ac:dyDescent="0.2">
      <c r="A13" s="70">
        <v>87</v>
      </c>
      <c r="B13" s="105">
        <v>1961858</v>
      </c>
      <c r="C13" s="105">
        <v>2639555</v>
      </c>
      <c r="D13" s="105">
        <v>2301952</v>
      </c>
      <c r="E13" s="105">
        <v>2410317</v>
      </c>
      <c r="F13" s="105">
        <v>1799345</v>
      </c>
      <c r="G13" s="105">
        <v>2022096</v>
      </c>
      <c r="H13" s="105">
        <v>1487003</v>
      </c>
      <c r="I13" s="105">
        <v>1523946</v>
      </c>
      <c r="J13" s="105">
        <v>1018641</v>
      </c>
      <c r="K13" s="105">
        <v>974325</v>
      </c>
      <c r="L13" s="105">
        <v>1327928</v>
      </c>
      <c r="M13" s="105">
        <v>1603869</v>
      </c>
      <c r="N13" s="106">
        <f>SUM($B13:M13)</f>
        <v>21070835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x14ac:dyDescent="0.2">
      <c r="A14" s="6" t="s">
        <v>82</v>
      </c>
      <c r="B14" s="108">
        <f>SUM(B7:B13)</f>
        <v>114854834</v>
      </c>
      <c r="C14" s="108">
        <f t="shared" ref="C14:M14" si="1">SUM(C7:C13)</f>
        <v>147433103</v>
      </c>
      <c r="D14" s="108">
        <f t="shared" si="1"/>
        <v>139175808</v>
      </c>
      <c r="E14" s="108">
        <f t="shared" si="1"/>
        <v>119338650</v>
      </c>
      <c r="F14" s="108">
        <f t="shared" si="1"/>
        <v>108011845</v>
      </c>
      <c r="G14" s="108">
        <f t="shared" si="1"/>
        <v>79779293</v>
      </c>
      <c r="H14" s="108">
        <f t="shared" si="1"/>
        <v>51077036</v>
      </c>
      <c r="I14" s="108">
        <f t="shared" si="1"/>
        <v>36041487</v>
      </c>
      <c r="J14" s="108">
        <f t="shared" si="1"/>
        <v>27266204</v>
      </c>
      <c r="K14" s="108">
        <f t="shared" si="1"/>
        <v>26605687</v>
      </c>
      <c r="L14" s="108">
        <f t="shared" si="1"/>
        <v>34533467</v>
      </c>
      <c r="M14" s="108">
        <f t="shared" si="1"/>
        <v>69741773</v>
      </c>
      <c r="N14" s="108">
        <f>SUM(N7:N13)</f>
        <v>953859187</v>
      </c>
      <c r="O14" s="106"/>
      <c r="P14" s="109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x14ac:dyDescent="0.2">
      <c r="P15" s="106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x14ac:dyDescent="0.2">
      <c r="A16" s="70" t="s">
        <v>83</v>
      </c>
      <c r="B16" s="105">
        <v>17084284</v>
      </c>
      <c r="C16" s="105">
        <v>17766050</v>
      </c>
      <c r="D16" s="105">
        <v>18599632</v>
      </c>
      <c r="E16" s="105">
        <v>17211117</v>
      </c>
      <c r="F16" s="105">
        <v>18989641</v>
      </c>
      <c r="G16" s="105">
        <v>17471197</v>
      </c>
      <c r="H16" s="105">
        <v>16978802</v>
      </c>
      <c r="I16" s="105">
        <v>15802387</v>
      </c>
      <c r="J16" s="105">
        <v>15440724</v>
      </c>
      <c r="K16" s="105">
        <v>15861015</v>
      </c>
      <c r="L16" s="105">
        <v>15507410</v>
      </c>
      <c r="M16" s="105">
        <v>16159641</v>
      </c>
      <c r="N16" s="107">
        <f>SUM(B16:M16)</f>
        <v>202871900</v>
      </c>
      <c r="P16" s="110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1:14" x14ac:dyDescent="0.2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68"/>
    </row>
    <row r="18" spans="1:14" x14ac:dyDescent="0.2">
      <c r="A18" s="101" t="s">
        <v>84</v>
      </c>
      <c r="E18" s="111"/>
      <c r="F18" s="111"/>
      <c r="G18" s="111"/>
      <c r="H18" s="111"/>
      <c r="I18" s="111"/>
      <c r="J18" s="111"/>
      <c r="K18" s="111"/>
      <c r="L18" s="111"/>
      <c r="M18" s="111"/>
      <c r="N18" s="68"/>
    </row>
    <row r="19" spans="1:14" x14ac:dyDescent="0.2">
      <c r="A19" s="112" t="s">
        <v>85</v>
      </c>
      <c r="C19" s="74">
        <v>23</v>
      </c>
      <c r="D19" s="74">
        <v>16</v>
      </c>
      <c r="E19" s="74">
        <v>31</v>
      </c>
      <c r="F19" s="74">
        <v>41</v>
      </c>
      <c r="G19" s="74">
        <v>85</v>
      </c>
      <c r="H19" s="74">
        <v>86</v>
      </c>
      <c r="I19" s="74">
        <v>87</v>
      </c>
      <c r="J19" s="74" t="s">
        <v>7</v>
      </c>
    </row>
    <row r="20" spans="1:14" x14ac:dyDescent="0.2">
      <c r="A20" s="112" t="s">
        <v>86</v>
      </c>
      <c r="C20" s="106">
        <f>SUM($B$7:$M$7)</f>
        <v>607149561</v>
      </c>
      <c r="D20" s="106">
        <f>SUM($B$8:$M$8)</f>
        <v>13738</v>
      </c>
      <c r="E20" s="106">
        <f>SUM($B$9:$M$9)</f>
        <v>231908804</v>
      </c>
      <c r="F20" s="106">
        <f>SUM($B$10:$M$10)</f>
        <v>67177571</v>
      </c>
      <c r="G20" s="106">
        <f>SUM($B$11:$M$11)</f>
        <v>17913519</v>
      </c>
      <c r="H20" s="106">
        <f>SUM($B$12:$M$12)</f>
        <v>8625159</v>
      </c>
      <c r="I20" s="106">
        <f>SUM($B$13:$M$13)</f>
        <v>21070835</v>
      </c>
      <c r="J20" s="109">
        <f>SUM(C20:I20)</f>
        <v>953859187</v>
      </c>
    </row>
    <row r="21" spans="1:14" x14ac:dyDescent="0.2">
      <c r="A21" s="112"/>
    </row>
    <row r="22" spans="1:14" x14ac:dyDescent="0.2">
      <c r="A22" s="101" t="s">
        <v>87</v>
      </c>
    </row>
    <row r="23" spans="1:14" x14ac:dyDescent="0.2">
      <c r="B23" s="113">
        <f>B6</f>
        <v>43040</v>
      </c>
      <c r="C23" s="113">
        <f t="shared" ref="C23:M23" si="2">C6</f>
        <v>43070</v>
      </c>
      <c r="D23" s="113">
        <f t="shared" si="2"/>
        <v>43101</v>
      </c>
      <c r="E23" s="113">
        <f t="shared" si="2"/>
        <v>43132</v>
      </c>
      <c r="F23" s="113">
        <f t="shared" si="2"/>
        <v>43160</v>
      </c>
      <c r="G23" s="113">
        <f t="shared" si="2"/>
        <v>43191</v>
      </c>
      <c r="H23" s="113">
        <f t="shared" si="2"/>
        <v>43221</v>
      </c>
      <c r="I23" s="113">
        <f t="shared" si="2"/>
        <v>43252</v>
      </c>
      <c r="J23" s="113">
        <f t="shared" si="2"/>
        <v>43282</v>
      </c>
      <c r="K23" s="113">
        <f t="shared" si="2"/>
        <v>43313</v>
      </c>
      <c r="L23" s="113">
        <f t="shared" si="2"/>
        <v>43344</v>
      </c>
      <c r="M23" s="113">
        <f t="shared" si="2"/>
        <v>43374</v>
      </c>
      <c r="N23" s="74" t="s">
        <v>88</v>
      </c>
    </row>
    <row r="24" spans="1:14" x14ac:dyDescent="0.2">
      <c r="A24" s="114" t="s">
        <v>2</v>
      </c>
    </row>
    <row r="25" spans="1:14" x14ac:dyDescent="0.2">
      <c r="A25" s="70">
        <v>23</v>
      </c>
      <c r="B25" s="115">
        <v>761884</v>
      </c>
      <c r="C25" s="115">
        <v>763598</v>
      </c>
      <c r="D25" s="115">
        <v>765355</v>
      </c>
      <c r="E25" s="115">
        <v>766621</v>
      </c>
      <c r="F25" s="115">
        <v>767350</v>
      </c>
      <c r="G25" s="115">
        <v>767900</v>
      </c>
      <c r="H25" s="115">
        <v>768059</v>
      </c>
      <c r="I25" s="115">
        <v>768179</v>
      </c>
      <c r="J25" s="115">
        <v>767920</v>
      </c>
      <c r="K25" s="115">
        <v>768126</v>
      </c>
      <c r="L25" s="115">
        <v>768838</v>
      </c>
      <c r="M25" s="115">
        <v>770542</v>
      </c>
      <c r="N25" s="111">
        <f>AVERAGE(B25:M25)</f>
        <v>767031</v>
      </c>
    </row>
    <row r="26" spans="1:14" x14ac:dyDescent="0.2">
      <c r="A26" s="70" t="s">
        <v>89</v>
      </c>
      <c r="B26" s="111">
        <f>ROUND(+B8/19,0)</f>
        <v>67</v>
      </c>
      <c r="C26" s="111">
        <f t="shared" ref="C26:L26" si="3">ROUND(+C8/19,0)</f>
        <v>47</v>
      </c>
      <c r="D26" s="111">
        <f t="shared" si="3"/>
        <v>75</v>
      </c>
      <c r="E26" s="111">
        <f t="shared" si="3"/>
        <v>84</v>
      </c>
      <c r="F26" s="111">
        <f t="shared" si="3"/>
        <v>65</v>
      </c>
      <c r="G26" s="111">
        <f t="shared" si="3"/>
        <v>55</v>
      </c>
      <c r="H26" s="111">
        <f t="shared" si="3"/>
        <v>43</v>
      </c>
      <c r="I26" s="111">
        <f t="shared" si="3"/>
        <v>54</v>
      </c>
      <c r="J26" s="111">
        <f t="shared" si="3"/>
        <v>60</v>
      </c>
      <c r="K26" s="111">
        <f t="shared" si="3"/>
        <v>54</v>
      </c>
      <c r="L26" s="111">
        <f t="shared" si="3"/>
        <v>68</v>
      </c>
      <c r="M26" s="111">
        <f>ROUND(+M8/19,0)</f>
        <v>52</v>
      </c>
      <c r="N26" s="111">
        <f>AVERAGE(B26:M26)</f>
        <v>60.333333333333336</v>
      </c>
    </row>
    <row r="27" spans="1:14" x14ac:dyDescent="0.2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x14ac:dyDescent="0.2">
      <c r="A28" s="114" t="s">
        <v>90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 x14ac:dyDescent="0.2">
      <c r="A29" s="70">
        <v>31</v>
      </c>
      <c r="B29" s="115">
        <v>56818</v>
      </c>
      <c r="C29" s="115">
        <v>56962</v>
      </c>
      <c r="D29" s="115">
        <v>57096</v>
      </c>
      <c r="E29" s="115">
        <v>57204</v>
      </c>
      <c r="F29" s="115">
        <v>57273</v>
      </c>
      <c r="G29" s="115">
        <v>57286</v>
      </c>
      <c r="H29" s="115">
        <v>57298</v>
      </c>
      <c r="I29" s="115">
        <v>57310</v>
      </c>
      <c r="J29" s="115">
        <v>57320</v>
      </c>
      <c r="K29" s="115">
        <v>57318</v>
      </c>
      <c r="L29" s="115">
        <v>57365</v>
      </c>
      <c r="M29" s="115">
        <v>57486</v>
      </c>
      <c r="N29" s="111">
        <f>AVERAGE(B29:M29)</f>
        <v>57228</v>
      </c>
    </row>
    <row r="30" spans="1:14" x14ac:dyDescent="0.2">
      <c r="A30" s="70">
        <v>41</v>
      </c>
      <c r="B30" s="115">
        <v>1328</v>
      </c>
      <c r="C30" s="115">
        <v>1325</v>
      </c>
      <c r="D30" s="115">
        <v>1324</v>
      </c>
      <c r="E30" s="115">
        <v>1321</v>
      </c>
      <c r="F30" s="115">
        <v>1318</v>
      </c>
      <c r="G30" s="115">
        <v>1316</v>
      </c>
      <c r="H30" s="115">
        <v>1314</v>
      </c>
      <c r="I30" s="115">
        <v>1312</v>
      </c>
      <c r="J30" s="115">
        <v>1311</v>
      </c>
      <c r="K30" s="115">
        <v>1309</v>
      </c>
      <c r="L30" s="115">
        <v>1309</v>
      </c>
      <c r="M30" s="115">
        <v>1305</v>
      </c>
      <c r="N30" s="111">
        <f>AVERAGE(B30:M30)</f>
        <v>1316</v>
      </c>
    </row>
    <row r="31" spans="1:14" x14ac:dyDescent="0.2">
      <c r="A31" s="7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4" x14ac:dyDescent="0.2">
      <c r="A32" s="70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x14ac:dyDescent="0.2">
      <c r="A33" s="114" t="s">
        <v>91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x14ac:dyDescent="0.2">
      <c r="A34" s="70">
        <v>85</v>
      </c>
      <c r="B34" s="115">
        <v>33</v>
      </c>
      <c r="C34" s="115">
        <v>33</v>
      </c>
      <c r="D34" s="115">
        <v>33</v>
      </c>
      <c r="E34" s="115">
        <v>33</v>
      </c>
      <c r="F34" s="115">
        <v>33</v>
      </c>
      <c r="G34" s="115">
        <v>33</v>
      </c>
      <c r="H34" s="115">
        <v>33</v>
      </c>
      <c r="I34" s="115">
        <v>33</v>
      </c>
      <c r="J34" s="115">
        <v>33</v>
      </c>
      <c r="K34" s="115">
        <v>34</v>
      </c>
      <c r="L34" s="115">
        <v>34</v>
      </c>
      <c r="M34" s="115">
        <v>34</v>
      </c>
      <c r="N34" s="111">
        <f>AVERAGE(B34:M34)</f>
        <v>33.25</v>
      </c>
    </row>
    <row r="35" spans="1:14" x14ac:dyDescent="0.2">
      <c r="A35" s="70">
        <v>86</v>
      </c>
      <c r="B35" s="115">
        <v>234</v>
      </c>
      <c r="C35" s="115">
        <v>233</v>
      </c>
      <c r="D35" s="115">
        <v>233</v>
      </c>
      <c r="E35" s="115">
        <v>232</v>
      </c>
      <c r="F35" s="115">
        <v>230</v>
      </c>
      <c r="G35" s="115">
        <v>229</v>
      </c>
      <c r="H35" s="115">
        <v>228</v>
      </c>
      <c r="I35" s="115">
        <v>228</v>
      </c>
      <c r="J35" s="115">
        <v>227</v>
      </c>
      <c r="K35" s="115">
        <v>226</v>
      </c>
      <c r="L35" s="115">
        <v>225</v>
      </c>
      <c r="M35" s="115">
        <v>225</v>
      </c>
      <c r="N35" s="111">
        <f>AVERAGE(B35:M35)</f>
        <v>229.16666666666666</v>
      </c>
    </row>
    <row r="36" spans="1:14" x14ac:dyDescent="0.2">
      <c r="A36" s="70">
        <v>87</v>
      </c>
      <c r="B36" s="115">
        <v>5</v>
      </c>
      <c r="C36" s="115">
        <v>5</v>
      </c>
      <c r="D36" s="115">
        <v>5</v>
      </c>
      <c r="E36" s="115">
        <v>5</v>
      </c>
      <c r="F36" s="115">
        <v>5</v>
      </c>
      <c r="G36" s="115">
        <v>5</v>
      </c>
      <c r="H36" s="115">
        <v>5</v>
      </c>
      <c r="I36" s="115">
        <v>5</v>
      </c>
      <c r="J36" s="115">
        <v>5</v>
      </c>
      <c r="K36" s="115">
        <v>5</v>
      </c>
      <c r="L36" s="115">
        <v>5</v>
      </c>
      <c r="M36" s="115">
        <v>5</v>
      </c>
      <c r="N36" s="111">
        <f>AVERAGE(B36:M36)</f>
        <v>5</v>
      </c>
    </row>
    <row r="37" spans="1:14" x14ac:dyDescent="0.2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</row>
    <row r="38" spans="1:14" x14ac:dyDescent="0.2">
      <c r="A38" s="6" t="s">
        <v>7</v>
      </c>
      <c r="B38" s="111">
        <f>SUM(B34:B36,B29:B30,B25:B26)</f>
        <v>820369</v>
      </c>
      <c r="C38" s="111">
        <f t="shared" ref="C38:K38" si="4">SUM(C34:C36,C29:C31,C25:C26)</f>
        <v>822203</v>
      </c>
      <c r="D38" s="111">
        <f>SUM(D34:D36,D29:D31,D25:D26)</f>
        <v>824121</v>
      </c>
      <c r="E38" s="111">
        <f t="shared" si="4"/>
        <v>825500</v>
      </c>
      <c r="F38" s="111">
        <f t="shared" si="4"/>
        <v>826274</v>
      </c>
      <c r="G38" s="111">
        <f t="shared" si="4"/>
        <v>826824</v>
      </c>
      <c r="H38" s="111">
        <f t="shared" si="4"/>
        <v>826980</v>
      </c>
      <c r="I38" s="111">
        <f t="shared" si="4"/>
        <v>827121</v>
      </c>
      <c r="J38" s="111">
        <f t="shared" si="4"/>
        <v>826876</v>
      </c>
      <c r="K38" s="111">
        <f t="shared" si="4"/>
        <v>827072</v>
      </c>
      <c r="L38" s="111">
        <f>SUM(L34:L36,L29:L31,L25:L26)</f>
        <v>827844</v>
      </c>
      <c r="M38" s="111">
        <f>SUM(M34:M36,M29:M31,M25:M26)</f>
        <v>829649</v>
      </c>
      <c r="N38" s="111">
        <f>SUM(N34:N36,N29:N31,N25:N26)</f>
        <v>825902.75</v>
      </c>
    </row>
    <row r="39" spans="1:14" x14ac:dyDescent="0.2">
      <c r="A39" s="112"/>
    </row>
    <row r="40" spans="1:14" x14ac:dyDescent="0.2">
      <c r="A40" s="6" t="s">
        <v>92</v>
      </c>
    </row>
    <row r="42" spans="1:14" x14ac:dyDescent="0.2">
      <c r="A42" s="6" t="s">
        <v>93</v>
      </c>
    </row>
    <row r="44" spans="1:14" x14ac:dyDescent="0.2"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4" x14ac:dyDescent="0.2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9" spans="1:14" x14ac:dyDescent="0.2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</row>
    <row r="53" spans="1:14" x14ac:dyDescent="0.2">
      <c r="A53" s="70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 x14ac:dyDescent="0.2">
      <c r="A54" s="70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 x14ac:dyDescent="0.2">
      <c r="A56" s="70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 x14ac:dyDescent="0.2">
      <c r="A57" s="70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 x14ac:dyDescent="0.2">
      <c r="A58" s="70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 x14ac:dyDescent="0.2">
      <c r="A59" s="70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 x14ac:dyDescent="0.2">
      <c r="A60" s="70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 x14ac:dyDescent="0.2">
      <c r="A61" s="70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 x14ac:dyDescent="0.2">
      <c r="A62" s="70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 x14ac:dyDescent="0.2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5" spans="2:14" x14ac:dyDescent="0.2"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2:14" x14ac:dyDescent="0.2"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</row>
  </sheetData>
  <printOptions horizontalCentered="1"/>
  <pageMargins left="0.75" right="0.75" top="1" bottom="1" header="0.5" footer="0.5"/>
  <pageSetup scale="68" orientation="landscape" blackAndWhite="1" r:id="rId1"/>
  <headerFooter alignWithMargins="0">
    <oddFooter>&amp;L&amp;F 
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activeCell="J59" sqref="J59"/>
    </sheetView>
  </sheetViews>
  <sheetFormatPr defaultRowHeight="12.75" x14ac:dyDescent="0.2"/>
  <cols>
    <col min="1" max="1" width="5.5703125" style="3" customWidth="1"/>
    <col min="2" max="2" width="12.7109375" style="53" customWidth="1"/>
    <col min="3" max="3" width="2.140625" style="3" customWidth="1"/>
    <col min="4" max="4" width="9.7109375" style="3" bestFit="1" customWidth="1"/>
    <col min="5" max="5" width="10.28515625" style="3" bestFit="1" customWidth="1"/>
    <col min="6" max="6" width="12.28515625" style="3" bestFit="1" customWidth="1"/>
    <col min="7" max="7" width="2" style="3" customWidth="1"/>
    <col min="8" max="8" width="14.85546875" style="3" bestFit="1" customWidth="1"/>
    <col min="9" max="9" width="12.7109375" style="3" bestFit="1" customWidth="1"/>
    <col min="10" max="10" width="2.140625" style="24" customWidth="1"/>
    <col min="11" max="11" width="14" style="3" bestFit="1" customWidth="1"/>
    <col min="12" max="12" width="14.5703125" style="3" bestFit="1" customWidth="1"/>
    <col min="13" max="13" width="12.85546875" style="3" bestFit="1" customWidth="1"/>
    <col min="14" max="15" width="3.28515625" style="3" bestFit="1" customWidth="1"/>
    <col min="16" max="16" width="3.28515625" style="3" customWidth="1"/>
    <col min="17" max="17" width="9.5703125" style="3" bestFit="1" customWidth="1"/>
    <col min="18" max="16384" width="9.140625" style="3"/>
  </cols>
  <sheetData>
    <row r="1" spans="1:16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6"/>
    </row>
    <row r="2" spans="1:16" ht="15.75" x14ac:dyDescent="0.25">
      <c r="A2" s="4" t="s">
        <v>169</v>
      </c>
      <c r="B2" s="117"/>
      <c r="C2" s="118"/>
      <c r="D2" s="118"/>
      <c r="E2" s="118"/>
      <c r="F2" s="118"/>
      <c r="G2" s="118"/>
      <c r="H2" s="118"/>
      <c r="I2" s="118"/>
      <c r="J2" s="119"/>
      <c r="K2" s="118"/>
      <c r="L2" s="118"/>
      <c r="M2" s="118"/>
      <c r="N2" s="116"/>
    </row>
    <row r="3" spans="1:16" ht="15.75" x14ac:dyDescent="0.25">
      <c r="A3" s="118" t="s">
        <v>94</v>
      </c>
      <c r="B3" s="117"/>
      <c r="C3" s="117"/>
      <c r="D3" s="117"/>
      <c r="E3" s="117"/>
      <c r="F3" s="117"/>
      <c r="G3" s="120"/>
      <c r="H3" s="121"/>
      <c r="I3" s="121"/>
      <c r="J3" s="122"/>
      <c r="K3" s="123"/>
      <c r="L3" s="124"/>
      <c r="M3" s="124"/>
      <c r="N3" s="116"/>
    </row>
    <row r="4" spans="1:16" x14ac:dyDescent="0.2">
      <c r="K4" s="125"/>
      <c r="L4" s="37"/>
      <c r="M4" s="37"/>
    </row>
    <row r="5" spans="1:16" x14ac:dyDescent="0.2">
      <c r="D5" s="8" t="s">
        <v>95</v>
      </c>
      <c r="E5" s="8"/>
      <c r="F5" s="8"/>
      <c r="H5" s="126" t="s">
        <v>96</v>
      </c>
      <c r="I5" s="8"/>
      <c r="J5" s="18"/>
      <c r="K5" s="127" t="s">
        <v>97</v>
      </c>
      <c r="L5" s="128"/>
      <c r="M5" s="129"/>
    </row>
    <row r="6" spans="1:16" x14ac:dyDescent="0.2">
      <c r="A6" s="19"/>
      <c r="B6" s="19" t="s">
        <v>98</v>
      </c>
      <c r="C6" s="127"/>
      <c r="D6" s="130"/>
      <c r="E6" s="130"/>
      <c r="F6" s="130"/>
      <c r="H6" s="131" t="s">
        <v>7</v>
      </c>
      <c r="I6" s="132" t="s">
        <v>88</v>
      </c>
      <c r="J6" s="132"/>
      <c r="K6" s="128" t="s">
        <v>99</v>
      </c>
      <c r="L6" s="133" t="s">
        <v>100</v>
      </c>
      <c r="M6" s="134"/>
      <c r="N6" s="2"/>
    </row>
    <row r="7" spans="1:16" x14ac:dyDescent="0.2">
      <c r="A7" s="12" t="s">
        <v>5</v>
      </c>
      <c r="B7" s="12" t="s">
        <v>101</v>
      </c>
      <c r="C7" s="127"/>
      <c r="D7" s="12" t="s">
        <v>102</v>
      </c>
      <c r="E7" s="12" t="s">
        <v>103</v>
      </c>
      <c r="F7" s="12" t="s">
        <v>104</v>
      </c>
      <c r="H7" s="135" t="s">
        <v>105</v>
      </c>
      <c r="I7" s="135" t="s">
        <v>106</v>
      </c>
      <c r="J7" s="131"/>
      <c r="K7" s="136" t="s">
        <v>104</v>
      </c>
      <c r="L7" s="137" t="s">
        <v>107</v>
      </c>
      <c r="M7" s="137" t="s">
        <v>108</v>
      </c>
    </row>
    <row r="8" spans="1:16" x14ac:dyDescent="0.2">
      <c r="A8" s="138"/>
      <c r="B8" s="127"/>
      <c r="C8" s="127"/>
      <c r="D8" s="127" t="s">
        <v>49</v>
      </c>
      <c r="E8" s="19" t="s">
        <v>50</v>
      </c>
      <c r="F8" s="127" t="s">
        <v>109</v>
      </c>
      <c r="G8" s="138"/>
      <c r="H8" s="127" t="s">
        <v>52</v>
      </c>
      <c r="I8" s="139" t="s">
        <v>53</v>
      </c>
      <c r="J8" s="19"/>
      <c r="K8" s="139" t="s">
        <v>54</v>
      </c>
      <c r="L8" s="140" t="s">
        <v>55</v>
      </c>
      <c r="M8" s="140" t="s">
        <v>110</v>
      </c>
      <c r="N8" s="138"/>
      <c r="O8" s="127"/>
      <c r="P8" s="127"/>
    </row>
    <row r="9" spans="1:16" x14ac:dyDescent="0.2">
      <c r="D9" s="127"/>
      <c r="E9" s="127"/>
      <c r="F9" s="127" t="s">
        <v>111</v>
      </c>
      <c r="H9" s="131"/>
      <c r="I9" s="132"/>
      <c r="J9" s="132"/>
      <c r="K9" s="139" t="s">
        <v>112</v>
      </c>
      <c r="L9" s="140" t="s">
        <v>113</v>
      </c>
      <c r="M9" s="140" t="s">
        <v>114</v>
      </c>
    </row>
    <row r="10" spans="1:16" x14ac:dyDescent="0.2">
      <c r="A10" s="127"/>
      <c r="B10" s="141" t="s">
        <v>2</v>
      </c>
      <c r="C10" s="2"/>
      <c r="D10" s="142"/>
      <c r="E10" s="142"/>
      <c r="F10" s="112"/>
      <c r="G10" s="6"/>
      <c r="H10" s="143"/>
      <c r="I10" s="143"/>
      <c r="J10" s="144"/>
      <c r="K10" s="145"/>
      <c r="L10" s="146"/>
      <c r="M10" s="146"/>
      <c r="O10" s="147"/>
      <c r="P10" s="147"/>
    </row>
    <row r="11" spans="1:16" s="6" customFormat="1" x14ac:dyDescent="0.2">
      <c r="A11" s="70">
        <v>1</v>
      </c>
      <c r="B11" s="70">
        <v>23</v>
      </c>
      <c r="C11" s="70"/>
      <c r="D11" s="148">
        <f>'Rates PGA-1'!E$53</f>
        <v>0.4173</v>
      </c>
      <c r="E11" s="148">
        <f>'Rates PGA-1'!E51</f>
        <v>0.38446999999999998</v>
      </c>
      <c r="F11" s="149">
        <f>+E11-D11</f>
        <v>-3.2830000000000026E-2</v>
      </c>
      <c r="G11" s="150"/>
      <c r="H11" s="151">
        <f>ROUND('Forecast PGA-3'!C20,0)</f>
        <v>607149561</v>
      </c>
      <c r="I11" s="151">
        <f>ROUND('Forecast PGA-3'!N25,0)</f>
        <v>767031</v>
      </c>
      <c r="J11" s="152"/>
      <c r="K11" s="153">
        <f>+H11*F11</f>
        <v>-19932720.087630015</v>
      </c>
      <c r="L11" s="154">
        <f>+K11/I11</f>
        <v>-25.98685071089697</v>
      </c>
      <c r="M11" s="154">
        <f>+L11/12</f>
        <v>-2.1655708925747477</v>
      </c>
      <c r="N11" s="49"/>
      <c r="O11" s="49"/>
      <c r="P11" s="150"/>
    </row>
    <row r="12" spans="1:16" s="6" customFormat="1" x14ac:dyDescent="0.2">
      <c r="A12" s="70">
        <f>A11+1</f>
        <v>2</v>
      </c>
      <c r="B12" s="70">
        <v>16</v>
      </c>
      <c r="C12" s="70"/>
      <c r="D12" s="148">
        <f>'Rates PGA-1'!F$53</f>
        <v>0.4173</v>
      </c>
      <c r="E12" s="148">
        <f>'Rates PGA-1'!F51</f>
        <v>0.38446999999999998</v>
      </c>
      <c r="F12" s="149">
        <f>+E12-D12</f>
        <v>-3.2830000000000026E-2</v>
      </c>
      <c r="G12" s="150"/>
      <c r="H12" s="151">
        <f>ROUND('Forecast PGA-3'!D20,0)</f>
        <v>13738</v>
      </c>
      <c r="I12" s="151">
        <f>ROUND('Forecast PGA-3'!N26,0)</f>
        <v>60</v>
      </c>
      <c r="J12" s="152"/>
      <c r="K12" s="153">
        <f>+H12*F12</f>
        <v>-451.01854000000037</v>
      </c>
      <c r="L12" s="154">
        <f>+K12/I12</f>
        <v>-7.5169756666666725</v>
      </c>
      <c r="M12" s="154">
        <f>+L12/12</f>
        <v>-0.62641463888888937</v>
      </c>
      <c r="N12" s="49"/>
      <c r="O12" s="49"/>
      <c r="P12" s="150"/>
    </row>
    <row r="13" spans="1:16" s="6" customFormat="1" x14ac:dyDescent="0.2">
      <c r="A13" s="70">
        <f>A12+1</f>
        <v>3</v>
      </c>
      <c r="B13" s="112" t="s">
        <v>115</v>
      </c>
      <c r="C13" s="70"/>
      <c r="D13" s="149"/>
      <c r="E13" s="149"/>
      <c r="F13" s="149"/>
      <c r="G13" s="150"/>
      <c r="H13" s="155">
        <f>SUM(H11:H12)</f>
        <v>607163299</v>
      </c>
      <c r="I13" s="155">
        <f>SUM(I11:I12)</f>
        <v>767091</v>
      </c>
      <c r="J13" s="144"/>
      <c r="K13" s="156">
        <f>SUM(K11:K12)</f>
        <v>-19933171.106170014</v>
      </c>
      <c r="L13" s="157">
        <f>+K13/I13</f>
        <v>-25.985406042008073</v>
      </c>
      <c r="M13" s="157">
        <f>+L13/12</f>
        <v>-2.1654505035006726</v>
      </c>
      <c r="N13" s="49"/>
      <c r="O13" s="49"/>
      <c r="P13" s="150"/>
    </row>
    <row r="14" spans="1:16" s="6" customFormat="1" x14ac:dyDescent="0.2">
      <c r="A14" s="70"/>
      <c r="B14" s="158"/>
      <c r="D14" s="149"/>
      <c r="E14" s="149"/>
      <c r="F14" s="149"/>
      <c r="G14" s="150"/>
      <c r="H14" s="143"/>
      <c r="I14" s="143"/>
      <c r="J14" s="144"/>
      <c r="K14" s="153"/>
      <c r="L14" s="154"/>
      <c r="M14" s="154"/>
      <c r="N14" s="49"/>
      <c r="O14" s="49"/>
      <c r="P14" s="150"/>
    </row>
    <row r="15" spans="1:16" s="6" customFormat="1" x14ac:dyDescent="0.2">
      <c r="A15" s="70"/>
      <c r="B15" s="114" t="s">
        <v>90</v>
      </c>
      <c r="C15" s="112"/>
      <c r="D15" s="149"/>
      <c r="E15" s="149"/>
      <c r="F15" s="149"/>
      <c r="G15" s="150"/>
      <c r="H15" s="143"/>
      <c r="I15" s="143"/>
      <c r="J15" s="144"/>
      <c r="K15" s="153"/>
      <c r="L15" s="154"/>
      <c r="M15" s="154"/>
      <c r="N15" s="49"/>
      <c r="O15" s="49"/>
      <c r="P15" s="150"/>
    </row>
    <row r="16" spans="1:16" s="6" customFormat="1" x14ac:dyDescent="0.2">
      <c r="A16" s="70">
        <f>A13+1</f>
        <v>4</v>
      </c>
      <c r="B16" s="70">
        <v>31</v>
      </c>
      <c r="C16" s="70"/>
      <c r="D16" s="148">
        <f>'Rates PGA-1'!G$53</f>
        <v>0.41065000000000002</v>
      </c>
      <c r="E16" s="148">
        <f>'Rates PGA-1'!G51</f>
        <v>0.37808000000000003</v>
      </c>
      <c r="F16" s="149">
        <f>+E16-D16</f>
        <v>-3.2569999999999988E-2</v>
      </c>
      <c r="G16" s="150"/>
      <c r="H16" s="151">
        <f>ROUND('Forecast PGA-3'!E20,0)</f>
        <v>231908804</v>
      </c>
      <c r="I16" s="151">
        <f>ROUND('Forecast PGA-3'!N29,0)</f>
        <v>57228</v>
      </c>
      <c r="J16" s="152"/>
      <c r="K16" s="153">
        <f>+H16*F16</f>
        <v>-7553269.7462799968</v>
      </c>
      <c r="L16" s="154">
        <f>+K16/I16</f>
        <v>-131.98556207241205</v>
      </c>
      <c r="M16" s="154">
        <f>+L16/12</f>
        <v>-10.998796839367671</v>
      </c>
      <c r="N16" s="49"/>
      <c r="O16" s="49"/>
      <c r="P16" s="150"/>
    </row>
    <row r="17" spans="1:16" s="6" customFormat="1" x14ac:dyDescent="0.2">
      <c r="A17" s="70">
        <f>A16+1</f>
        <v>5</v>
      </c>
      <c r="B17" s="70">
        <v>41</v>
      </c>
      <c r="C17" s="70"/>
      <c r="D17" s="148">
        <f>'Rates PGA-1'!H$53</f>
        <v>0.32635999999999998</v>
      </c>
      <c r="E17" s="148">
        <f>'Rates PGA-1'!H51</f>
        <v>0.29249000000000003</v>
      </c>
      <c r="F17" s="149">
        <f>+E17-D17</f>
        <v>-3.3869999999999956E-2</v>
      </c>
      <c r="G17" s="150"/>
      <c r="H17" s="159">
        <f>ROUND('Forecast PGA-3'!F20,0)</f>
        <v>67177571</v>
      </c>
      <c r="I17" s="151">
        <f>ROUND('Forecast PGA-3'!N30,0)</f>
        <v>1316</v>
      </c>
      <c r="J17" s="152"/>
      <c r="K17" s="153">
        <f>+H17*F17</f>
        <v>-2275304.3297699969</v>
      </c>
      <c r="L17" s="154">
        <f>+K17/I17</f>
        <v>-1728.9546578799368</v>
      </c>
      <c r="M17" s="154">
        <f>+L17/12</f>
        <v>-144.07955482332807</v>
      </c>
      <c r="N17" s="49"/>
      <c r="O17" s="49"/>
      <c r="P17" s="150"/>
    </row>
    <row r="18" spans="1:16" s="6" customFormat="1" x14ac:dyDescent="0.2">
      <c r="A18" s="70">
        <f>A17+1</f>
        <v>6</v>
      </c>
      <c r="B18" s="112" t="s">
        <v>116</v>
      </c>
      <c r="C18" s="70"/>
      <c r="D18" s="149"/>
      <c r="E18" s="149"/>
      <c r="F18" s="149"/>
      <c r="G18" s="150"/>
      <c r="H18" s="155">
        <f>SUM(H16:H17)</f>
        <v>299086375</v>
      </c>
      <c r="I18" s="155">
        <f>SUM(I16:I17)</f>
        <v>58544</v>
      </c>
      <c r="J18" s="144"/>
      <c r="K18" s="156">
        <f>SUM(K16:K17)</f>
        <v>-9828574.0760499947</v>
      </c>
      <c r="L18" s="157">
        <f>K18/I18</f>
        <v>-167.88354188388212</v>
      </c>
      <c r="M18" s="157">
        <f>L18/12</f>
        <v>-13.990295156990177</v>
      </c>
      <c r="N18" s="49"/>
      <c r="O18" s="49"/>
      <c r="P18" s="150"/>
    </row>
    <row r="19" spans="1:16" s="6" customFormat="1" x14ac:dyDescent="0.2">
      <c r="A19" s="70"/>
      <c r="B19" s="112"/>
      <c r="C19" s="70"/>
      <c r="D19" s="149"/>
      <c r="E19" s="149"/>
      <c r="F19" s="149"/>
      <c r="G19" s="150"/>
      <c r="H19" s="144"/>
      <c r="I19" s="144"/>
      <c r="J19" s="144"/>
      <c r="K19" s="160"/>
      <c r="L19" s="161"/>
      <c r="M19" s="161"/>
      <c r="N19" s="49"/>
      <c r="O19" s="49"/>
      <c r="P19" s="150"/>
    </row>
    <row r="20" spans="1:16" s="6" customFormat="1" x14ac:dyDescent="0.2">
      <c r="A20" s="70"/>
      <c r="B20" s="114" t="s">
        <v>4</v>
      </c>
      <c r="C20" s="70"/>
      <c r="D20" s="149"/>
      <c r="E20" s="149"/>
      <c r="F20" s="149"/>
      <c r="G20" s="150"/>
      <c r="H20" s="143"/>
      <c r="I20" s="143"/>
      <c r="J20" s="144"/>
      <c r="K20" s="153"/>
      <c r="L20" s="154"/>
      <c r="M20" s="154"/>
      <c r="N20" s="49"/>
      <c r="O20" s="49"/>
      <c r="P20" s="150"/>
    </row>
    <row r="21" spans="1:16" s="6" customFormat="1" x14ac:dyDescent="0.2">
      <c r="A21" s="70">
        <f>A18+1</f>
        <v>7</v>
      </c>
      <c r="B21" s="70">
        <v>85</v>
      </c>
      <c r="C21" s="70"/>
      <c r="D21" s="148">
        <f>'Rates PGA-1'!I$53</f>
        <v>0.35809000000000002</v>
      </c>
      <c r="E21" s="148">
        <f>'Rates PGA-1'!I51</f>
        <v>0.32704</v>
      </c>
      <c r="F21" s="149">
        <f>+E21-D21</f>
        <v>-3.1050000000000022E-2</v>
      </c>
      <c r="G21" s="150"/>
      <c r="H21" s="151">
        <f>ROUND('Forecast PGA-3'!G20,0)</f>
        <v>17913519</v>
      </c>
      <c r="I21" s="151">
        <f>ROUND('Forecast PGA-3'!N34,0)</f>
        <v>33</v>
      </c>
      <c r="J21" s="152"/>
      <c r="K21" s="153">
        <f>+H21*F21</f>
        <v>-556214.76495000045</v>
      </c>
      <c r="L21" s="154">
        <f>+K21/I21</f>
        <v>-16854.99287727274</v>
      </c>
      <c r="M21" s="154">
        <f>+L21/12</f>
        <v>-1404.5827397727282</v>
      </c>
      <c r="N21" s="49"/>
      <c r="O21" s="49"/>
      <c r="P21" s="150"/>
    </row>
    <row r="22" spans="1:16" s="6" customFormat="1" x14ac:dyDescent="0.2">
      <c r="A22" s="70">
        <f>A21+1</f>
        <v>8</v>
      </c>
      <c r="B22" s="70">
        <v>86</v>
      </c>
      <c r="C22" s="70"/>
      <c r="D22" s="148">
        <f>'Rates PGA-1'!J$53</f>
        <v>0.36377999999999999</v>
      </c>
      <c r="E22" s="148">
        <f>'Rates PGA-1'!J51</f>
        <v>0.33217000000000002</v>
      </c>
      <c r="F22" s="149">
        <f>+E22-D22</f>
        <v>-3.1609999999999971E-2</v>
      </c>
      <c r="G22" s="150"/>
      <c r="H22" s="151">
        <f>ROUND('Forecast PGA-3'!H20,0)</f>
        <v>8625159</v>
      </c>
      <c r="I22" s="151">
        <f>ROUND('Forecast PGA-3'!N35,0)</f>
        <v>229</v>
      </c>
      <c r="J22" s="152"/>
      <c r="K22" s="153">
        <f>+H22*F22</f>
        <v>-272641.27598999976</v>
      </c>
      <c r="L22" s="154">
        <f>+K22/I22</f>
        <v>-1190.5732575982522</v>
      </c>
      <c r="M22" s="154">
        <f>+L22/12</f>
        <v>-99.214438133187684</v>
      </c>
      <c r="N22" s="49"/>
      <c r="O22" s="49"/>
      <c r="P22" s="150"/>
    </row>
    <row r="23" spans="1:16" s="6" customFormat="1" x14ac:dyDescent="0.2">
      <c r="A23" s="70">
        <f>A22+1</f>
        <v>9</v>
      </c>
      <c r="B23" s="70">
        <v>87</v>
      </c>
      <c r="C23" s="70"/>
      <c r="D23" s="148">
        <f>'Rates PGA-1'!K$53</f>
        <v>0.36124000000000001</v>
      </c>
      <c r="E23" s="148">
        <f>'Rates PGA-1'!K51</f>
        <v>0.33071</v>
      </c>
      <c r="F23" s="149">
        <f>+E23-D23</f>
        <v>-3.0530000000000002E-2</v>
      </c>
      <c r="G23" s="150"/>
      <c r="H23" s="151">
        <f>ROUND('Forecast PGA-3'!I20,0)</f>
        <v>21070835</v>
      </c>
      <c r="I23" s="151">
        <f>ROUND('Forecast PGA-3'!N36,0)</f>
        <v>5</v>
      </c>
      <c r="J23" s="152"/>
      <c r="K23" s="153">
        <f>+H23*F23</f>
        <v>-643292.59255000006</v>
      </c>
      <c r="L23" s="154">
        <f>+K23/I23</f>
        <v>-128658.51851000001</v>
      </c>
      <c r="M23" s="154">
        <f>+L23/12</f>
        <v>-10721.543209166668</v>
      </c>
      <c r="N23" s="49"/>
      <c r="O23" s="49"/>
      <c r="P23" s="150"/>
    </row>
    <row r="24" spans="1:16" s="6" customFormat="1" x14ac:dyDescent="0.2">
      <c r="A24" s="70">
        <f>A23+1</f>
        <v>10</v>
      </c>
      <c r="B24" s="112" t="s">
        <v>117</v>
      </c>
      <c r="C24" s="70"/>
      <c r="D24" s="149"/>
      <c r="E24" s="149"/>
      <c r="F24" s="149"/>
      <c r="G24" s="150"/>
      <c r="H24" s="155">
        <f>SUM(H21:H23)</f>
        <v>47609513</v>
      </c>
      <c r="I24" s="155">
        <f>SUM(I21:I23)</f>
        <v>267</v>
      </c>
      <c r="J24" s="144"/>
      <c r="K24" s="156">
        <f>SUM(K21:K23)</f>
        <v>-1472148.6334900004</v>
      </c>
      <c r="L24" s="157">
        <f>K24/I24</f>
        <v>-5513.6652939700389</v>
      </c>
      <c r="M24" s="157">
        <f>L24/12</f>
        <v>-459.47210783083659</v>
      </c>
      <c r="N24" s="49"/>
      <c r="O24" s="49"/>
    </row>
    <row r="25" spans="1:16" x14ac:dyDescent="0.2">
      <c r="A25" s="70">
        <f>A24+1</f>
        <v>11</v>
      </c>
      <c r="B25" s="2" t="s">
        <v>7</v>
      </c>
      <c r="C25" s="127"/>
      <c r="D25" s="147"/>
      <c r="E25" s="147"/>
      <c r="F25" s="147"/>
      <c r="G25" s="147"/>
      <c r="H25" s="162">
        <f>SUM(H13,H18,H24)</f>
        <v>953859187</v>
      </c>
      <c r="I25" s="155">
        <f>SUM(I13,I18,I24)</f>
        <v>825902</v>
      </c>
      <c r="J25" s="144"/>
      <c r="K25" s="163">
        <f>SUM(K13,K18,K24)</f>
        <v>-31233893.815710008</v>
      </c>
      <c r="L25" s="154"/>
      <c r="M25" s="154"/>
      <c r="N25" s="36"/>
      <c r="O25" s="36"/>
    </row>
    <row r="26" spans="1:16" x14ac:dyDescent="0.2">
      <c r="A26" s="70"/>
      <c r="B26" s="2"/>
      <c r="C26" s="127"/>
      <c r="D26" s="147"/>
      <c r="E26" s="147"/>
      <c r="F26" s="147"/>
      <c r="G26" s="147"/>
      <c r="H26" s="164"/>
      <c r="I26" s="144"/>
      <c r="J26" s="144"/>
      <c r="K26" s="165"/>
      <c r="L26" s="154"/>
      <c r="M26" s="154"/>
      <c r="N26" s="36"/>
      <c r="O26" s="36"/>
    </row>
    <row r="27" spans="1:16" x14ac:dyDescent="0.2">
      <c r="A27" s="3" t="s">
        <v>118</v>
      </c>
      <c r="B27" s="166"/>
      <c r="C27" s="116"/>
      <c r="D27" s="116"/>
      <c r="E27" s="116"/>
      <c r="F27" s="147"/>
      <c r="G27" s="147"/>
      <c r="H27" s="167"/>
      <c r="I27" s="116"/>
      <c r="J27" s="168"/>
      <c r="K27" s="169"/>
      <c r="L27" s="170"/>
      <c r="M27" s="170"/>
      <c r="N27" s="169"/>
      <c r="O27" s="36"/>
    </row>
    <row r="28" spans="1:16" x14ac:dyDescent="0.2">
      <c r="B28" s="166"/>
      <c r="C28" s="116"/>
      <c r="D28" s="116"/>
      <c r="E28" s="116"/>
      <c r="F28" s="147"/>
      <c r="G28" s="147"/>
      <c r="H28" s="167"/>
      <c r="I28" s="116"/>
      <c r="J28" s="168"/>
      <c r="K28" s="169"/>
      <c r="L28" s="170"/>
      <c r="M28" s="170"/>
      <c r="N28" s="169"/>
      <c r="O28" s="36"/>
    </row>
    <row r="29" spans="1:16" ht="111" customHeight="1" x14ac:dyDescent="0.2">
      <c r="A29" s="116"/>
      <c r="B29" s="166"/>
      <c r="C29" s="116"/>
      <c r="D29" s="116"/>
      <c r="E29" s="116"/>
      <c r="F29" s="147"/>
      <c r="G29" s="147"/>
      <c r="H29" s="167"/>
      <c r="I29" s="116"/>
      <c r="J29" s="168"/>
      <c r="K29" s="171"/>
      <c r="L29" s="172"/>
      <c r="M29" s="173"/>
      <c r="N29" s="174" t="s">
        <v>75</v>
      </c>
      <c r="O29" s="175" t="s">
        <v>119</v>
      </c>
      <c r="P29" s="98" t="s">
        <v>77</v>
      </c>
    </row>
    <row r="30" spans="1:16" x14ac:dyDescent="0.2">
      <c r="A30" s="3" t="s">
        <v>120</v>
      </c>
    </row>
  </sheetData>
  <printOptions horizontalCentered="1"/>
  <pageMargins left="0.75" right="0.75" top="1" bottom="1" header="0.5" footer="0.5"/>
  <pageSetup scale="91" orientation="landscape" blackAndWhite="1" r:id="rId1"/>
  <headerFooter alignWithMargins="0">
    <oddFooter>&amp;L&amp;F 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6"/>
  <sheetViews>
    <sheetView workbookViewId="0">
      <selection activeCell="J59" sqref="J59"/>
    </sheetView>
  </sheetViews>
  <sheetFormatPr defaultRowHeight="12.75" x14ac:dyDescent="0.2"/>
  <cols>
    <col min="1" max="1" width="2" customWidth="1"/>
    <col min="2" max="2" width="31.85546875" customWidth="1"/>
    <col min="3" max="3" width="12.28515625" bestFit="1" customWidth="1"/>
    <col min="4" max="4" width="12.28515625" customWidth="1"/>
    <col min="5" max="5" width="15" bestFit="1" customWidth="1"/>
    <col min="6" max="6" width="17.28515625" customWidth="1"/>
    <col min="7" max="7" width="12.140625" customWidth="1"/>
    <col min="8" max="8" width="13.7109375" customWidth="1"/>
    <col min="9" max="9" width="8.85546875" customWidth="1"/>
    <col min="10" max="12" width="3.28515625" bestFit="1" customWidth="1"/>
    <col min="13" max="13" width="13.42578125" bestFit="1" customWidth="1"/>
    <col min="14" max="14" width="12.28515625" bestFit="1" customWidth="1"/>
  </cols>
  <sheetData>
    <row r="1" spans="2:14" ht="15.75" x14ac:dyDescent="0.25">
      <c r="B1" s="118" t="s">
        <v>0</v>
      </c>
      <c r="C1" s="118"/>
      <c r="D1" s="118"/>
      <c r="E1" s="118"/>
      <c r="F1" s="118"/>
      <c r="G1" s="118"/>
      <c r="H1" s="118"/>
      <c r="I1" s="118"/>
    </row>
    <row r="2" spans="2:14" ht="15.75" x14ac:dyDescent="0.25">
      <c r="B2" s="176" t="s">
        <v>168</v>
      </c>
      <c r="C2" s="118"/>
      <c r="D2" s="118"/>
      <c r="E2" s="118"/>
      <c r="F2" s="118"/>
      <c r="G2" s="118"/>
      <c r="H2" s="118"/>
      <c r="I2" s="118"/>
    </row>
    <row r="3" spans="2:14" ht="15.75" x14ac:dyDescent="0.25">
      <c r="B3" s="118" t="s">
        <v>121</v>
      </c>
      <c r="C3" s="118"/>
      <c r="D3" s="118"/>
      <c r="E3" s="118"/>
      <c r="F3" s="118"/>
      <c r="G3" s="118"/>
      <c r="H3" s="118"/>
      <c r="I3" s="118"/>
    </row>
    <row r="4" spans="2:14" x14ac:dyDescent="0.2">
      <c r="B4" s="177"/>
      <c r="E4" s="178"/>
      <c r="H4" s="179"/>
    </row>
    <row r="5" spans="2:14" x14ac:dyDescent="0.2">
      <c r="B5" s="177"/>
      <c r="E5" s="180"/>
      <c r="H5" s="179"/>
    </row>
    <row r="6" spans="2:14" x14ac:dyDescent="0.2">
      <c r="E6" s="180"/>
      <c r="H6" s="179"/>
    </row>
    <row r="7" spans="2:14" x14ac:dyDescent="0.2">
      <c r="C7" s="181" t="s">
        <v>102</v>
      </c>
      <c r="D7" s="21" t="s">
        <v>103</v>
      </c>
      <c r="E7" s="127" t="s">
        <v>122</v>
      </c>
      <c r="F7" s="127" t="s">
        <v>122</v>
      </c>
      <c r="G7" s="182" t="s">
        <v>123</v>
      </c>
      <c r="H7" s="182" t="s">
        <v>123</v>
      </c>
      <c r="I7" s="183"/>
    </row>
    <row r="8" spans="2:14" x14ac:dyDescent="0.2">
      <c r="C8" s="127" t="s">
        <v>124</v>
      </c>
      <c r="D8" s="127" t="s">
        <v>124</v>
      </c>
      <c r="E8" s="181" t="s">
        <v>125</v>
      </c>
      <c r="F8" s="181" t="s">
        <v>126</v>
      </c>
      <c r="G8" s="181" t="s">
        <v>127</v>
      </c>
      <c r="H8" s="181" t="s">
        <v>127</v>
      </c>
      <c r="I8" s="180" t="s">
        <v>128</v>
      </c>
    </row>
    <row r="9" spans="2:14" s="3" customFormat="1" x14ac:dyDescent="0.2">
      <c r="B9" s="12" t="s">
        <v>129</v>
      </c>
      <c r="C9" s="74" t="s">
        <v>130</v>
      </c>
      <c r="D9" s="74" t="s">
        <v>130</v>
      </c>
      <c r="E9" s="184" t="s">
        <v>131</v>
      </c>
      <c r="F9" s="74" t="s">
        <v>132</v>
      </c>
      <c r="G9" s="74" t="s">
        <v>133</v>
      </c>
      <c r="H9" s="74" t="s">
        <v>134</v>
      </c>
      <c r="I9" s="74" t="s">
        <v>104</v>
      </c>
    </row>
    <row r="10" spans="2:14" x14ac:dyDescent="0.2">
      <c r="B10" s="185" t="s">
        <v>135</v>
      </c>
      <c r="C10" s="186" t="s">
        <v>136</v>
      </c>
      <c r="D10" s="186" t="s">
        <v>137</v>
      </c>
      <c r="E10" s="186" t="s">
        <v>138</v>
      </c>
      <c r="F10" s="186" t="s">
        <v>139</v>
      </c>
      <c r="G10" s="186" t="s">
        <v>140</v>
      </c>
      <c r="H10" s="186" t="s">
        <v>141</v>
      </c>
      <c r="I10" s="186" t="s">
        <v>142</v>
      </c>
    </row>
    <row r="11" spans="2:14" x14ac:dyDescent="0.2">
      <c r="B11" s="55" t="s">
        <v>143</v>
      </c>
      <c r="C11" s="148">
        <f>'Rates PGA-1'!$E$53</f>
        <v>0.4173</v>
      </c>
      <c r="D11" s="148">
        <f>'Rates PGA-1'!$E$51</f>
        <v>0.38446999999999998</v>
      </c>
      <c r="E11" s="187">
        <f>'Forecast PGA-3'!N7</f>
        <v>607149561</v>
      </c>
      <c r="F11" s="38">
        <v>659980392.62383485</v>
      </c>
      <c r="G11" s="188">
        <f>D11-C11</f>
        <v>-3.2830000000000026E-2</v>
      </c>
      <c r="H11" s="36">
        <f>G11*E11</f>
        <v>-19932720.087630015</v>
      </c>
      <c r="I11" s="39">
        <f>H11/F11</f>
        <v>-3.0201988286932262E-2</v>
      </c>
      <c r="M11" s="36"/>
      <c r="N11" s="189"/>
    </row>
    <row r="12" spans="2:14" x14ac:dyDescent="0.2">
      <c r="B12" s="55" t="s">
        <v>144</v>
      </c>
      <c r="C12" s="148">
        <f>'Rates PGA-1'!$F$53</f>
        <v>0.4173</v>
      </c>
      <c r="D12" s="148">
        <f>'Rates PGA-1'!$F$51</f>
        <v>0.38446999999999998</v>
      </c>
      <c r="E12" s="187">
        <f>'Forecast PGA-3'!N8</f>
        <v>13738</v>
      </c>
      <c r="F12" s="38">
        <v>29021.797161052629</v>
      </c>
      <c r="G12" s="188">
        <f t="shared" ref="G12:G17" si="0">D12-C12</f>
        <v>-3.2830000000000026E-2</v>
      </c>
      <c r="H12" s="36">
        <f t="shared" ref="H12:H17" si="1">G12*E12</f>
        <v>-451.01854000000037</v>
      </c>
      <c r="I12" s="39">
        <f t="shared" ref="I12:I18" si="2">H12/F12</f>
        <v>-1.5540682663348951E-2</v>
      </c>
      <c r="M12" s="36"/>
      <c r="N12" s="189"/>
    </row>
    <row r="13" spans="2:14" x14ac:dyDescent="0.2">
      <c r="B13" s="190" t="s">
        <v>145</v>
      </c>
      <c r="C13" s="148">
        <f>'Rates PGA-1'!$G$53</f>
        <v>0.41065000000000002</v>
      </c>
      <c r="D13" s="148">
        <f>'Rates PGA-1'!$G$51</f>
        <v>0.37808000000000003</v>
      </c>
      <c r="E13" s="187">
        <f>'Forecast PGA-3'!N9</f>
        <v>231908804</v>
      </c>
      <c r="F13" s="38">
        <v>215598323.68062288</v>
      </c>
      <c r="G13" s="188">
        <f t="shared" si="0"/>
        <v>-3.2569999999999988E-2</v>
      </c>
      <c r="H13" s="36">
        <f t="shared" si="1"/>
        <v>-7553269.7462799968</v>
      </c>
      <c r="I13" s="39">
        <f t="shared" si="2"/>
        <v>-3.5033991068822282E-2</v>
      </c>
      <c r="M13" s="36"/>
      <c r="N13" s="189"/>
    </row>
    <row r="14" spans="2:14" x14ac:dyDescent="0.2">
      <c r="B14" s="55" t="s">
        <v>146</v>
      </c>
      <c r="C14" s="148">
        <f>'Rates PGA-1'!$H$53</f>
        <v>0.32635999999999998</v>
      </c>
      <c r="D14" s="148">
        <f>'Rates PGA-1'!$H$51</f>
        <v>0.29249000000000003</v>
      </c>
      <c r="E14" s="187">
        <f>'Forecast PGA-3'!N10</f>
        <v>67177571</v>
      </c>
      <c r="F14" s="38">
        <v>44692423.072534904</v>
      </c>
      <c r="G14" s="188">
        <f t="shared" si="0"/>
        <v>-3.3869999999999956E-2</v>
      </c>
      <c r="H14" s="36">
        <f t="shared" si="1"/>
        <v>-2275304.3297699969</v>
      </c>
      <c r="I14" s="39">
        <f t="shared" si="2"/>
        <v>-5.0910292468976763E-2</v>
      </c>
      <c r="M14" s="36"/>
      <c r="N14" s="189"/>
    </row>
    <row r="15" spans="2:14" x14ac:dyDescent="0.2">
      <c r="B15" s="55" t="s">
        <v>147</v>
      </c>
      <c r="C15" s="148">
        <f>'Rates PGA-1'!$I$53</f>
        <v>0.35809000000000002</v>
      </c>
      <c r="D15" s="148">
        <f>'Rates PGA-1'!$I$51</f>
        <v>0.32704</v>
      </c>
      <c r="E15" s="187">
        <f>'Forecast PGA-3'!N11</f>
        <v>17913519</v>
      </c>
      <c r="F15" s="38">
        <v>8564629.7523113675</v>
      </c>
      <c r="G15" s="188">
        <f t="shared" si="0"/>
        <v>-3.1050000000000022E-2</v>
      </c>
      <c r="H15" s="36">
        <f t="shared" si="1"/>
        <v>-556214.76495000045</v>
      </c>
      <c r="I15" s="39">
        <f t="shared" si="2"/>
        <v>-6.4943235263601767E-2</v>
      </c>
      <c r="M15" s="36"/>
      <c r="N15" s="189"/>
    </row>
    <row r="16" spans="2:14" x14ac:dyDescent="0.2">
      <c r="B16" s="55" t="s">
        <v>148</v>
      </c>
      <c r="C16" s="148">
        <f>'Rates PGA-1'!$J$53</f>
        <v>0.36377999999999999</v>
      </c>
      <c r="D16" s="148">
        <f>'Rates PGA-1'!$J$51</f>
        <v>0.33217000000000002</v>
      </c>
      <c r="E16" s="187">
        <f>'Forecast PGA-3'!N12</f>
        <v>8625159</v>
      </c>
      <c r="F16" s="38">
        <v>5522123.2415592503</v>
      </c>
      <c r="G16" s="188">
        <f t="shared" si="0"/>
        <v>-3.1609999999999971E-2</v>
      </c>
      <c r="H16" s="36">
        <f>G16*E16</f>
        <v>-272641.27598999976</v>
      </c>
      <c r="I16" s="39">
        <f t="shared" si="2"/>
        <v>-4.9372544592651217E-2</v>
      </c>
      <c r="M16" s="36"/>
      <c r="N16" s="189"/>
    </row>
    <row r="17" spans="2:14" x14ac:dyDescent="0.2">
      <c r="B17" s="191" t="s">
        <v>149</v>
      </c>
      <c r="C17" s="148">
        <f>'Rates PGA-1'!$K$53</f>
        <v>0.36124000000000001</v>
      </c>
      <c r="D17" s="148">
        <f>'Rates PGA-1'!$K$51</f>
        <v>0.33071</v>
      </c>
      <c r="E17" s="187">
        <f>'Forecast PGA-3'!N13</f>
        <v>21070835</v>
      </c>
      <c r="F17" s="38">
        <v>9085549.79144012</v>
      </c>
      <c r="G17" s="188">
        <f t="shared" si="0"/>
        <v>-3.0530000000000002E-2</v>
      </c>
      <c r="H17" s="36">
        <f t="shared" si="1"/>
        <v>-643292.59255000006</v>
      </c>
      <c r="I17" s="192">
        <f t="shared" si="2"/>
        <v>-7.0803925719065811E-2</v>
      </c>
      <c r="M17" s="36"/>
      <c r="N17" s="189"/>
    </row>
    <row r="18" spans="2:14" x14ac:dyDescent="0.2">
      <c r="B18" s="193" t="s">
        <v>7</v>
      </c>
      <c r="C18" s="194"/>
      <c r="D18" s="194"/>
      <c r="E18" s="195">
        <f>SUM(E11:E17)</f>
        <v>953859187</v>
      </c>
      <c r="F18" s="196">
        <f>SUM(F11:F17)</f>
        <v>943472463.95946443</v>
      </c>
      <c r="G18" s="197">
        <f>ROUND(H18/E18,5)</f>
        <v>-3.2739999999999998E-2</v>
      </c>
      <c r="H18" s="196">
        <f>SUM(H11:H17)</f>
        <v>-31233893.815710001</v>
      </c>
      <c r="I18" s="198">
        <f t="shared" si="2"/>
        <v>-3.310525214973517E-2</v>
      </c>
      <c r="M18" s="36"/>
      <c r="N18" s="189"/>
    </row>
    <row r="19" spans="2:14" x14ac:dyDescent="0.2">
      <c r="B19" s="55"/>
      <c r="C19" s="179"/>
      <c r="D19" s="179"/>
      <c r="E19" s="199"/>
      <c r="F19" s="36"/>
      <c r="H19" s="36"/>
      <c r="I19" s="39"/>
    </row>
    <row r="20" spans="2:14" x14ac:dyDescent="0.2">
      <c r="B20" s="240" t="s">
        <v>150</v>
      </c>
      <c r="C20" s="241"/>
      <c r="D20" s="241"/>
      <c r="E20" s="241"/>
      <c r="F20" s="241"/>
      <c r="G20" s="241"/>
      <c r="H20" s="241"/>
      <c r="I20" s="241"/>
    </row>
    <row r="21" spans="2:14" x14ac:dyDescent="0.2">
      <c r="B21" s="200"/>
      <c r="C21" s="201"/>
      <c r="D21" s="201"/>
      <c r="E21" s="201"/>
      <c r="F21" s="201"/>
      <c r="G21" s="201"/>
      <c r="H21" s="201"/>
      <c r="I21" s="201"/>
    </row>
    <row r="23" spans="2:14" ht="110.25" customHeight="1" x14ac:dyDescent="0.2">
      <c r="E23" s="199"/>
      <c r="F23" s="36"/>
      <c r="H23" s="36"/>
      <c r="J23" s="202" t="s">
        <v>75</v>
      </c>
      <c r="K23" s="203" t="s">
        <v>151</v>
      </c>
      <c r="L23" s="204" t="s">
        <v>77</v>
      </c>
    </row>
    <row r="25" spans="2:14" x14ac:dyDescent="0.2">
      <c r="B25" s="55"/>
      <c r="C25" s="178"/>
      <c r="D25" s="178"/>
      <c r="E25" s="178"/>
      <c r="F25" s="36"/>
      <c r="H25" s="36"/>
    </row>
    <row r="26" spans="2:14" x14ac:dyDescent="0.2">
      <c r="C26" s="178"/>
      <c r="D26" s="178"/>
      <c r="E26" s="205"/>
      <c r="F26" s="36"/>
      <c r="H26" s="36"/>
    </row>
    <row r="27" spans="2:14" x14ac:dyDescent="0.2">
      <c r="C27" s="178"/>
      <c r="D27" s="178"/>
      <c r="E27" s="206"/>
      <c r="F27" s="207"/>
      <c r="H27" s="36"/>
    </row>
    <row r="28" spans="2:14" x14ac:dyDescent="0.2">
      <c r="C28" s="208"/>
      <c r="D28" s="208"/>
      <c r="E28" s="208"/>
      <c r="F28" s="207"/>
      <c r="G28" s="179"/>
      <c r="H28" s="36"/>
      <c r="I28" s="179"/>
    </row>
    <row r="29" spans="2:14" x14ac:dyDescent="0.2">
      <c r="C29" s="208"/>
      <c r="D29" s="208"/>
      <c r="E29" s="208"/>
      <c r="F29" s="207"/>
      <c r="G29" s="179"/>
      <c r="H29" s="179"/>
      <c r="I29" s="179"/>
    </row>
    <row r="30" spans="2:14" x14ac:dyDescent="0.2">
      <c r="B30" s="158"/>
      <c r="C30" s="179"/>
      <c r="D30" s="179"/>
      <c r="E30" s="179"/>
      <c r="F30" s="207"/>
      <c r="G30" s="179"/>
      <c r="H30" s="179"/>
      <c r="I30" s="179"/>
    </row>
    <row r="31" spans="2:14" x14ac:dyDescent="0.2">
      <c r="B31" s="53"/>
      <c r="C31" s="179"/>
      <c r="D31" s="179"/>
      <c r="E31" s="209"/>
      <c r="F31" s="207"/>
      <c r="G31" s="179"/>
      <c r="H31" s="179"/>
      <c r="I31" s="179"/>
    </row>
    <row r="32" spans="2:14" s="179" customFormat="1" x14ac:dyDescent="0.2">
      <c r="B32" s="6"/>
      <c r="F32" s="207"/>
    </row>
    <row r="33" spans="6:6" x14ac:dyDescent="0.2">
      <c r="F33" s="207"/>
    </row>
    <row r="34" spans="6:6" x14ac:dyDescent="0.2">
      <c r="F34" s="207"/>
    </row>
    <row r="35" spans="6:6" x14ac:dyDescent="0.2">
      <c r="F35" s="207"/>
    </row>
    <row r="36" spans="6:6" x14ac:dyDescent="0.2">
      <c r="F36" s="207"/>
    </row>
  </sheetData>
  <mergeCells count="1">
    <mergeCell ref="B20:I20"/>
  </mergeCells>
  <printOptions horizontalCentered="1"/>
  <pageMargins left="0.75" right="0.75" top="1" bottom="1" header="0.5" footer="0.5"/>
  <pageSetup scale="91" orientation="landscape" blackAndWhite="1" r:id="rId1"/>
  <headerFooter alignWithMargins="0">
    <oddFooter>&amp;L&amp;F 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J59" sqref="J59"/>
    </sheetView>
  </sheetViews>
  <sheetFormatPr defaultRowHeight="12.75" x14ac:dyDescent="0.2"/>
  <cols>
    <col min="1" max="1" width="4.42578125" style="3" customWidth="1"/>
    <col min="2" max="2" width="15.7109375" style="3" customWidth="1"/>
    <col min="3" max="3" width="1.5703125" style="3" customWidth="1"/>
    <col min="4" max="5" width="15.85546875" style="3" customWidth="1"/>
    <col min="6" max="6" width="1.28515625" style="3" customWidth="1"/>
    <col min="7" max="8" width="14.140625" style="3" customWidth="1"/>
    <col min="9" max="9" width="1.140625" style="3" customWidth="1"/>
    <col min="10" max="10" width="10.28515625" style="3" bestFit="1" customWidth="1"/>
    <col min="11" max="11" width="1.7109375" style="3" customWidth="1"/>
    <col min="12" max="12" width="14.85546875" style="3" bestFit="1" customWidth="1"/>
    <col min="13" max="13" width="12.7109375" style="3" bestFit="1" customWidth="1"/>
    <col min="14" max="14" width="1.5703125" style="24" customWidth="1"/>
    <col min="15" max="15" width="14" style="3" bestFit="1" customWidth="1"/>
    <col min="16" max="16" width="12.85546875" style="3" bestFit="1" customWidth="1"/>
    <col min="17" max="17" width="11.85546875" style="3" bestFit="1" customWidth="1"/>
    <col min="18" max="20" width="3.28515625" style="3" bestFit="1" customWidth="1"/>
    <col min="21" max="16384" width="9.140625" style="3"/>
  </cols>
  <sheetData>
    <row r="1" spans="1:20" s="53" customFormat="1" ht="15.75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210"/>
      <c r="S1" s="2"/>
      <c r="T1" s="2"/>
    </row>
    <row r="2" spans="1:20" s="53" customFormat="1" ht="15.75" x14ac:dyDescent="0.25">
      <c r="A2" s="176" t="s">
        <v>170</v>
      </c>
      <c r="B2" s="211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  <c r="O2" s="118"/>
      <c r="P2" s="118"/>
      <c r="Q2" s="118"/>
      <c r="R2" s="210"/>
      <c r="S2" s="2"/>
      <c r="T2" s="2"/>
    </row>
    <row r="3" spans="1:20" s="53" customFormat="1" ht="15.75" x14ac:dyDescent="0.25">
      <c r="A3" s="118" t="s">
        <v>152</v>
      </c>
      <c r="B3" s="211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8"/>
      <c r="P3" s="118"/>
      <c r="Q3" s="118"/>
      <c r="R3" s="210"/>
      <c r="S3" s="2"/>
      <c r="T3" s="2"/>
    </row>
    <row r="4" spans="1:20" s="53" customFormat="1" x14ac:dyDescent="0.2">
      <c r="N4" s="212"/>
      <c r="O4" s="213"/>
      <c r="P4" s="214"/>
      <c r="Q4" s="214"/>
      <c r="R4" s="2"/>
      <c r="S4" s="2"/>
      <c r="T4" s="2"/>
    </row>
    <row r="5" spans="1:20" s="53" customFormat="1" x14ac:dyDescent="0.2">
      <c r="D5" s="8" t="s">
        <v>95</v>
      </c>
      <c r="E5" s="8"/>
      <c r="G5" s="8" t="s">
        <v>153</v>
      </c>
      <c r="H5" s="8"/>
      <c r="L5" s="126" t="s">
        <v>96</v>
      </c>
      <c r="M5" s="8"/>
      <c r="N5" s="18"/>
      <c r="O5" s="127" t="s">
        <v>97</v>
      </c>
      <c r="P5" s="128"/>
      <c r="Q5" s="129"/>
      <c r="R5" s="2"/>
      <c r="S5" s="2"/>
      <c r="T5" s="2"/>
    </row>
    <row r="6" spans="1:20" x14ac:dyDescent="0.2">
      <c r="A6" s="24"/>
      <c r="B6" s="19" t="s">
        <v>98</v>
      </c>
      <c r="C6" s="127"/>
      <c r="D6" s="11"/>
      <c r="E6" s="11"/>
      <c r="J6" s="127" t="s">
        <v>7</v>
      </c>
      <c r="L6" s="131" t="s">
        <v>7</v>
      </c>
      <c r="M6" s="132" t="s">
        <v>88</v>
      </c>
      <c r="N6" s="132"/>
      <c r="O6" s="128" t="s">
        <v>99</v>
      </c>
      <c r="P6" s="133" t="s">
        <v>100</v>
      </c>
      <c r="Q6" s="134"/>
      <c r="R6" s="2"/>
      <c r="S6" s="2"/>
      <c r="T6" s="2"/>
    </row>
    <row r="7" spans="1:20" x14ac:dyDescent="0.2">
      <c r="A7" s="12" t="s">
        <v>5</v>
      </c>
      <c r="B7" s="12" t="s">
        <v>101</v>
      </c>
      <c r="C7" s="127"/>
      <c r="D7" s="12" t="s">
        <v>102</v>
      </c>
      <c r="E7" s="12" t="s">
        <v>103</v>
      </c>
      <c r="F7" s="19"/>
      <c r="G7" s="12" t="s">
        <v>102</v>
      </c>
      <c r="H7" s="12" t="s">
        <v>103</v>
      </c>
      <c r="J7" s="12" t="s">
        <v>104</v>
      </c>
      <c r="L7" s="135" t="s">
        <v>105</v>
      </c>
      <c r="M7" s="135" t="s">
        <v>106</v>
      </c>
      <c r="N7" s="131"/>
      <c r="O7" s="136" t="s">
        <v>104</v>
      </c>
      <c r="P7" s="137" t="s">
        <v>107</v>
      </c>
      <c r="Q7" s="137" t="s">
        <v>108</v>
      </c>
    </row>
    <row r="8" spans="1:20" x14ac:dyDescent="0.2">
      <c r="A8" s="127"/>
      <c r="B8" s="127"/>
      <c r="C8" s="127"/>
      <c r="D8" s="127" t="s">
        <v>49</v>
      </c>
      <c r="E8" s="19" t="s">
        <v>50</v>
      </c>
      <c r="F8" s="19"/>
      <c r="G8" s="19" t="s">
        <v>154</v>
      </c>
      <c r="H8" s="19" t="s">
        <v>52</v>
      </c>
      <c r="I8" s="127"/>
      <c r="J8" s="127" t="s">
        <v>53</v>
      </c>
      <c r="K8" s="127"/>
      <c r="L8" s="127" t="s">
        <v>54</v>
      </c>
      <c r="M8" s="127" t="s">
        <v>55</v>
      </c>
      <c r="N8" s="19"/>
      <c r="O8" s="139" t="s">
        <v>110</v>
      </c>
      <c r="P8" s="140" t="s">
        <v>155</v>
      </c>
      <c r="Q8" s="140" t="s">
        <v>156</v>
      </c>
      <c r="R8" s="127"/>
      <c r="S8" s="127"/>
      <c r="T8" s="127"/>
    </row>
    <row r="9" spans="1:20" x14ac:dyDescent="0.2">
      <c r="D9" s="127"/>
      <c r="E9" s="127"/>
      <c r="F9" s="127"/>
      <c r="G9" s="127"/>
      <c r="H9" s="127"/>
      <c r="I9" s="127"/>
      <c r="J9" s="127"/>
      <c r="L9" s="131"/>
      <c r="M9" s="132"/>
      <c r="N9" s="132"/>
      <c r="O9" s="139" t="s">
        <v>157</v>
      </c>
      <c r="P9" s="140" t="s">
        <v>158</v>
      </c>
      <c r="Q9" s="140" t="s">
        <v>159</v>
      </c>
    </row>
    <row r="10" spans="1:20" x14ac:dyDescent="0.2">
      <c r="A10" s="127"/>
      <c r="B10" s="141" t="s">
        <v>2</v>
      </c>
      <c r="C10" s="2"/>
      <c r="D10" s="215"/>
      <c r="E10" s="215"/>
      <c r="F10" s="215"/>
      <c r="G10" s="215"/>
      <c r="H10" s="215"/>
      <c r="I10" s="127"/>
      <c r="J10" s="142"/>
      <c r="L10" s="216"/>
      <c r="M10" s="216"/>
      <c r="N10" s="164"/>
      <c r="O10" s="171"/>
      <c r="P10" s="146"/>
      <c r="Q10" s="146"/>
      <c r="S10" s="147"/>
      <c r="T10" s="147"/>
    </row>
    <row r="11" spans="1:20" x14ac:dyDescent="0.2">
      <c r="A11" s="70">
        <v>1</v>
      </c>
      <c r="B11" s="70">
        <v>23</v>
      </c>
      <c r="C11" s="70"/>
      <c r="D11" s="148">
        <f>'Rates PGA-1'!E53</f>
        <v>0.4173</v>
      </c>
      <c r="E11" s="148">
        <f>'Rates PGA-1'!E51</f>
        <v>0.38446999999999998</v>
      </c>
      <c r="F11" s="148"/>
      <c r="G11" s="61">
        <v>-1.6299999999999999E-2</v>
      </c>
      <c r="H11" s="61">
        <v>-1.695E-2</v>
      </c>
      <c r="I11" s="47"/>
      <c r="J11" s="47">
        <f>E11-D11+H11-G11</f>
        <v>-3.3480000000000024E-2</v>
      </c>
      <c r="K11" s="147"/>
      <c r="L11" s="217">
        <f>'Forecast PGA-3'!N7</f>
        <v>607149561</v>
      </c>
      <c r="M11" s="217">
        <f>ROUND('Forecast PGA-3'!N25,0)</f>
        <v>767031</v>
      </c>
      <c r="N11" s="218"/>
      <c r="O11" s="219">
        <f>+L11*J11</f>
        <v>-20327367.302280013</v>
      </c>
      <c r="P11" s="146">
        <f>+O11/M11</f>
        <v>-26.5013634419991</v>
      </c>
      <c r="Q11" s="146">
        <f>+P11/12</f>
        <v>-2.2084469534999251</v>
      </c>
      <c r="S11" s="147"/>
      <c r="T11" s="147"/>
    </row>
    <row r="12" spans="1:20" x14ac:dyDescent="0.2">
      <c r="A12" s="70">
        <f>A11+1</f>
        <v>2</v>
      </c>
      <c r="B12" s="70">
        <v>16</v>
      </c>
      <c r="C12" s="70"/>
      <c r="D12" s="148">
        <f>'Rates PGA-1'!F53</f>
        <v>0.4173</v>
      </c>
      <c r="E12" s="148">
        <f>'Rates PGA-1'!F51</f>
        <v>0.38446999999999998</v>
      </c>
      <c r="F12" s="148"/>
      <c r="G12" s="61">
        <v>-1.6299999999999999E-2</v>
      </c>
      <c r="H12" s="61">
        <v>-1.695E-2</v>
      </c>
      <c r="I12" s="47"/>
      <c r="J12" s="47">
        <f>E12-D12+H12-G12</f>
        <v>-3.3480000000000024E-2</v>
      </c>
      <c r="K12" s="147"/>
      <c r="L12" s="217">
        <f>'Forecast PGA-3'!N8</f>
        <v>13738</v>
      </c>
      <c r="M12" s="217">
        <f>ROUND('Forecast PGA-3'!N26,0)</f>
        <v>60</v>
      </c>
      <c r="N12" s="152"/>
      <c r="O12" s="219">
        <f>+L12*J12</f>
        <v>-459.94824000000034</v>
      </c>
      <c r="P12" s="146">
        <f>+O12/M12</f>
        <v>-7.6658040000000058</v>
      </c>
      <c r="Q12" s="146">
        <f>+P12/12</f>
        <v>-0.63881700000000052</v>
      </c>
      <c r="S12" s="147"/>
      <c r="T12" s="147"/>
    </row>
    <row r="13" spans="1:20" x14ac:dyDescent="0.2">
      <c r="A13" s="70">
        <f>A12+1</f>
        <v>3</v>
      </c>
      <c r="B13" s="2" t="s">
        <v>115</v>
      </c>
      <c r="C13" s="70"/>
      <c r="D13" s="220"/>
      <c r="E13" s="220"/>
      <c r="F13" s="149"/>
      <c r="G13" s="61"/>
      <c r="H13" s="61"/>
      <c r="I13" s="47"/>
      <c r="J13" s="47"/>
      <c r="K13" s="147"/>
      <c r="L13" s="162">
        <f>SUM(L11:L12)</f>
        <v>607163299</v>
      </c>
      <c r="M13" s="162">
        <f>SUM(M11:M12)</f>
        <v>767091</v>
      </c>
      <c r="N13" s="164"/>
      <c r="O13" s="163">
        <f>SUM(O11:O12)</f>
        <v>-20327827.250520013</v>
      </c>
      <c r="P13" s="221">
        <f>+O13/M13</f>
        <v>-26.499890170162359</v>
      </c>
      <c r="Q13" s="221">
        <f>+P13/12</f>
        <v>-2.2083241808468634</v>
      </c>
      <c r="S13" s="147"/>
      <c r="T13" s="147"/>
    </row>
    <row r="14" spans="1:20" x14ac:dyDescent="0.2">
      <c r="A14" s="127"/>
      <c r="D14" s="220"/>
      <c r="E14" s="220"/>
      <c r="F14" s="149"/>
      <c r="G14" s="61"/>
      <c r="H14" s="61"/>
      <c r="I14" s="47"/>
      <c r="J14" s="47"/>
      <c r="K14" s="147"/>
      <c r="L14" s="216"/>
      <c r="M14" s="143"/>
      <c r="N14" s="144"/>
      <c r="O14" s="219"/>
      <c r="P14" s="146"/>
      <c r="Q14" s="146"/>
      <c r="S14" s="147"/>
      <c r="T14" s="147"/>
    </row>
    <row r="15" spans="1:20" x14ac:dyDescent="0.2">
      <c r="A15" s="127"/>
      <c r="B15" s="141" t="s">
        <v>90</v>
      </c>
      <c r="C15" s="127"/>
      <c r="D15" s="220"/>
      <c r="E15" s="220"/>
      <c r="F15" s="149"/>
      <c r="G15" s="61"/>
      <c r="H15" s="61"/>
      <c r="I15" s="47"/>
      <c r="J15" s="47"/>
      <c r="K15" s="147"/>
      <c r="L15" s="216"/>
      <c r="M15" s="143"/>
      <c r="N15" s="144"/>
      <c r="O15" s="219"/>
      <c r="P15" s="146"/>
      <c r="Q15" s="146"/>
      <c r="S15" s="147"/>
      <c r="T15" s="147"/>
    </row>
    <row r="16" spans="1:20" x14ac:dyDescent="0.2">
      <c r="A16" s="70">
        <f>A13+1</f>
        <v>4</v>
      </c>
      <c r="B16" s="127">
        <v>31</v>
      </c>
      <c r="C16" s="70"/>
      <c r="D16" s="148">
        <f>'Rates PGA-1'!G53</f>
        <v>0.41065000000000002</v>
      </c>
      <c r="E16" s="148">
        <f>'Rates PGA-1'!G51</f>
        <v>0.37808000000000003</v>
      </c>
      <c r="F16" s="148"/>
      <c r="G16" s="61">
        <v>-1.7340000000000001E-2</v>
      </c>
      <c r="H16" s="61">
        <v>-1.695E-2</v>
      </c>
      <c r="I16" s="47"/>
      <c r="J16" s="47">
        <f>E16-D16+H16-G16</f>
        <v>-3.2179999999999986E-2</v>
      </c>
      <c r="K16" s="147"/>
      <c r="L16" s="217">
        <f>'Forecast PGA-3'!N9</f>
        <v>231908804</v>
      </c>
      <c r="M16" s="217">
        <f>ROUND('Forecast PGA-3'!N29,)</f>
        <v>57228</v>
      </c>
      <c r="N16" s="218"/>
      <c r="O16" s="219">
        <f>+L16*J16</f>
        <v>-7462825.312719997</v>
      </c>
      <c r="P16" s="146">
        <f>+O16/M16</f>
        <v>-130.40513931502056</v>
      </c>
      <c r="Q16" s="146">
        <f>+P16/12</f>
        <v>-10.86709494291838</v>
      </c>
      <c r="S16" s="147"/>
      <c r="T16" s="147"/>
    </row>
    <row r="17" spans="1:20" x14ac:dyDescent="0.2">
      <c r="A17" s="70">
        <f>A16+1</f>
        <v>5</v>
      </c>
      <c r="B17" s="70">
        <v>41</v>
      </c>
      <c r="C17" s="70"/>
      <c r="D17" s="148">
        <f>'Rates PGA-1'!H53</f>
        <v>0.32635999999999998</v>
      </c>
      <c r="E17" s="148">
        <f>'Rates PGA-1'!H51</f>
        <v>0.29249000000000003</v>
      </c>
      <c r="F17" s="148"/>
      <c r="G17" s="61">
        <v>-2.2009999999999998E-2</v>
      </c>
      <c r="H17" s="61">
        <v>-1.6969999999999999E-2</v>
      </c>
      <c r="I17" s="47"/>
      <c r="J17" s="47">
        <f>E17-D17+H17-G17</f>
        <v>-2.8829999999999956E-2</v>
      </c>
      <c r="K17" s="147"/>
      <c r="L17" s="217">
        <f>'Forecast PGA-3'!N10</f>
        <v>67177571</v>
      </c>
      <c r="M17" s="217">
        <f>ROUND('Forecast PGA-3'!N30,0)</f>
        <v>1316</v>
      </c>
      <c r="N17" s="218"/>
      <c r="O17" s="219">
        <f>+L17*J17</f>
        <v>-1936729.3719299971</v>
      </c>
      <c r="P17" s="146">
        <f>+O17/M17</f>
        <v>-1471.6788540501498</v>
      </c>
      <c r="Q17" s="146">
        <f>+P17/12</f>
        <v>-122.63990450417914</v>
      </c>
      <c r="S17" s="147"/>
      <c r="T17" s="147"/>
    </row>
    <row r="18" spans="1:20" x14ac:dyDescent="0.2">
      <c r="A18" s="70">
        <f>A17+1</f>
        <v>6</v>
      </c>
      <c r="B18" s="2" t="s">
        <v>116</v>
      </c>
      <c r="C18" s="70"/>
      <c r="D18" s="220"/>
      <c r="E18" s="220"/>
      <c r="F18" s="149"/>
      <c r="G18" s="61"/>
      <c r="H18" s="61"/>
      <c r="I18" s="47"/>
      <c r="J18" s="47"/>
      <c r="K18" s="147"/>
      <c r="L18" s="162">
        <f>SUM(L16:L17)</f>
        <v>299086375</v>
      </c>
      <c r="M18" s="155">
        <f>SUM(M16:M17)</f>
        <v>58544</v>
      </c>
      <c r="N18" s="144"/>
      <c r="O18" s="163">
        <f>SUM(O16:O17)</f>
        <v>-9399554.6846499946</v>
      </c>
      <c r="P18" s="221">
        <f>O18/M18</f>
        <v>-160.55538884685015</v>
      </c>
      <c r="Q18" s="221">
        <f>P18/12</f>
        <v>-13.379615737237513</v>
      </c>
      <c r="S18" s="147"/>
      <c r="T18" s="147"/>
    </row>
    <row r="19" spans="1:20" x14ac:dyDescent="0.2">
      <c r="A19" s="127"/>
      <c r="B19" s="127"/>
      <c r="C19" s="70"/>
      <c r="D19" s="220"/>
      <c r="E19" s="220"/>
      <c r="F19" s="149"/>
      <c r="G19" s="61"/>
      <c r="H19" s="61"/>
      <c r="I19" s="47"/>
      <c r="J19" s="47"/>
      <c r="K19" s="147"/>
      <c r="L19" s="164"/>
      <c r="M19" s="144"/>
      <c r="N19" s="144"/>
      <c r="O19" s="165"/>
      <c r="P19" s="222"/>
      <c r="Q19" s="222"/>
      <c r="S19" s="147"/>
      <c r="T19" s="147"/>
    </row>
    <row r="20" spans="1:20" x14ac:dyDescent="0.2">
      <c r="A20" s="127"/>
      <c r="B20" s="141" t="s">
        <v>4</v>
      </c>
      <c r="C20" s="70"/>
      <c r="D20" s="220"/>
      <c r="E20" s="220"/>
      <c r="F20" s="149"/>
      <c r="G20" s="61"/>
      <c r="H20" s="61"/>
      <c r="I20" s="47"/>
      <c r="J20" s="47"/>
      <c r="K20" s="147"/>
      <c r="L20" s="216"/>
      <c r="M20" s="143"/>
      <c r="N20" s="144"/>
      <c r="O20" s="219"/>
      <c r="P20" s="146"/>
      <c r="Q20" s="146"/>
      <c r="S20" s="147"/>
      <c r="T20" s="147"/>
    </row>
    <row r="21" spans="1:20" x14ac:dyDescent="0.2">
      <c r="A21" s="70">
        <f>A18+1</f>
        <v>7</v>
      </c>
      <c r="B21" s="70">
        <v>85</v>
      </c>
      <c r="C21" s="70"/>
      <c r="D21" s="148">
        <f>'Rates PGA-1'!I53</f>
        <v>0.35809000000000002</v>
      </c>
      <c r="E21" s="148">
        <f>'Rates PGA-1'!I51</f>
        <v>0.32704</v>
      </c>
      <c r="F21" s="148"/>
      <c r="G21" s="61">
        <v>-2.4740000000000002E-2</v>
      </c>
      <c r="H21" s="61">
        <v>-1.6979999999999999E-2</v>
      </c>
      <c r="I21" s="47"/>
      <c r="J21" s="47">
        <f>E21-D21+H21-G21</f>
        <v>-2.3290000000000016E-2</v>
      </c>
      <c r="K21" s="147"/>
      <c r="L21" s="217">
        <f>'Forecast PGA-3'!N11</f>
        <v>17913519</v>
      </c>
      <c r="M21" s="217">
        <f>ROUND('Forecast PGA-3'!N34,0)</f>
        <v>33</v>
      </c>
      <c r="N21" s="218"/>
      <c r="O21" s="219">
        <f>+L21*J21</f>
        <v>-417205.85751000029</v>
      </c>
      <c r="P21" s="146">
        <f>+O21/M21</f>
        <v>-12642.601742727282</v>
      </c>
      <c r="Q21" s="146">
        <f>+P21/12</f>
        <v>-1053.5501452272736</v>
      </c>
      <c r="S21" s="147"/>
      <c r="T21" s="147"/>
    </row>
    <row r="22" spans="1:20" x14ac:dyDescent="0.2">
      <c r="A22" s="70">
        <f>A21+1</f>
        <v>8</v>
      </c>
      <c r="B22" s="70">
        <v>86</v>
      </c>
      <c r="C22" s="70"/>
      <c r="D22" s="148">
        <f>'Rates PGA-1'!J53</f>
        <v>0.36377999999999999</v>
      </c>
      <c r="E22" s="148">
        <f>'Rates PGA-1'!J51</f>
        <v>0.33217000000000002</v>
      </c>
      <c r="F22" s="148"/>
      <c r="G22" s="61">
        <v>-2.334E-2</v>
      </c>
      <c r="H22" s="61">
        <v>-1.6969999999999999E-2</v>
      </c>
      <c r="I22" s="47"/>
      <c r="J22" s="47">
        <f>E22-D22+H22-G22</f>
        <v>-2.5239999999999971E-2</v>
      </c>
      <c r="K22" s="147"/>
      <c r="L22" s="217">
        <f>'Forecast PGA-3'!N12</f>
        <v>8625159</v>
      </c>
      <c r="M22" s="217">
        <f>ROUND('Forecast PGA-3'!N35,0)</f>
        <v>229</v>
      </c>
      <c r="N22" s="218"/>
      <c r="O22" s="219">
        <f>+L22*J22</f>
        <v>-217699.01315999974</v>
      </c>
      <c r="P22" s="146">
        <f>+O22/M22</f>
        <v>-950.6507124890818</v>
      </c>
      <c r="Q22" s="146">
        <f>+P22/12</f>
        <v>-79.220892707423488</v>
      </c>
      <c r="S22" s="147"/>
      <c r="T22" s="147"/>
    </row>
    <row r="23" spans="1:20" x14ac:dyDescent="0.2">
      <c r="A23" s="70">
        <f>A22+1</f>
        <v>9</v>
      </c>
      <c r="B23" s="70">
        <v>87</v>
      </c>
      <c r="C23" s="70"/>
      <c r="D23" s="148">
        <f>'Rates PGA-1'!K53</f>
        <v>0.36124000000000001</v>
      </c>
      <c r="E23" s="148">
        <f>'Rates PGA-1'!K51</f>
        <v>0.33071</v>
      </c>
      <c r="F23" s="148"/>
      <c r="G23" s="61">
        <v>-2.512E-2</v>
      </c>
      <c r="H23" s="61">
        <v>-1.6979999999999999E-2</v>
      </c>
      <c r="I23" s="47"/>
      <c r="J23" s="47">
        <f>E23-D23+H23-G23</f>
        <v>-2.2389999999999997E-2</v>
      </c>
      <c r="K23" s="147"/>
      <c r="L23" s="217">
        <f>'Forecast PGA-3'!N13</f>
        <v>21070835</v>
      </c>
      <c r="M23" s="217">
        <f>ROUND('Forecast PGA-3'!N36,0)</f>
        <v>5</v>
      </c>
      <c r="N23" s="218"/>
      <c r="O23" s="219">
        <f>+L23*J23</f>
        <v>-471775.99564999994</v>
      </c>
      <c r="P23" s="146">
        <f>+O23/M23</f>
        <v>-94355.199129999994</v>
      </c>
      <c r="Q23" s="146">
        <f>+P23/12</f>
        <v>-7862.9332608333325</v>
      </c>
      <c r="S23" s="147"/>
      <c r="T23" s="147"/>
    </row>
    <row r="24" spans="1:20" x14ac:dyDescent="0.2">
      <c r="A24" s="70">
        <f>A23+1</f>
        <v>10</v>
      </c>
      <c r="B24" s="2" t="s">
        <v>160</v>
      </c>
      <c r="C24" s="127"/>
      <c r="D24" s="150"/>
      <c r="E24" s="150"/>
      <c r="F24" s="150"/>
      <c r="G24" s="150"/>
      <c r="H24" s="150"/>
      <c r="I24" s="147"/>
      <c r="J24" s="147"/>
      <c r="K24" s="147"/>
      <c r="L24" s="162">
        <f>SUM(L21:L23)</f>
        <v>47609513</v>
      </c>
      <c r="M24" s="155">
        <f>SUM(M21:M23)</f>
        <v>267</v>
      </c>
      <c r="N24" s="144"/>
      <c r="O24" s="163">
        <f>SUM(O21:O23)</f>
        <v>-1106680.86632</v>
      </c>
      <c r="P24" s="221">
        <f>O24/M24</f>
        <v>-4144.8721585018729</v>
      </c>
      <c r="Q24" s="221">
        <f>P24/12</f>
        <v>-345.40601320848941</v>
      </c>
    </row>
    <row r="25" spans="1:20" x14ac:dyDescent="0.2">
      <c r="A25" s="70">
        <f>A24+1</f>
        <v>11</v>
      </c>
      <c r="B25" s="2" t="s">
        <v>7</v>
      </c>
      <c r="C25" s="127"/>
      <c r="D25" s="150"/>
      <c r="E25" s="150"/>
      <c r="F25" s="150"/>
      <c r="G25" s="150"/>
      <c r="H25" s="150"/>
      <c r="I25" s="147"/>
      <c r="J25" s="147"/>
      <c r="K25" s="147"/>
      <c r="L25" s="162">
        <f>SUM(L13,L18,L24)</f>
        <v>953859187</v>
      </c>
      <c r="M25" s="155">
        <f>SUM(M13,M18,M24)</f>
        <v>825902</v>
      </c>
      <c r="N25" s="144"/>
      <c r="O25" s="163">
        <f>SUM(O13,O18,O24)</f>
        <v>-30834062.801490009</v>
      </c>
      <c r="P25" s="37"/>
      <c r="Q25" s="146"/>
    </row>
    <row r="26" spans="1:20" s="6" customFormat="1" x14ac:dyDescent="0.2">
      <c r="F26" s="150"/>
      <c r="G26" s="150"/>
      <c r="H26" s="143"/>
      <c r="J26" s="223"/>
      <c r="K26" s="215"/>
      <c r="L26" s="224"/>
    </row>
    <row r="27" spans="1:20" x14ac:dyDescent="0.2">
      <c r="A27" s="3" t="s">
        <v>118</v>
      </c>
      <c r="B27" s="2"/>
      <c r="C27" s="127"/>
      <c r="D27" s="150"/>
      <c r="E27" s="150"/>
      <c r="F27" s="150"/>
      <c r="G27" s="150"/>
      <c r="H27" s="150"/>
      <c r="I27" s="147"/>
      <c r="J27" s="147"/>
      <c r="K27" s="147"/>
      <c r="L27" s="164"/>
      <c r="M27" s="144"/>
      <c r="N27" s="144"/>
      <c r="O27" s="165"/>
      <c r="P27" s="37"/>
      <c r="Q27" s="146"/>
    </row>
    <row r="28" spans="1:20" ht="112.5" customHeight="1" x14ac:dyDescent="0.2">
      <c r="D28" s="6"/>
      <c r="E28" s="6"/>
      <c r="F28" s="6"/>
      <c r="G28" s="6"/>
      <c r="H28" s="6"/>
      <c r="J28" s="147"/>
      <c r="K28" s="147"/>
      <c r="L28" s="216"/>
      <c r="O28" s="171"/>
      <c r="P28" s="225"/>
      <c r="Q28" s="226"/>
      <c r="R28" s="227" t="s">
        <v>75</v>
      </c>
      <c r="S28" s="228" t="s">
        <v>161</v>
      </c>
      <c r="T28" s="98" t="s">
        <v>162</v>
      </c>
    </row>
    <row r="31" spans="1:20" x14ac:dyDescent="0.2">
      <c r="A31" s="3" t="s">
        <v>163</v>
      </c>
    </row>
  </sheetData>
  <printOptions horizontalCentered="1"/>
  <pageMargins left="0.5" right="0.5" top="1" bottom="1" header="0.5" footer="0.5"/>
  <pageSetup scale="74" orientation="landscape" blackAndWhite="1" r:id="rId1"/>
  <headerFooter alignWithMargins="0">
    <oddFooter>&amp;L&amp;F 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workbookViewId="0">
      <selection activeCell="F26" sqref="F26"/>
    </sheetView>
  </sheetViews>
  <sheetFormatPr defaultRowHeight="12.75" x14ac:dyDescent="0.2"/>
  <cols>
    <col min="1" max="1" width="2" customWidth="1"/>
    <col min="2" max="2" width="31.85546875" customWidth="1"/>
    <col min="3" max="4" width="18" bestFit="1" customWidth="1"/>
    <col min="5" max="6" width="15" bestFit="1" customWidth="1"/>
    <col min="7" max="7" width="10.42578125" customWidth="1"/>
    <col min="8" max="8" width="13.7109375" customWidth="1"/>
    <col min="10" max="12" width="3.28515625" bestFit="1" customWidth="1"/>
    <col min="13" max="14" width="9.140625" style="55"/>
  </cols>
  <sheetData>
    <row r="1" spans="2:14" ht="15.75" x14ac:dyDescent="0.25">
      <c r="B1" s="118" t="s">
        <v>0</v>
      </c>
      <c r="C1" s="118"/>
      <c r="D1" s="118"/>
      <c r="E1" s="118"/>
      <c r="F1" s="118"/>
      <c r="G1" s="118"/>
      <c r="H1" s="118"/>
      <c r="I1" s="118"/>
      <c r="J1" s="229"/>
      <c r="K1" s="229"/>
      <c r="L1" s="229"/>
      <c r="M1" s="230"/>
      <c r="N1" s="230"/>
    </row>
    <row r="2" spans="2:14" ht="15.75" x14ac:dyDescent="0.25">
      <c r="B2" s="176" t="s">
        <v>171</v>
      </c>
      <c r="C2" s="118"/>
      <c r="D2" s="118"/>
      <c r="E2" s="118"/>
      <c r="F2" s="118"/>
      <c r="G2" s="118"/>
      <c r="H2" s="119"/>
      <c r="I2" s="118"/>
      <c r="J2" s="229"/>
      <c r="K2" s="229"/>
      <c r="L2" s="229"/>
      <c r="M2" s="229"/>
      <c r="N2" s="51"/>
    </row>
    <row r="3" spans="2:14" ht="15.75" x14ac:dyDescent="0.25">
      <c r="B3" s="118" t="s">
        <v>164</v>
      </c>
      <c r="C3" s="118"/>
      <c r="D3" s="118"/>
      <c r="E3" s="118"/>
      <c r="F3" s="118"/>
      <c r="G3" s="118"/>
      <c r="H3" s="119"/>
      <c r="I3" s="118"/>
      <c r="J3" s="229"/>
      <c r="K3" s="229"/>
      <c r="L3" s="229"/>
      <c r="M3" s="229"/>
      <c r="N3" s="51"/>
    </row>
    <row r="4" spans="2:14" x14ac:dyDescent="0.2">
      <c r="B4" s="177"/>
      <c r="E4" s="178"/>
      <c r="H4" s="179"/>
    </row>
    <row r="5" spans="2:14" x14ac:dyDescent="0.2">
      <c r="B5" s="177"/>
      <c r="E5" s="180"/>
      <c r="H5" s="179"/>
    </row>
    <row r="6" spans="2:14" x14ac:dyDescent="0.2">
      <c r="E6" s="180"/>
      <c r="H6" s="179"/>
    </row>
    <row r="7" spans="2:14" x14ac:dyDescent="0.2">
      <c r="C7" s="181" t="s">
        <v>102</v>
      </c>
      <c r="D7" s="21" t="s">
        <v>103</v>
      </c>
      <c r="E7" s="183" t="s">
        <v>122</v>
      </c>
      <c r="F7" s="183" t="s">
        <v>122</v>
      </c>
      <c r="G7" s="231" t="str">
        <f>'Rev Impact PGA-5'!G7</f>
        <v>2017 PGA</v>
      </c>
      <c r="H7" s="231" t="str">
        <f>'Rev Impact PGA-5'!H7</f>
        <v>2017 PGA</v>
      </c>
      <c r="I7" s="183"/>
    </row>
    <row r="8" spans="2:14" x14ac:dyDescent="0.2">
      <c r="C8" s="127" t="s">
        <v>165</v>
      </c>
      <c r="D8" s="127" t="s">
        <v>165</v>
      </c>
      <c r="E8" s="183" t="s">
        <v>125</v>
      </c>
      <c r="F8" s="183" t="s">
        <v>126</v>
      </c>
      <c r="G8" s="181" t="s">
        <v>127</v>
      </c>
      <c r="H8" s="181" t="s">
        <v>127</v>
      </c>
      <c r="I8" s="180" t="s">
        <v>128</v>
      </c>
    </row>
    <row r="9" spans="2:14" s="3" customFormat="1" x14ac:dyDescent="0.2">
      <c r="B9" s="12" t="s">
        <v>129</v>
      </c>
      <c r="C9" s="74" t="s">
        <v>166</v>
      </c>
      <c r="D9" s="74" t="s">
        <v>166</v>
      </c>
      <c r="E9" s="232" t="str">
        <f>'Rev Impact PGA-5'!E9</f>
        <v>Nov17 - Oct18</v>
      </c>
      <c r="F9" s="233" t="s">
        <v>132</v>
      </c>
      <c r="G9" s="74" t="s">
        <v>133</v>
      </c>
      <c r="H9" s="74" t="s">
        <v>134</v>
      </c>
      <c r="I9" s="74" t="s">
        <v>104</v>
      </c>
      <c r="M9" s="2"/>
      <c r="N9" s="2"/>
    </row>
    <row r="10" spans="2:14" x14ac:dyDescent="0.2">
      <c r="B10" s="185" t="s">
        <v>135</v>
      </c>
      <c r="C10" s="186" t="s">
        <v>136</v>
      </c>
      <c r="D10" s="186" t="s">
        <v>137</v>
      </c>
      <c r="E10" s="186" t="s">
        <v>138</v>
      </c>
      <c r="F10" s="186" t="s">
        <v>139</v>
      </c>
      <c r="G10" s="186" t="s">
        <v>140</v>
      </c>
      <c r="H10" s="186" t="s">
        <v>141</v>
      </c>
      <c r="I10" s="186" t="s">
        <v>142</v>
      </c>
    </row>
    <row r="11" spans="2:14" x14ac:dyDescent="0.2">
      <c r="B11" s="55" t="s">
        <v>143</v>
      </c>
      <c r="C11" s="148">
        <f>SUM('Combined Cust Impact PGA-6'!D11,'Combined Cust Impact PGA-6'!G11)</f>
        <v>0.40100000000000002</v>
      </c>
      <c r="D11" s="148">
        <f>SUM('Combined Cust Impact PGA-6'!E11,'Combined Cust Impact PGA-6'!H11)</f>
        <v>0.36751999999999996</v>
      </c>
      <c r="E11" s="234">
        <f>'Rev Impact PGA-5'!E11</f>
        <v>607149561</v>
      </c>
      <c r="F11" s="38">
        <v>659980392.62383485</v>
      </c>
      <c r="G11" s="235">
        <f>D11-C11</f>
        <v>-3.3480000000000065E-2</v>
      </c>
      <c r="H11" s="36">
        <f>G11*E11</f>
        <v>-20327367.302280039</v>
      </c>
      <c r="I11" s="39">
        <f t="shared" ref="I11:I18" si="0">H11/F11</f>
        <v>-3.0799956376682706E-2</v>
      </c>
    </row>
    <row r="12" spans="2:14" x14ac:dyDescent="0.2">
      <c r="B12" s="55" t="s">
        <v>144</v>
      </c>
      <c r="C12" s="148">
        <f>SUM('Combined Cust Impact PGA-6'!D12,'Combined Cust Impact PGA-6'!G12)</f>
        <v>0.40100000000000002</v>
      </c>
      <c r="D12" s="148">
        <f>SUM('Combined Cust Impact PGA-6'!E12,'Combined Cust Impact PGA-6'!H12)</f>
        <v>0.36751999999999996</v>
      </c>
      <c r="E12" s="234">
        <f>'Rev Impact PGA-5'!E12</f>
        <v>13738</v>
      </c>
      <c r="F12" s="38">
        <v>29021.797161052629</v>
      </c>
      <c r="G12" s="235">
        <f t="shared" ref="G12:G17" si="1">D12-C12</f>
        <v>-3.3480000000000065E-2</v>
      </c>
      <c r="H12" s="36">
        <f t="shared" ref="H12:H17" si="2">G12*E12</f>
        <v>-459.94824000000091</v>
      </c>
      <c r="I12" s="39">
        <f t="shared" si="0"/>
        <v>-1.5848372085559653E-2</v>
      </c>
    </row>
    <row r="13" spans="2:14" x14ac:dyDescent="0.2">
      <c r="B13" s="190" t="s">
        <v>145</v>
      </c>
      <c r="C13" s="148">
        <f>SUM('Combined Cust Impact PGA-6'!D16,'Combined Cust Impact PGA-6'!G16)</f>
        <v>0.39330999999999999</v>
      </c>
      <c r="D13" s="148">
        <f>SUM('Combined Cust Impact PGA-6'!E16,'Combined Cust Impact PGA-6'!H16)</f>
        <v>0.36113000000000001</v>
      </c>
      <c r="E13" s="234">
        <f>'Rev Impact PGA-5'!E13</f>
        <v>231908804</v>
      </c>
      <c r="F13" s="38">
        <v>215598323.68062288</v>
      </c>
      <c r="G13" s="235">
        <f t="shared" si="1"/>
        <v>-3.2179999999999986E-2</v>
      </c>
      <c r="H13" s="36">
        <f t="shared" si="2"/>
        <v>-7462825.312719997</v>
      </c>
      <c r="I13" s="39">
        <f t="shared" si="0"/>
        <v>-3.4614486723816423E-2</v>
      </c>
    </row>
    <row r="14" spans="2:14" x14ac:dyDescent="0.2">
      <c r="B14" s="55" t="s">
        <v>146</v>
      </c>
      <c r="C14" s="148">
        <f>SUM('Combined Cust Impact PGA-6'!D17,'Combined Cust Impact PGA-6'!G17)</f>
        <v>0.30435000000000001</v>
      </c>
      <c r="D14" s="148">
        <f>SUM('Combined Cust Impact PGA-6'!E17,'Combined Cust Impact PGA-6'!H17)</f>
        <v>0.27552000000000004</v>
      </c>
      <c r="E14" s="234">
        <f>'Rev Impact PGA-5'!E14</f>
        <v>67177571</v>
      </c>
      <c r="F14" s="38">
        <v>44692423.072534904</v>
      </c>
      <c r="G14" s="235">
        <f t="shared" si="1"/>
        <v>-2.8829999999999967E-2</v>
      </c>
      <c r="H14" s="36">
        <f t="shared" si="2"/>
        <v>-1936729.3719299978</v>
      </c>
      <c r="I14" s="39">
        <f t="shared" si="0"/>
        <v>-4.3334624501936828E-2</v>
      </c>
    </row>
    <row r="15" spans="2:14" x14ac:dyDescent="0.2">
      <c r="B15" s="55" t="s">
        <v>147</v>
      </c>
      <c r="C15" s="148">
        <f>SUM('Combined Cust Impact PGA-6'!D21,'Combined Cust Impact PGA-6'!G21)</f>
        <v>0.33335000000000004</v>
      </c>
      <c r="D15" s="148">
        <f>SUM('Combined Cust Impact PGA-6'!E21,'Combined Cust Impact PGA-6'!H21)</f>
        <v>0.31006</v>
      </c>
      <c r="E15" s="234">
        <f>'Rev Impact PGA-5'!E15</f>
        <v>17913519</v>
      </c>
      <c r="F15" s="38">
        <v>8564629.7523113675</v>
      </c>
      <c r="G15" s="235">
        <f t="shared" si="1"/>
        <v>-2.3290000000000033E-2</v>
      </c>
      <c r="H15" s="36">
        <f t="shared" si="2"/>
        <v>-417205.85751000058</v>
      </c>
      <c r="I15" s="39">
        <f t="shared" si="0"/>
        <v>-4.8712655371635619E-2</v>
      </c>
    </row>
    <row r="16" spans="2:14" x14ac:dyDescent="0.2">
      <c r="B16" s="55" t="s">
        <v>148</v>
      </c>
      <c r="C16" s="148">
        <f>SUM('Combined Cust Impact PGA-6'!D22,'Combined Cust Impact PGA-6'!G22)</f>
        <v>0.34043999999999996</v>
      </c>
      <c r="D16" s="148">
        <f>SUM('Combined Cust Impact PGA-6'!E22,'Combined Cust Impact PGA-6'!H22)</f>
        <v>0.31520000000000004</v>
      </c>
      <c r="E16" s="234">
        <f>'Rev Impact PGA-5'!E16</f>
        <v>8625159</v>
      </c>
      <c r="F16" s="38">
        <v>5522123.2415592503</v>
      </c>
      <c r="G16" s="235">
        <f t="shared" si="1"/>
        <v>-2.5239999999999929E-2</v>
      </c>
      <c r="H16" s="36">
        <f t="shared" si="2"/>
        <v>-217699.01315999939</v>
      </c>
      <c r="I16" s="39">
        <f t="shared" si="0"/>
        <v>-3.9423063129342434E-2</v>
      </c>
    </row>
    <row r="17" spans="2:14" x14ac:dyDescent="0.2">
      <c r="B17" s="191" t="s">
        <v>149</v>
      </c>
      <c r="C17" s="148">
        <f>SUM('Combined Cust Impact PGA-6'!D23,'Combined Cust Impact PGA-6'!G23)</f>
        <v>0.33612000000000003</v>
      </c>
      <c r="D17" s="148">
        <f>SUM('Combined Cust Impact PGA-6'!E23,'Combined Cust Impact PGA-6'!H23)</f>
        <v>0.31373000000000001</v>
      </c>
      <c r="E17" s="234">
        <f>'Rev Impact PGA-5'!E17</f>
        <v>21070835</v>
      </c>
      <c r="F17" s="38">
        <v>9085549.79144012</v>
      </c>
      <c r="G17" s="235">
        <f t="shared" si="1"/>
        <v>-2.2390000000000021E-2</v>
      </c>
      <c r="H17" s="36">
        <f t="shared" si="2"/>
        <v>-471775.99565000046</v>
      </c>
      <c r="I17" s="192">
        <f t="shared" si="0"/>
        <v>-5.1925971072711588E-2</v>
      </c>
    </row>
    <row r="18" spans="2:14" x14ac:dyDescent="0.2">
      <c r="B18" s="193" t="s">
        <v>7</v>
      </c>
      <c r="C18" s="194"/>
      <c r="D18" s="194"/>
      <c r="E18" s="195">
        <f>SUM(E11:E17)</f>
        <v>953859187</v>
      </c>
      <c r="F18" s="196">
        <f>SUM(F11:F17)</f>
        <v>943472463.95946443</v>
      </c>
      <c r="G18" s="197">
        <f>ROUND(H18/E18,5)</f>
        <v>-3.2329999999999998E-2</v>
      </c>
      <c r="H18" s="196">
        <f>SUM(H11:H17)</f>
        <v>-30834062.801490035</v>
      </c>
      <c r="I18" s="198">
        <f t="shared" si="0"/>
        <v>-3.2681465521620982E-2</v>
      </c>
    </row>
    <row r="19" spans="2:14" x14ac:dyDescent="0.2">
      <c r="B19" s="55"/>
      <c r="C19" s="179"/>
      <c r="D19" s="179"/>
      <c r="E19" s="199"/>
      <c r="F19" s="36"/>
      <c r="H19" s="36"/>
      <c r="I19" s="39"/>
    </row>
    <row r="20" spans="2:14" ht="12.75" customHeight="1" x14ac:dyDescent="0.2">
      <c r="B20" s="242" t="str">
        <f>'Rev Impact PGA-5'!B20:I20</f>
        <v>(1) Forecasted revenue at rates in effect May 1, 2017 for the 12 months ended October 2018.</v>
      </c>
      <c r="C20" s="242"/>
      <c r="D20" s="242"/>
      <c r="E20" s="242"/>
      <c r="F20" s="242"/>
      <c r="G20" s="242"/>
      <c r="H20" s="242"/>
      <c r="I20" s="242"/>
    </row>
    <row r="21" spans="2:14" ht="12.75" customHeight="1" x14ac:dyDescent="0.2">
      <c r="B21" s="236"/>
      <c r="C21" s="236"/>
      <c r="D21" s="236"/>
      <c r="E21" s="236"/>
      <c r="F21" s="236"/>
      <c r="G21" s="236"/>
      <c r="H21" s="236"/>
      <c r="I21" s="236"/>
      <c r="M21"/>
      <c r="N21"/>
    </row>
    <row r="22" spans="2:14" x14ac:dyDescent="0.2">
      <c r="B22" s="236"/>
      <c r="C22" s="236"/>
      <c r="D22" s="236"/>
      <c r="E22" s="236"/>
      <c r="F22" s="236"/>
      <c r="G22" s="236"/>
      <c r="H22" s="236"/>
      <c r="I22" s="236"/>
      <c r="M22"/>
      <c r="N22"/>
    </row>
    <row r="23" spans="2:14" ht="105.75" customHeight="1" x14ac:dyDescent="0.2">
      <c r="E23" s="199"/>
      <c r="F23" s="36"/>
      <c r="H23" s="36"/>
      <c r="J23" s="227" t="s">
        <v>75</v>
      </c>
      <c r="K23" s="175" t="s">
        <v>167</v>
      </c>
      <c r="L23" s="98" t="s">
        <v>77</v>
      </c>
      <c r="M23"/>
      <c r="N23"/>
    </row>
    <row r="24" spans="2:14" x14ac:dyDescent="0.2">
      <c r="B24" s="55"/>
      <c r="C24" s="178"/>
      <c r="D24" s="178"/>
      <c r="E24" s="199"/>
      <c r="F24" s="36"/>
      <c r="H24" s="36"/>
      <c r="M24"/>
      <c r="N24"/>
    </row>
    <row r="25" spans="2:14" x14ac:dyDescent="0.2">
      <c r="B25" s="55"/>
      <c r="C25" s="178"/>
      <c r="D25" s="178"/>
      <c r="E25" s="178"/>
      <c r="F25" s="36"/>
      <c r="H25" s="36"/>
      <c r="M25"/>
      <c r="N25"/>
    </row>
    <row r="26" spans="2:14" x14ac:dyDescent="0.2">
      <c r="C26" s="178"/>
      <c r="D26" s="178"/>
      <c r="E26" s="205"/>
      <c r="F26" s="36"/>
      <c r="H26" s="36"/>
      <c r="M26"/>
      <c r="N26"/>
    </row>
    <row r="27" spans="2:14" x14ac:dyDescent="0.2">
      <c r="C27" s="178"/>
      <c r="D27" s="178"/>
      <c r="E27" s="206"/>
      <c r="H27" s="36"/>
      <c r="M27"/>
      <c r="N27"/>
    </row>
    <row r="28" spans="2:14" x14ac:dyDescent="0.2">
      <c r="C28" s="208"/>
      <c r="D28" s="208"/>
      <c r="E28" s="208"/>
      <c r="F28" s="179"/>
      <c r="G28" s="179"/>
      <c r="H28" s="36"/>
      <c r="I28" s="179"/>
      <c r="M28"/>
      <c r="N28"/>
    </row>
    <row r="29" spans="2:14" x14ac:dyDescent="0.2">
      <c r="C29" s="208"/>
      <c r="D29" s="208"/>
      <c r="E29" s="208"/>
      <c r="F29" s="179"/>
      <c r="G29" s="179"/>
      <c r="H29" s="179"/>
      <c r="I29" s="179"/>
      <c r="M29"/>
      <c r="N29"/>
    </row>
    <row r="30" spans="2:14" x14ac:dyDescent="0.2">
      <c r="B30" s="158"/>
      <c r="C30" s="179"/>
      <c r="D30" s="179"/>
      <c r="E30" s="179"/>
      <c r="F30" s="179"/>
      <c r="G30" s="179"/>
      <c r="H30" s="179"/>
      <c r="I30" s="179"/>
      <c r="M30"/>
      <c r="N30"/>
    </row>
    <row r="31" spans="2:14" x14ac:dyDescent="0.2">
      <c r="B31" s="53"/>
      <c r="C31" s="179"/>
      <c r="D31" s="179"/>
      <c r="E31" s="179"/>
      <c r="F31" s="179"/>
      <c r="G31" s="179"/>
      <c r="H31" s="179"/>
      <c r="I31" s="179"/>
      <c r="M31"/>
      <c r="N31"/>
    </row>
    <row r="32" spans="2:14" s="179" customFormat="1" x14ac:dyDescent="0.2">
      <c r="B32" s="6"/>
      <c r="M32" s="237"/>
      <c r="N32" s="237"/>
    </row>
  </sheetData>
  <mergeCells count="1">
    <mergeCell ref="B20:I20"/>
  </mergeCells>
  <printOptions horizontalCentered="1"/>
  <pageMargins left="0.75" right="0.75" top="1" bottom="1" header="0.5" footer="0.5"/>
  <pageSetup scale="86" orientation="landscape" blackAndWhite="1" r:id="rId1"/>
  <headerFooter alignWithMargins="0">
    <oddFooter>&amp;L&amp;F 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2017-09-15T07:00:00+00:00</OpenedDate>
    <Date1 xmlns="dc463f71-b30c-4ab2-9473-d307f9d35888">2017-09-15T07:00:00+00:00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170975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EC5CEADC0513479C06ABF8F969A697" ma:contentTypeVersion="104" ma:contentTypeDescription="" ma:contentTypeScope="" ma:versionID="744d17b28104efbe6072e741be4de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F6A711C-12DB-4C84-AC77-0AC207832C6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BFF63F-1DB4-4537-A3F4-BD1EB6DAB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96C0B-AB1C-46ED-8D48-AF95ED64F265}"/>
</file>

<file path=customXml/itemProps4.xml><?xml version="1.0" encoding="utf-8"?>
<ds:datastoreItem xmlns:ds="http://schemas.openxmlformats.org/officeDocument/2006/customXml" ds:itemID="{872CD273-89B5-4B35-ACC5-6B18AF963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Rates PGA-1</vt:lpstr>
      <vt:lpstr>Rate Change PGA-2</vt:lpstr>
      <vt:lpstr>Forecast PGA-3</vt:lpstr>
      <vt:lpstr>Cust Impact PGA-4</vt:lpstr>
      <vt:lpstr>Rev Impact PGA-5</vt:lpstr>
      <vt:lpstr>Combined Cust Impact PGA-6</vt:lpstr>
      <vt:lpstr>Combined Rev Impact PGA-7</vt:lpstr>
      <vt:lpstr>'Forecast PGA-3'!Print_Area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Huff, Ashley (UTC)</cp:lastModifiedBy>
  <dcterms:created xsi:type="dcterms:W3CDTF">2017-09-15T17:40:05Z</dcterms:created>
  <dcterms:modified xsi:type="dcterms:W3CDTF">2017-09-15T22:42:43Z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0x0101006E56B4D1795A2E4DB2F0B01679ED314A009CEC5CEADC0513479C06ABF8F969A697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