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Commodity Credit\2017\"/>
    </mc:Choice>
  </mc:AlternateContent>
  <bookViews>
    <workbookView xWindow="6900" yWindow="-15" windowWidth="6930" windowHeight="7110" activeTab="4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</sheets>
  <definedNames>
    <definedName name="_xlnm.Print_Area" localSheetId="2">Composition!$A$1:$AA$20</definedName>
    <definedName name="_xlnm.Print_Area" localSheetId="3">Prices!$A$1:$K$18</definedName>
    <definedName name="_xlnm.Print_Area" localSheetId="0">'Rebate Calculation'!$A$1:$G$58</definedName>
    <definedName name="_xlnm.Print_Area" localSheetId="4">'Res''l &amp; MF Customers'!$A$1:$P$27</definedName>
    <definedName name="_xlnm.Print_Area" localSheetId="1">'Tons &amp; Revenue'!$A$1:$M$141</definedName>
    <definedName name="_xlnm.Print_Titles" localSheetId="1">'Tons &amp; Revenue'!$1:$3</definedName>
  </definedNames>
  <calcPr calcId="171027"/>
</workbook>
</file>

<file path=xl/calcChain.xml><?xml version="1.0" encoding="utf-8"?>
<calcChain xmlns="http://schemas.openxmlformats.org/spreadsheetml/2006/main">
  <c r="E21" i="40" l="1"/>
  <c r="F44" i="35" l="1"/>
  <c r="C44" i="35"/>
  <c r="F16" i="35"/>
  <c r="C16" i="35"/>
  <c r="AA18" i="36" l="1"/>
  <c r="Y18" i="36"/>
  <c r="W18" i="36"/>
  <c r="U18" i="36"/>
  <c r="S18" i="36"/>
  <c r="Q18" i="36"/>
  <c r="O18" i="36"/>
  <c r="M18" i="36"/>
  <c r="K18" i="36"/>
  <c r="I18" i="36"/>
  <c r="G18" i="36"/>
  <c r="E18" i="36"/>
  <c r="C18" i="36"/>
  <c r="D20" i="33" l="1"/>
  <c r="D19" i="33"/>
  <c r="D18" i="33"/>
  <c r="D17" i="33"/>
  <c r="D16" i="33"/>
  <c r="D15" i="33"/>
  <c r="D14" i="33"/>
  <c r="D13" i="33"/>
  <c r="D12" i="33"/>
  <c r="D11" i="33"/>
  <c r="D10" i="33"/>
  <c r="D145" i="33" l="1"/>
  <c r="E145" i="33"/>
  <c r="F145" i="33"/>
  <c r="G145" i="33"/>
  <c r="H145" i="33"/>
  <c r="I145" i="33"/>
  <c r="J145" i="33"/>
  <c r="K145" i="33"/>
  <c r="L145" i="33"/>
  <c r="M145" i="33"/>
  <c r="C145" i="33"/>
  <c r="D42" i="33" l="1"/>
  <c r="E42" i="33"/>
  <c r="F42" i="33"/>
  <c r="G42" i="33"/>
  <c r="H42" i="33"/>
  <c r="I42" i="33"/>
  <c r="J42" i="33"/>
  <c r="K42" i="33"/>
  <c r="L42" i="33"/>
  <c r="D43" i="33"/>
  <c r="E43" i="33"/>
  <c r="F43" i="33"/>
  <c r="G43" i="33"/>
  <c r="H43" i="33"/>
  <c r="I43" i="33"/>
  <c r="J43" i="33"/>
  <c r="K43" i="33"/>
  <c r="L43" i="33"/>
  <c r="D44" i="33"/>
  <c r="E44" i="33"/>
  <c r="F44" i="33"/>
  <c r="G44" i="33"/>
  <c r="H44" i="33"/>
  <c r="I44" i="33"/>
  <c r="J44" i="33"/>
  <c r="K44" i="33"/>
  <c r="L44" i="33"/>
  <c r="D45" i="33"/>
  <c r="E45" i="33"/>
  <c r="F45" i="33"/>
  <c r="G45" i="33"/>
  <c r="H45" i="33"/>
  <c r="I45" i="33"/>
  <c r="J45" i="33"/>
  <c r="K45" i="33"/>
  <c r="L45" i="33"/>
  <c r="D46" i="33"/>
  <c r="E46" i="33"/>
  <c r="F46" i="33"/>
  <c r="G46" i="33"/>
  <c r="H46" i="33"/>
  <c r="I46" i="33"/>
  <c r="J46" i="33"/>
  <c r="K46" i="33"/>
  <c r="L46" i="33"/>
  <c r="D47" i="33"/>
  <c r="E47" i="33"/>
  <c r="F47" i="33"/>
  <c r="G47" i="33"/>
  <c r="H47" i="33"/>
  <c r="I47" i="33"/>
  <c r="J47" i="33"/>
  <c r="K47" i="33"/>
  <c r="L47" i="33"/>
  <c r="D48" i="33"/>
  <c r="E48" i="33"/>
  <c r="F48" i="33"/>
  <c r="G48" i="33"/>
  <c r="H48" i="33"/>
  <c r="I48" i="33"/>
  <c r="J48" i="33"/>
  <c r="K48" i="33"/>
  <c r="L48" i="33"/>
  <c r="D49" i="33"/>
  <c r="E49" i="33"/>
  <c r="F49" i="33"/>
  <c r="G49" i="33"/>
  <c r="H49" i="33"/>
  <c r="I49" i="33"/>
  <c r="J49" i="33"/>
  <c r="K49" i="33"/>
  <c r="L49" i="33"/>
  <c r="D50" i="33"/>
  <c r="E50" i="33"/>
  <c r="F50" i="33"/>
  <c r="G50" i="33"/>
  <c r="H50" i="33"/>
  <c r="I50" i="33"/>
  <c r="J50" i="33"/>
  <c r="K50" i="33"/>
  <c r="L50" i="33"/>
  <c r="D51" i="33"/>
  <c r="E51" i="33"/>
  <c r="F51" i="33"/>
  <c r="G51" i="33"/>
  <c r="H51" i="33"/>
  <c r="I51" i="33"/>
  <c r="J51" i="33"/>
  <c r="K51" i="33"/>
  <c r="L51" i="33"/>
  <c r="D52" i="33"/>
  <c r="E52" i="33"/>
  <c r="F52" i="33"/>
  <c r="G52" i="33"/>
  <c r="H52" i="33"/>
  <c r="I52" i="33"/>
  <c r="J52" i="33"/>
  <c r="K52" i="33"/>
  <c r="L52" i="33"/>
  <c r="D53" i="33"/>
  <c r="E53" i="33"/>
  <c r="F53" i="33"/>
  <c r="G53" i="33"/>
  <c r="H53" i="33"/>
  <c r="I53" i="33"/>
  <c r="J53" i="33"/>
  <c r="K53" i="33"/>
  <c r="L53" i="33"/>
  <c r="C43" i="33"/>
  <c r="C44" i="33"/>
  <c r="C45" i="33"/>
  <c r="C46" i="33"/>
  <c r="C47" i="33"/>
  <c r="C48" i="33"/>
  <c r="C49" i="33"/>
  <c r="C50" i="33"/>
  <c r="C51" i="33"/>
  <c r="C52" i="33"/>
  <c r="C53" i="33"/>
  <c r="C42" i="33"/>
  <c r="D9" i="33"/>
  <c r="C10" i="35"/>
  <c r="C9" i="35"/>
  <c r="N25" i="40"/>
  <c r="M25" i="40"/>
  <c r="L25" i="40"/>
  <c r="K25" i="40"/>
  <c r="J25" i="40"/>
  <c r="I25" i="40"/>
  <c r="H25" i="40"/>
  <c r="G25" i="40"/>
  <c r="F25" i="40"/>
  <c r="E25" i="40"/>
  <c r="D25" i="40"/>
  <c r="C25" i="40"/>
  <c r="P21" i="40"/>
  <c r="N10" i="40"/>
  <c r="N14" i="40" s="1"/>
  <c r="N16" i="40" s="1"/>
  <c r="N18" i="40" s="1"/>
  <c r="F20" i="33" s="1"/>
  <c r="M10" i="40"/>
  <c r="M14" i="40" s="1"/>
  <c r="M16" i="40" s="1"/>
  <c r="M18" i="40" s="1"/>
  <c r="F19" i="33" s="1"/>
  <c r="L10" i="40"/>
  <c r="L14" i="40" s="1"/>
  <c r="L16" i="40" s="1"/>
  <c r="L18" i="40" s="1"/>
  <c r="F18" i="33" s="1"/>
  <c r="K10" i="40"/>
  <c r="K14" i="40" s="1"/>
  <c r="K16" i="40" s="1"/>
  <c r="K18" i="40" s="1"/>
  <c r="F17" i="33" s="1"/>
  <c r="J10" i="40"/>
  <c r="J14" i="40" s="1"/>
  <c r="J16" i="40" s="1"/>
  <c r="J18" i="40" s="1"/>
  <c r="F16" i="33" s="1"/>
  <c r="I10" i="40"/>
  <c r="I14" i="40" s="1"/>
  <c r="I16" i="40" s="1"/>
  <c r="I18" i="40" s="1"/>
  <c r="F15" i="33" s="1"/>
  <c r="H10" i="40"/>
  <c r="H14" i="40" s="1"/>
  <c r="H16" i="40" s="1"/>
  <c r="H18" i="40" s="1"/>
  <c r="F14" i="33" s="1"/>
  <c r="G10" i="40"/>
  <c r="G14" i="40" s="1"/>
  <c r="G16" i="40" s="1"/>
  <c r="G18" i="40" s="1"/>
  <c r="F13" i="33" s="1"/>
  <c r="F10" i="40"/>
  <c r="F14" i="40" s="1"/>
  <c r="F16" i="40" s="1"/>
  <c r="F18" i="40" s="1"/>
  <c r="F12" i="33" s="1"/>
  <c r="E10" i="40"/>
  <c r="E14" i="40" s="1"/>
  <c r="E16" i="40" s="1"/>
  <c r="E18" i="40" s="1"/>
  <c r="F11" i="33" s="1"/>
  <c r="D10" i="40"/>
  <c r="D14" i="40" s="1"/>
  <c r="D16" i="40" s="1"/>
  <c r="D18" i="40" s="1"/>
  <c r="F10" i="33" s="1"/>
  <c r="C10" i="40"/>
  <c r="C14" i="40" s="1"/>
  <c r="C16" i="40" s="1"/>
  <c r="C18" i="40" s="1"/>
  <c r="F9" i="33" s="1"/>
  <c r="C37" i="35" l="1"/>
  <c r="C38" i="35"/>
  <c r="P25" i="40"/>
  <c r="Z18" i="36"/>
  <c r="N16" i="36"/>
  <c r="X16" i="36"/>
  <c r="V16" i="36"/>
  <c r="T16" i="36"/>
  <c r="R16" i="36"/>
  <c r="P16" i="36"/>
  <c r="L16" i="36"/>
  <c r="J16" i="36"/>
  <c r="H16" i="36"/>
  <c r="F16" i="36"/>
  <c r="D16" i="36"/>
  <c r="B16" i="36"/>
  <c r="K15" i="36" l="1"/>
  <c r="K11" i="36"/>
  <c r="K7" i="36"/>
  <c r="D32" i="33" s="1"/>
  <c r="K14" i="36"/>
  <c r="K10" i="36"/>
  <c r="K6" i="36"/>
  <c r="K8" i="36"/>
  <c r="E32" i="33" s="1"/>
  <c r="K13" i="36"/>
  <c r="J32" i="33" s="1"/>
  <c r="K9" i="36"/>
  <c r="K12" i="36"/>
  <c r="L20" i="36"/>
  <c r="M13" i="36"/>
  <c r="J33" i="33" s="1"/>
  <c r="M9" i="36"/>
  <c r="F33" i="33" s="1"/>
  <c r="M6" i="36"/>
  <c r="C33" i="33" s="1"/>
  <c r="M12" i="36"/>
  <c r="I33" i="33" s="1"/>
  <c r="M8" i="36"/>
  <c r="E33" i="33" s="1"/>
  <c r="M14" i="36"/>
  <c r="K33" i="33" s="1"/>
  <c r="M15" i="36"/>
  <c r="L33" i="33" s="1"/>
  <c r="M11" i="36"/>
  <c r="G33" i="33" s="1"/>
  <c r="M7" i="36"/>
  <c r="D33" i="33" s="1"/>
  <c r="M10" i="36"/>
  <c r="H33" i="33" s="1"/>
  <c r="G38" i="33"/>
  <c r="W15" i="36"/>
  <c r="L38" i="33" s="1"/>
  <c r="W11" i="36"/>
  <c r="W7" i="36"/>
  <c r="W12" i="36"/>
  <c r="W14" i="36"/>
  <c r="K38" i="33" s="1"/>
  <c r="W10" i="36"/>
  <c r="W6" i="36"/>
  <c r="W13" i="36"/>
  <c r="W9" i="36"/>
  <c r="F38" i="33" s="1"/>
  <c r="W8" i="36"/>
  <c r="C9" i="33"/>
  <c r="C15" i="36"/>
  <c r="C11" i="36"/>
  <c r="C7" i="36"/>
  <c r="C14" i="36"/>
  <c r="C10" i="36"/>
  <c r="C6" i="36"/>
  <c r="C12" i="36"/>
  <c r="C13" i="36"/>
  <c r="C9" i="36"/>
  <c r="C8" i="36"/>
  <c r="O15" i="36"/>
  <c r="L34" i="33" s="1"/>
  <c r="O11" i="36"/>
  <c r="G34" i="33" s="1"/>
  <c r="O7" i="36"/>
  <c r="D34" i="33" s="1"/>
  <c r="O8" i="36"/>
  <c r="O14" i="36"/>
  <c r="O10" i="36"/>
  <c r="O6" i="36"/>
  <c r="C34" i="33" s="1"/>
  <c r="O13" i="36"/>
  <c r="O9" i="36"/>
  <c r="O12" i="36"/>
  <c r="I34" i="33" s="1"/>
  <c r="K30" i="33"/>
  <c r="G15" i="36"/>
  <c r="G11" i="36"/>
  <c r="G7" i="36"/>
  <c r="G8" i="36"/>
  <c r="G14" i="36"/>
  <c r="G10" i="36"/>
  <c r="G6" i="36"/>
  <c r="G13" i="36"/>
  <c r="J30" i="33" s="1"/>
  <c r="G9" i="36"/>
  <c r="G12" i="36"/>
  <c r="Q13" i="36"/>
  <c r="J35" i="33" s="1"/>
  <c r="Q9" i="36"/>
  <c r="Q14" i="36"/>
  <c r="Q12" i="36"/>
  <c r="Q8" i="36"/>
  <c r="Q6" i="36"/>
  <c r="Q15" i="36"/>
  <c r="Q11" i="36"/>
  <c r="Q7" i="36"/>
  <c r="Q10" i="36"/>
  <c r="J39" i="33"/>
  <c r="Y13" i="36"/>
  <c r="Y9" i="36"/>
  <c r="F39" i="33" s="1"/>
  <c r="Y10" i="36"/>
  <c r="Y12" i="36"/>
  <c r="I39" i="33" s="1"/>
  <c r="Y8" i="36"/>
  <c r="Y6" i="36"/>
  <c r="Y15" i="36"/>
  <c r="Y11" i="36"/>
  <c r="Y7" i="36"/>
  <c r="Y14" i="36"/>
  <c r="U13" i="36"/>
  <c r="U9" i="36"/>
  <c r="U14" i="36"/>
  <c r="K37" i="33" s="1"/>
  <c r="U12" i="36"/>
  <c r="U8" i="36"/>
  <c r="U10" i="36"/>
  <c r="U15" i="36"/>
  <c r="L37" i="33" s="1"/>
  <c r="U11" i="36"/>
  <c r="U7" i="36"/>
  <c r="U6" i="36"/>
  <c r="E29" i="33"/>
  <c r="E13" i="36"/>
  <c r="E9" i="36"/>
  <c r="E6" i="36"/>
  <c r="E12" i="36"/>
  <c r="I29" i="33" s="1"/>
  <c r="E8" i="36"/>
  <c r="E14" i="36"/>
  <c r="E15" i="36"/>
  <c r="E11" i="36"/>
  <c r="G29" i="33" s="1"/>
  <c r="E7" i="36"/>
  <c r="E10" i="36"/>
  <c r="I13" i="36"/>
  <c r="I9" i="36"/>
  <c r="I10" i="36"/>
  <c r="H31" i="33" s="1"/>
  <c r="I12" i="36"/>
  <c r="I8" i="36"/>
  <c r="I6" i="36"/>
  <c r="I15" i="36"/>
  <c r="I11" i="36"/>
  <c r="I7" i="36"/>
  <c r="D31" i="33" s="1"/>
  <c r="I14" i="36"/>
  <c r="L36" i="33"/>
  <c r="S15" i="36"/>
  <c r="S11" i="36"/>
  <c r="G36" i="33" s="1"/>
  <c r="S7" i="36"/>
  <c r="S12" i="36"/>
  <c r="S14" i="36"/>
  <c r="S10" i="36"/>
  <c r="H36" i="33" s="1"/>
  <c r="S6" i="36"/>
  <c r="S8" i="36"/>
  <c r="S13" i="36"/>
  <c r="J36" i="33" s="1"/>
  <c r="S9" i="36"/>
  <c r="F36" i="33" s="1"/>
  <c r="E35" i="33"/>
  <c r="E39" i="33"/>
  <c r="F30" i="33"/>
  <c r="K31" i="33"/>
  <c r="E34" i="33"/>
  <c r="K34" i="33"/>
  <c r="I35" i="33"/>
  <c r="D38" i="33"/>
  <c r="H34" i="33"/>
  <c r="B20" i="36"/>
  <c r="T20" i="36"/>
  <c r="G28" i="33"/>
  <c r="D28" i="33"/>
  <c r="D20" i="36"/>
  <c r="V20" i="36"/>
  <c r="K28" i="33"/>
  <c r="H28" i="33"/>
  <c r="F29" i="33"/>
  <c r="J29" i="33"/>
  <c r="H30" i="33"/>
  <c r="G31" i="33"/>
  <c r="L31" i="33"/>
  <c r="I32" i="33"/>
  <c r="F35" i="33"/>
  <c r="K36" i="33"/>
  <c r="D37" i="33"/>
  <c r="G37" i="33"/>
  <c r="E38" i="33"/>
  <c r="I38" i="33"/>
  <c r="Z16" i="36"/>
  <c r="J20" i="36"/>
  <c r="G32" i="33"/>
  <c r="H37" i="33"/>
  <c r="F20" i="36"/>
  <c r="P20" i="36"/>
  <c r="X20" i="36"/>
  <c r="J28" i="33"/>
  <c r="F28" i="33"/>
  <c r="H29" i="33"/>
  <c r="K29" i="33"/>
  <c r="D30" i="33"/>
  <c r="G30" i="33"/>
  <c r="L30" i="33"/>
  <c r="E31" i="33"/>
  <c r="I31" i="33"/>
  <c r="F32" i="33"/>
  <c r="N20" i="36"/>
  <c r="F34" i="33"/>
  <c r="J34" i="33"/>
  <c r="H35" i="33"/>
  <c r="K35" i="33"/>
  <c r="D36" i="33"/>
  <c r="E37" i="33"/>
  <c r="I37" i="33"/>
  <c r="J38" i="33"/>
  <c r="H39" i="33"/>
  <c r="K39" i="33"/>
  <c r="L28" i="33"/>
  <c r="C31" i="33"/>
  <c r="L32" i="33"/>
  <c r="H20" i="36"/>
  <c r="R20" i="36"/>
  <c r="I28" i="33"/>
  <c r="E28" i="33"/>
  <c r="D29" i="33"/>
  <c r="L29" i="33"/>
  <c r="E30" i="33"/>
  <c r="I30" i="33"/>
  <c r="F31" i="33"/>
  <c r="J31" i="33"/>
  <c r="H32" i="33"/>
  <c r="K32" i="33"/>
  <c r="D35" i="33"/>
  <c r="G35" i="33"/>
  <c r="L35" i="33"/>
  <c r="E36" i="33"/>
  <c r="I36" i="33"/>
  <c r="F37" i="33"/>
  <c r="J37" i="33"/>
  <c r="H38" i="33"/>
  <c r="D39" i="33"/>
  <c r="G39" i="33"/>
  <c r="L39" i="33"/>
  <c r="AA15" i="36" l="1"/>
  <c r="AA11" i="36"/>
  <c r="AA7" i="36"/>
  <c r="AA8" i="36"/>
  <c r="AA14" i="36"/>
  <c r="AA10" i="36"/>
  <c r="AA6" i="36"/>
  <c r="AA13" i="36"/>
  <c r="AA9" i="36"/>
  <c r="AA12" i="36"/>
  <c r="Z20" i="36"/>
  <c r="I16" i="36"/>
  <c r="W16" i="36"/>
  <c r="C38" i="33"/>
  <c r="C28" i="33"/>
  <c r="C16" i="36"/>
  <c r="E16" i="36"/>
  <c r="C29" i="33"/>
  <c r="G16" i="36"/>
  <c r="C30" i="33"/>
  <c r="K16" i="36"/>
  <c r="C32" i="33"/>
  <c r="Y16" i="36"/>
  <c r="C39" i="33"/>
  <c r="O16" i="36"/>
  <c r="Q16" i="36"/>
  <c r="C35" i="33"/>
  <c r="S16" i="36"/>
  <c r="C36" i="33"/>
  <c r="U16" i="36"/>
  <c r="C37" i="33"/>
  <c r="E37" i="35"/>
  <c r="C39" i="35"/>
  <c r="E9" i="35"/>
  <c r="C11" i="35"/>
  <c r="AA16" i="36" l="1"/>
  <c r="F37" i="35"/>
  <c r="F19" i="35"/>
  <c r="F26" i="35"/>
  <c r="F47" i="35"/>
  <c r="F54" i="35"/>
  <c r="F9" i="35"/>
  <c r="C95" i="35" l="1"/>
  <c r="F101" i="35" s="1"/>
  <c r="C69" i="35"/>
  <c r="F75" i="35" s="1"/>
  <c r="F82" i="35" l="1"/>
  <c r="F108" i="35"/>
  <c r="C149" i="35" l="1"/>
  <c r="F155" i="35" l="1"/>
  <c r="F162" i="35"/>
  <c r="C123" i="35"/>
  <c r="F136" i="35" s="1"/>
  <c r="F129" i="35" l="1"/>
  <c r="C15" i="33" l="1"/>
  <c r="C14" i="33" l="1"/>
  <c r="C13" i="33" l="1"/>
  <c r="C12" i="33" l="1"/>
  <c r="C11" i="33" l="1"/>
  <c r="C10" i="33" l="1"/>
  <c r="C16" i="33" l="1"/>
  <c r="C17" i="33" l="1"/>
  <c r="C18" i="33" l="1"/>
  <c r="C19" i="33" l="1"/>
  <c r="F269" i="35"/>
  <c r="G271" i="35" s="1"/>
  <c r="C257" i="35"/>
  <c r="F263" i="35" s="1"/>
  <c r="G265" i="35" s="1"/>
  <c r="F256" i="35"/>
  <c r="F255" i="35"/>
  <c r="E201" i="35"/>
  <c r="F243" i="35"/>
  <c r="G245" i="35" s="1"/>
  <c r="E176" i="35" s="1"/>
  <c r="E121" i="35" s="1"/>
  <c r="F121" i="35" s="1"/>
  <c r="C231" i="35"/>
  <c r="F230" i="35"/>
  <c r="F229" i="35"/>
  <c r="E175" i="35"/>
  <c r="C20" i="33" l="1"/>
  <c r="F257" i="35"/>
  <c r="F231" i="35"/>
  <c r="F235" i="35" s="1"/>
  <c r="G273" i="35"/>
  <c r="E202" i="35"/>
  <c r="E147" i="35" s="1"/>
  <c r="F147" i="35" s="1"/>
  <c r="F237" i="35"/>
  <c r="G239" i="35" l="1"/>
  <c r="G248" i="35" s="1"/>
  <c r="D21" i="33"/>
  <c r="F202" i="35" l="1"/>
  <c r="F175" i="35"/>
  <c r="C177" i="35"/>
  <c r="F190" i="35" s="1"/>
  <c r="F176" i="35"/>
  <c r="F177" i="35" l="1"/>
  <c r="C203" i="35"/>
  <c r="F201" i="35"/>
  <c r="F203" i="35" s="1"/>
  <c r="F183" i="35"/>
  <c r="F209" i="35" l="1"/>
  <c r="F216" i="35"/>
  <c r="E10" i="33"/>
  <c r="G10" i="33" l="1"/>
  <c r="H10" i="33" s="1"/>
  <c r="D61" i="33" l="1"/>
  <c r="D77" i="33" s="1"/>
  <c r="D112" i="33" s="1"/>
  <c r="L61" i="33"/>
  <c r="L77" i="33" s="1"/>
  <c r="L112" i="33" s="1"/>
  <c r="J61" i="33"/>
  <c r="J77" i="33" s="1"/>
  <c r="J112" i="33" s="1"/>
  <c r="F61" i="33"/>
  <c r="F77" i="33" s="1"/>
  <c r="F112" i="33" s="1"/>
  <c r="I61" i="33"/>
  <c r="I77" i="33" s="1"/>
  <c r="I112" i="33" s="1"/>
  <c r="K61" i="33"/>
  <c r="K77" i="33" s="1"/>
  <c r="K112" i="33" s="1"/>
  <c r="E61" i="33"/>
  <c r="E77" i="33" s="1"/>
  <c r="E112" i="33" s="1"/>
  <c r="G61" i="33"/>
  <c r="G77" i="33" s="1"/>
  <c r="G112" i="33" s="1"/>
  <c r="H61" i="33"/>
  <c r="H77" i="33" s="1"/>
  <c r="H112" i="33" s="1"/>
  <c r="C61" i="33"/>
  <c r="G93" i="33" l="1"/>
  <c r="G128" i="33" s="1"/>
  <c r="H93" i="33"/>
  <c r="H128" i="33" s="1"/>
  <c r="J93" i="33"/>
  <c r="J128" i="33" s="1"/>
  <c r="I93" i="33"/>
  <c r="I128" i="33" s="1"/>
  <c r="K93" i="33"/>
  <c r="K128" i="33" s="1"/>
  <c r="D93" i="33"/>
  <c r="D128" i="33" s="1"/>
  <c r="M61" i="33"/>
  <c r="C77" i="33"/>
  <c r="C93" i="33" s="1"/>
  <c r="E93" i="33"/>
  <c r="E128" i="33" s="1"/>
  <c r="F93" i="33"/>
  <c r="F128" i="33" s="1"/>
  <c r="L93" i="33"/>
  <c r="L128" i="33" s="1"/>
  <c r="C128" i="33" l="1"/>
  <c r="M128" i="33" s="1"/>
  <c r="M93" i="33"/>
  <c r="C112" i="33"/>
  <c r="M112" i="33" s="1"/>
  <c r="M77" i="33"/>
  <c r="E11" i="33"/>
  <c r="G11" i="33" l="1"/>
  <c r="H11" i="33" s="1"/>
  <c r="F62" i="33" l="1"/>
  <c r="L62" i="33"/>
  <c r="D62" i="33"/>
  <c r="D78" i="33" s="1"/>
  <c r="D113" i="33" s="1"/>
  <c r="J62" i="33"/>
  <c r="J78" i="33" s="1"/>
  <c r="J113" i="33" s="1"/>
  <c r="K62" i="33"/>
  <c r="K78" i="33" s="1"/>
  <c r="K113" i="33" s="1"/>
  <c r="I62" i="33"/>
  <c r="I78" i="33" s="1"/>
  <c r="I113" i="33" s="1"/>
  <c r="G62" i="33"/>
  <c r="G78" i="33" s="1"/>
  <c r="G113" i="33" s="1"/>
  <c r="E62" i="33"/>
  <c r="E78" i="33" s="1"/>
  <c r="E113" i="33" s="1"/>
  <c r="H62" i="33"/>
  <c r="L78" i="33"/>
  <c r="L113" i="33" s="1"/>
  <c r="F78" i="33"/>
  <c r="F113" i="33" s="1"/>
  <c r="C62" i="33"/>
  <c r="H78" i="33"/>
  <c r="H113" i="33" s="1"/>
  <c r="I94" i="33" l="1"/>
  <c r="I129" i="33" s="1"/>
  <c r="H94" i="33"/>
  <c r="H129" i="33" s="1"/>
  <c r="F94" i="33"/>
  <c r="F129" i="33" s="1"/>
  <c r="G94" i="33"/>
  <c r="G129" i="33" s="1"/>
  <c r="E94" i="33"/>
  <c r="E129" i="33" s="1"/>
  <c r="L94" i="33"/>
  <c r="L129" i="33" s="1"/>
  <c r="D94" i="33"/>
  <c r="D129" i="33" s="1"/>
  <c r="C78" i="33"/>
  <c r="C94" i="33" s="1"/>
  <c r="M62" i="33"/>
  <c r="J94" i="33"/>
  <c r="J129" i="33" s="1"/>
  <c r="K94" i="33"/>
  <c r="K129" i="33" s="1"/>
  <c r="M94" i="33" l="1"/>
  <c r="C129" i="33"/>
  <c r="M129" i="33" s="1"/>
  <c r="M78" i="33"/>
  <c r="C113" i="33"/>
  <c r="M113" i="33" s="1"/>
  <c r="E12" i="33"/>
  <c r="G12" i="33" l="1"/>
  <c r="H12" i="33" s="1"/>
  <c r="L63" i="33" l="1"/>
  <c r="C63" i="33"/>
  <c r="C79" i="33" s="1"/>
  <c r="C95" i="33" s="1"/>
  <c r="K63" i="33"/>
  <c r="K79" i="33" s="1"/>
  <c r="K114" i="33" s="1"/>
  <c r="D63" i="33"/>
  <c r="D79" i="33" s="1"/>
  <c r="D114" i="33" s="1"/>
  <c r="H63" i="33"/>
  <c r="H79" i="33" s="1"/>
  <c r="H114" i="33" s="1"/>
  <c r="J63" i="33"/>
  <c r="E63" i="33"/>
  <c r="E79" i="33" s="1"/>
  <c r="E114" i="33" s="1"/>
  <c r="F63" i="33"/>
  <c r="F79" i="33" s="1"/>
  <c r="F114" i="33" s="1"/>
  <c r="I63" i="33"/>
  <c r="I79" i="33" s="1"/>
  <c r="I114" i="33" s="1"/>
  <c r="G63" i="33"/>
  <c r="G79" i="33" s="1"/>
  <c r="G114" i="33" s="1"/>
  <c r="J79" i="33"/>
  <c r="J114" i="33" s="1"/>
  <c r="L79" i="33"/>
  <c r="L114" i="33" s="1"/>
  <c r="M63" i="33" l="1"/>
  <c r="H95" i="33"/>
  <c r="H130" i="33" s="1"/>
  <c r="F95" i="33"/>
  <c r="F130" i="33" s="1"/>
  <c r="I95" i="33"/>
  <c r="I130" i="33" s="1"/>
  <c r="J95" i="33"/>
  <c r="J130" i="33" s="1"/>
  <c r="C130" i="33"/>
  <c r="E95" i="33"/>
  <c r="E130" i="33" s="1"/>
  <c r="D95" i="33"/>
  <c r="D130" i="33" s="1"/>
  <c r="M79" i="33"/>
  <c r="C114" i="33"/>
  <c r="M114" i="33" s="1"/>
  <c r="G95" i="33"/>
  <c r="G130" i="33" s="1"/>
  <c r="L95" i="33"/>
  <c r="L130" i="33" s="1"/>
  <c r="K95" i="33"/>
  <c r="K130" i="33" s="1"/>
  <c r="M130" i="33" l="1"/>
  <c r="M95" i="33"/>
  <c r="E13" i="33"/>
  <c r="G13" i="33" l="1"/>
  <c r="H13" i="33" s="1"/>
  <c r="I64" i="33" l="1"/>
  <c r="C64" i="33"/>
  <c r="H64" i="33"/>
  <c r="H80" i="33" s="1"/>
  <c r="H115" i="33" s="1"/>
  <c r="F64" i="33"/>
  <c r="F80" i="33" s="1"/>
  <c r="F115" i="33" s="1"/>
  <c r="G64" i="33"/>
  <c r="G80" i="33" s="1"/>
  <c r="G115" i="33" s="1"/>
  <c r="J64" i="33"/>
  <c r="J80" i="33" s="1"/>
  <c r="J115" i="33" s="1"/>
  <c r="D64" i="33"/>
  <c r="D80" i="33" s="1"/>
  <c r="D115" i="33" s="1"/>
  <c r="K64" i="33"/>
  <c r="K80" i="33" s="1"/>
  <c r="K115" i="33" s="1"/>
  <c r="E64" i="33"/>
  <c r="E80" i="33" s="1"/>
  <c r="E115" i="33" s="1"/>
  <c r="L64" i="33"/>
  <c r="L80" i="33" s="1"/>
  <c r="L115" i="33" s="1"/>
  <c r="C80" i="33"/>
  <c r="I80" i="33"/>
  <c r="I115" i="33" s="1"/>
  <c r="M64" i="33" l="1"/>
  <c r="E96" i="33"/>
  <c r="E131" i="33" s="1"/>
  <c r="I96" i="33"/>
  <c r="I131" i="33" s="1"/>
  <c r="H96" i="33"/>
  <c r="H131" i="33" s="1"/>
  <c r="D96" i="33"/>
  <c r="D131" i="33" s="1"/>
  <c r="J96" i="33"/>
  <c r="J131" i="33" s="1"/>
  <c r="G96" i="33"/>
  <c r="G131" i="33" s="1"/>
  <c r="L96" i="33"/>
  <c r="L131" i="33" s="1"/>
  <c r="C115" i="33"/>
  <c r="M115" i="33" s="1"/>
  <c r="M80" i="33"/>
  <c r="F96" i="33"/>
  <c r="F131" i="33" s="1"/>
  <c r="C96" i="33"/>
  <c r="K96" i="33"/>
  <c r="K131" i="33" s="1"/>
  <c r="C131" i="33" l="1"/>
  <c r="M131" i="33" s="1"/>
  <c r="M96" i="33"/>
  <c r="E14" i="33"/>
  <c r="G14" i="33" l="1"/>
  <c r="H14" i="33" s="1"/>
  <c r="H65" i="33" l="1"/>
  <c r="H81" i="33" s="1"/>
  <c r="H116" i="33" s="1"/>
  <c r="L65" i="33"/>
  <c r="L81" i="33" s="1"/>
  <c r="L116" i="33" s="1"/>
  <c r="G65" i="33"/>
  <c r="G81" i="33" s="1"/>
  <c r="G116" i="33" s="1"/>
  <c r="J65" i="33"/>
  <c r="J81" i="33" s="1"/>
  <c r="J116" i="33" s="1"/>
  <c r="C65" i="33"/>
  <c r="C81" i="33" s="1"/>
  <c r="C97" i="33" s="1"/>
  <c r="I65" i="33"/>
  <c r="I81" i="33" s="1"/>
  <c r="I116" i="33" s="1"/>
  <c r="F65" i="33"/>
  <c r="F81" i="33" s="1"/>
  <c r="F116" i="33" s="1"/>
  <c r="D65" i="33"/>
  <c r="D81" i="33" s="1"/>
  <c r="D116" i="33" s="1"/>
  <c r="K65" i="33"/>
  <c r="K81" i="33" s="1"/>
  <c r="K116" i="33" s="1"/>
  <c r="E65" i="33"/>
  <c r="E81" i="33" s="1"/>
  <c r="E116" i="33" s="1"/>
  <c r="M65" i="33" l="1"/>
  <c r="L97" i="33"/>
  <c r="L132" i="33" s="1"/>
  <c r="E97" i="33"/>
  <c r="E132" i="33" s="1"/>
  <c r="F97" i="33"/>
  <c r="F132" i="33" s="1"/>
  <c r="C132" i="33"/>
  <c r="M81" i="33"/>
  <c r="C116" i="33"/>
  <c r="M116" i="33" s="1"/>
  <c r="K97" i="33"/>
  <c r="K132" i="33" s="1"/>
  <c r="H97" i="33"/>
  <c r="H132" i="33" s="1"/>
  <c r="I97" i="33"/>
  <c r="I132" i="33" s="1"/>
  <c r="D97" i="33"/>
  <c r="D132" i="33" s="1"/>
  <c r="G97" i="33"/>
  <c r="G132" i="33" s="1"/>
  <c r="J97" i="33"/>
  <c r="J132" i="33" s="1"/>
  <c r="M132" i="33" l="1"/>
  <c r="M97" i="33"/>
  <c r="E15" i="33"/>
  <c r="G15" i="33" l="1"/>
  <c r="H15" i="33" s="1"/>
  <c r="G66" i="33" l="1"/>
  <c r="G82" i="33" s="1"/>
  <c r="G117" i="33" s="1"/>
  <c r="H66" i="33"/>
  <c r="H82" i="33" s="1"/>
  <c r="H117" i="33" s="1"/>
  <c r="L66" i="33"/>
  <c r="L82" i="33" s="1"/>
  <c r="L117" i="33" s="1"/>
  <c r="J66" i="33"/>
  <c r="J82" i="33" s="1"/>
  <c r="J117" i="33" s="1"/>
  <c r="D66" i="33"/>
  <c r="D82" i="33" s="1"/>
  <c r="D117" i="33" s="1"/>
  <c r="K66" i="33"/>
  <c r="K82" i="33" s="1"/>
  <c r="K117" i="33" s="1"/>
  <c r="C66" i="33"/>
  <c r="C82" i="33" s="1"/>
  <c r="I66" i="33"/>
  <c r="I82" i="33" s="1"/>
  <c r="I117" i="33" s="1"/>
  <c r="F66" i="33"/>
  <c r="F82" i="33" s="1"/>
  <c r="F117" i="33" s="1"/>
  <c r="E66" i="33"/>
  <c r="E82" i="33" s="1"/>
  <c r="E117" i="33" s="1"/>
  <c r="M66" i="33" l="1"/>
  <c r="H98" i="33"/>
  <c r="H133" i="33" s="1"/>
  <c r="L98" i="33"/>
  <c r="L133" i="33" s="1"/>
  <c r="I98" i="33"/>
  <c r="I133" i="33" s="1"/>
  <c r="G98" i="33"/>
  <c r="G133" i="33" s="1"/>
  <c r="K98" i="33"/>
  <c r="K133" i="33" s="1"/>
  <c r="J98" i="33"/>
  <c r="J133" i="33" s="1"/>
  <c r="D98" i="33"/>
  <c r="D133" i="33" s="1"/>
  <c r="M82" i="33"/>
  <c r="C117" i="33"/>
  <c r="M117" i="33" s="1"/>
  <c r="F98" i="33"/>
  <c r="F133" i="33" s="1"/>
  <c r="E98" i="33"/>
  <c r="E133" i="33" s="1"/>
  <c r="C98" i="33"/>
  <c r="C133" i="33" l="1"/>
  <c r="M133" i="33" s="1"/>
  <c r="M98" i="33"/>
  <c r="E16" i="33"/>
  <c r="G16" i="33" l="1"/>
  <c r="H16" i="33" s="1"/>
  <c r="E67" i="33" l="1"/>
  <c r="E83" i="33" s="1"/>
  <c r="E118" i="33" s="1"/>
  <c r="K67" i="33"/>
  <c r="K83" i="33" s="1"/>
  <c r="K118" i="33" s="1"/>
  <c r="I67" i="33"/>
  <c r="I83" i="33" s="1"/>
  <c r="I118" i="33" s="1"/>
  <c r="C67" i="33"/>
  <c r="C83" i="33" s="1"/>
  <c r="C99" i="33" s="1"/>
  <c r="D67" i="33"/>
  <c r="F67" i="33"/>
  <c r="F83" i="33" s="1"/>
  <c r="F118" i="33" s="1"/>
  <c r="G67" i="33"/>
  <c r="G83" i="33" s="1"/>
  <c r="G118" i="33" s="1"/>
  <c r="H67" i="33"/>
  <c r="H83" i="33" s="1"/>
  <c r="H118" i="33" s="1"/>
  <c r="J67" i="33"/>
  <c r="J83" i="33" s="1"/>
  <c r="J118" i="33" s="1"/>
  <c r="L67" i="33"/>
  <c r="L83" i="33" s="1"/>
  <c r="L118" i="33" s="1"/>
  <c r="D83" i="33"/>
  <c r="D118" i="33" s="1"/>
  <c r="M67" i="33" l="1"/>
  <c r="J99" i="33"/>
  <c r="J134" i="33" s="1"/>
  <c r="H99" i="33"/>
  <c r="H134" i="33" s="1"/>
  <c r="L99" i="33"/>
  <c r="L134" i="33" s="1"/>
  <c r="I99" i="33"/>
  <c r="I134" i="33" s="1"/>
  <c r="F99" i="33"/>
  <c r="F134" i="33" s="1"/>
  <c r="C134" i="33"/>
  <c r="E99" i="33"/>
  <c r="E134" i="33" s="1"/>
  <c r="M83" i="33"/>
  <c r="C118" i="33"/>
  <c r="M118" i="33" s="1"/>
  <c r="K99" i="33"/>
  <c r="K134" i="33" s="1"/>
  <c r="D99" i="33"/>
  <c r="D134" i="33" s="1"/>
  <c r="G99" i="33"/>
  <c r="G134" i="33" s="1"/>
  <c r="M134" i="33" l="1"/>
  <c r="M99" i="33"/>
  <c r="E17" i="33"/>
  <c r="G17" i="33" l="1"/>
  <c r="H17" i="33" s="1"/>
  <c r="D68" i="33" s="1"/>
  <c r="L68" i="33" l="1"/>
  <c r="L84" i="33" s="1"/>
  <c r="L119" i="33" s="1"/>
  <c r="J68" i="33"/>
  <c r="F68" i="33"/>
  <c r="F84" i="33" s="1"/>
  <c r="F119" i="33" s="1"/>
  <c r="G68" i="33"/>
  <c r="G84" i="33" s="1"/>
  <c r="G119" i="33" s="1"/>
  <c r="C68" i="33"/>
  <c r="C84" i="33" s="1"/>
  <c r="I68" i="33"/>
  <c r="I84" i="33" s="1"/>
  <c r="I119" i="33" s="1"/>
  <c r="K68" i="33"/>
  <c r="K84" i="33" s="1"/>
  <c r="K119" i="33" s="1"/>
  <c r="H68" i="33"/>
  <c r="H84" i="33" s="1"/>
  <c r="H119" i="33" s="1"/>
  <c r="E68" i="33"/>
  <c r="E84" i="33" s="1"/>
  <c r="E119" i="33" s="1"/>
  <c r="J84" i="33"/>
  <c r="J119" i="33" s="1"/>
  <c r="D84" i="33"/>
  <c r="D119" i="33" s="1"/>
  <c r="M68" i="33" l="1"/>
  <c r="K100" i="33"/>
  <c r="K135" i="33" s="1"/>
  <c r="G100" i="33"/>
  <c r="G135" i="33" s="1"/>
  <c r="E100" i="33"/>
  <c r="E135" i="33" s="1"/>
  <c r="H100" i="33"/>
  <c r="H135" i="33" s="1"/>
  <c r="J100" i="33"/>
  <c r="J135" i="33" s="1"/>
  <c r="D100" i="33"/>
  <c r="D135" i="33" s="1"/>
  <c r="C119" i="33"/>
  <c r="M119" i="33" s="1"/>
  <c r="M84" i="33"/>
  <c r="C100" i="33"/>
  <c r="I100" i="33"/>
  <c r="I135" i="33" s="1"/>
  <c r="F100" i="33"/>
  <c r="F135" i="33" s="1"/>
  <c r="L100" i="33"/>
  <c r="L135" i="33" s="1"/>
  <c r="M100" i="33" l="1"/>
  <c r="C135" i="33"/>
  <c r="M135" i="33" s="1"/>
  <c r="E18" i="33"/>
  <c r="G18" i="33" l="1"/>
  <c r="H18" i="33" s="1"/>
  <c r="F69" i="33" l="1"/>
  <c r="F85" i="33" s="1"/>
  <c r="F120" i="33" s="1"/>
  <c r="J69" i="33"/>
  <c r="K69" i="33"/>
  <c r="K85" i="33" s="1"/>
  <c r="K120" i="33" s="1"/>
  <c r="H69" i="33"/>
  <c r="H85" i="33" s="1"/>
  <c r="H120" i="33" s="1"/>
  <c r="I69" i="33"/>
  <c r="I85" i="33" s="1"/>
  <c r="I120" i="33" s="1"/>
  <c r="G69" i="33"/>
  <c r="G85" i="33" s="1"/>
  <c r="G120" i="33" s="1"/>
  <c r="E69" i="33"/>
  <c r="E85" i="33" s="1"/>
  <c r="E120" i="33" s="1"/>
  <c r="L69" i="33"/>
  <c r="L85" i="33" s="1"/>
  <c r="L120" i="33" s="1"/>
  <c r="D69" i="33"/>
  <c r="D85" i="33" s="1"/>
  <c r="D120" i="33" s="1"/>
  <c r="J85" i="33"/>
  <c r="J120" i="33" s="1"/>
  <c r="C69" i="33"/>
  <c r="J101" i="33" l="1"/>
  <c r="J136" i="33" s="1"/>
  <c r="L101" i="33"/>
  <c r="L136" i="33" s="1"/>
  <c r="I101" i="33"/>
  <c r="I136" i="33" s="1"/>
  <c r="D101" i="33"/>
  <c r="D136" i="33" s="1"/>
  <c r="K101" i="33"/>
  <c r="K136" i="33" s="1"/>
  <c r="C85" i="33"/>
  <c r="C101" i="33" s="1"/>
  <c r="M69" i="33"/>
  <c r="H101" i="33"/>
  <c r="H136" i="33" s="1"/>
  <c r="G101" i="33"/>
  <c r="G136" i="33" s="1"/>
  <c r="F101" i="33"/>
  <c r="F136" i="33" s="1"/>
  <c r="E101" i="33"/>
  <c r="E136" i="33" s="1"/>
  <c r="M101" i="33" l="1"/>
  <c r="C136" i="33"/>
  <c r="M136" i="33" s="1"/>
  <c r="M85" i="33"/>
  <c r="C120" i="33"/>
  <c r="M120" i="33" s="1"/>
  <c r="E19" i="33"/>
  <c r="G19" i="33" l="1"/>
  <c r="H19" i="33" s="1"/>
  <c r="C70" i="33" l="1"/>
  <c r="G70" i="33"/>
  <c r="I70" i="33"/>
  <c r="I86" i="33" s="1"/>
  <c r="I121" i="33" s="1"/>
  <c r="K70" i="33"/>
  <c r="K86" i="33" s="1"/>
  <c r="K121" i="33" s="1"/>
  <c r="J70" i="33"/>
  <c r="J86" i="33" s="1"/>
  <c r="J121" i="33" s="1"/>
  <c r="E70" i="33"/>
  <c r="E86" i="33" s="1"/>
  <c r="E121" i="33" s="1"/>
  <c r="D70" i="33"/>
  <c r="D86" i="33" s="1"/>
  <c r="D121" i="33" s="1"/>
  <c r="F70" i="33"/>
  <c r="F86" i="33" s="1"/>
  <c r="F121" i="33" s="1"/>
  <c r="H70" i="33"/>
  <c r="H86" i="33" s="1"/>
  <c r="H121" i="33" s="1"/>
  <c r="L70" i="33"/>
  <c r="L86" i="33" s="1"/>
  <c r="L121" i="33" s="1"/>
  <c r="G86" i="33"/>
  <c r="G121" i="33" s="1"/>
  <c r="M70" i="33" l="1"/>
  <c r="C86" i="33"/>
  <c r="C102" i="33" s="1"/>
  <c r="C137" i="33" s="1"/>
  <c r="J102" i="33"/>
  <c r="J137" i="33" s="1"/>
  <c r="D102" i="33"/>
  <c r="D137" i="33" s="1"/>
  <c r="I102" i="33"/>
  <c r="I137" i="33" s="1"/>
  <c r="E102" i="33"/>
  <c r="E137" i="33" s="1"/>
  <c r="F102" i="33"/>
  <c r="F137" i="33" s="1"/>
  <c r="K102" i="33"/>
  <c r="K137" i="33" s="1"/>
  <c r="G102" i="33"/>
  <c r="G137" i="33" s="1"/>
  <c r="L102" i="33"/>
  <c r="L137" i="33" s="1"/>
  <c r="H102" i="33"/>
  <c r="H137" i="33" s="1"/>
  <c r="M86" i="33" l="1"/>
  <c r="C121" i="33"/>
  <c r="M121" i="33" s="1"/>
  <c r="M102" i="33"/>
  <c r="M137" i="33"/>
  <c r="E20" i="33"/>
  <c r="G20" i="33" l="1"/>
  <c r="H20" i="33" s="1"/>
  <c r="L71" i="33" l="1"/>
  <c r="L87" i="33" s="1"/>
  <c r="L122" i="33" s="1"/>
  <c r="H71" i="33"/>
  <c r="H87" i="33" s="1"/>
  <c r="H122" i="33" s="1"/>
  <c r="J71" i="33"/>
  <c r="D71" i="33"/>
  <c r="D87" i="33" s="1"/>
  <c r="D122" i="33" s="1"/>
  <c r="E71" i="33"/>
  <c r="E87" i="33" s="1"/>
  <c r="E122" i="33" s="1"/>
  <c r="F71" i="33"/>
  <c r="F87" i="33" s="1"/>
  <c r="F122" i="33" s="1"/>
  <c r="I71" i="33"/>
  <c r="I87" i="33" s="1"/>
  <c r="I122" i="33" s="1"/>
  <c r="K71" i="33"/>
  <c r="K87" i="33" s="1"/>
  <c r="K122" i="33" s="1"/>
  <c r="G71" i="33"/>
  <c r="G87" i="33" s="1"/>
  <c r="G122" i="33" s="1"/>
  <c r="C71" i="33"/>
  <c r="C87" i="33" s="1"/>
  <c r="J87" i="33"/>
  <c r="J122" i="33" s="1"/>
  <c r="M71" i="33" l="1"/>
  <c r="F103" i="33"/>
  <c r="F138" i="33" s="1"/>
  <c r="L103" i="33"/>
  <c r="L138" i="33" s="1"/>
  <c r="G103" i="33"/>
  <c r="G138" i="33" s="1"/>
  <c r="H103" i="33"/>
  <c r="H138" i="33" s="1"/>
  <c r="C122" i="33"/>
  <c r="M122" i="33" s="1"/>
  <c r="M87" i="33"/>
  <c r="I103" i="33"/>
  <c r="I138" i="33" s="1"/>
  <c r="D103" i="33"/>
  <c r="D138" i="33" s="1"/>
  <c r="J103" i="33"/>
  <c r="J138" i="33" s="1"/>
  <c r="C103" i="33"/>
  <c r="E103" i="33"/>
  <c r="E138" i="33" s="1"/>
  <c r="K103" i="33"/>
  <c r="K138" i="33" s="1"/>
  <c r="M103" i="33" l="1"/>
  <c r="C138" i="33"/>
  <c r="M138" i="33" s="1"/>
  <c r="G157" i="35" l="1"/>
  <c r="F161" i="35"/>
  <c r="G163" i="35" s="1"/>
  <c r="E94" i="35" s="1"/>
  <c r="F94" i="35" s="1"/>
  <c r="G165" i="35" l="1"/>
  <c r="F135" i="35"/>
  <c r="G137" i="35" s="1"/>
  <c r="E68" i="35" s="1"/>
  <c r="F68" i="35" s="1"/>
  <c r="G131" i="35"/>
  <c r="F215" i="35"/>
  <c r="G217" i="35" s="1"/>
  <c r="E148" i="35" s="1"/>
  <c r="F207" i="35"/>
  <c r="G211" i="35" s="1"/>
  <c r="F148" i="35" l="1"/>
  <c r="F149" i="35" s="1"/>
  <c r="E93" i="35"/>
  <c r="F93" i="35" s="1"/>
  <c r="F95" i="35" s="1"/>
  <c r="G140" i="35"/>
  <c r="F181" i="35"/>
  <c r="G185" i="35" s="1"/>
  <c r="F189" i="35"/>
  <c r="G191" i="35" s="1"/>
  <c r="E122" i="35" s="1"/>
  <c r="G219" i="35"/>
  <c r="F122" i="35" l="1"/>
  <c r="F123" i="35" s="1"/>
  <c r="E67" i="35"/>
  <c r="F67" i="35" s="1"/>
  <c r="F69" i="35" s="1"/>
  <c r="G194" i="35"/>
  <c r="C21" i="33" l="1"/>
  <c r="E9" i="33" l="1"/>
  <c r="E21" i="33" s="1"/>
  <c r="G9" i="33" l="1"/>
  <c r="G21" i="33" s="1"/>
  <c r="F21" i="33" s="1"/>
  <c r="H9" i="33" l="1"/>
  <c r="C60" i="33" s="1"/>
  <c r="G60" i="33" l="1"/>
  <c r="G72" i="33" s="1"/>
  <c r="F60" i="33"/>
  <c r="F76" i="33" s="1"/>
  <c r="F92" i="33" s="1"/>
  <c r="H60" i="33"/>
  <c r="H72" i="33" s="1"/>
  <c r="K60" i="33"/>
  <c r="K76" i="33" s="1"/>
  <c r="D60" i="33"/>
  <c r="D76" i="33" s="1"/>
  <c r="D92" i="33" s="1"/>
  <c r="L60" i="33"/>
  <c r="L72" i="33" s="1"/>
  <c r="H21" i="33"/>
  <c r="I60" i="33"/>
  <c r="I76" i="33" s="1"/>
  <c r="I92" i="33" s="1"/>
  <c r="J60" i="33"/>
  <c r="J76" i="33" s="1"/>
  <c r="J92" i="33" s="1"/>
  <c r="E60" i="33"/>
  <c r="E72" i="33" s="1"/>
  <c r="C72" i="33"/>
  <c r="C76" i="33"/>
  <c r="F72" i="33"/>
  <c r="L76" i="33" l="1"/>
  <c r="L92" i="33" s="1"/>
  <c r="L127" i="33" s="1"/>
  <c r="L139" i="33" s="1"/>
  <c r="G76" i="33"/>
  <c r="K72" i="33"/>
  <c r="D72" i="33"/>
  <c r="H76" i="33"/>
  <c r="H92" i="33" s="1"/>
  <c r="H127" i="33" s="1"/>
  <c r="H139" i="33" s="1"/>
  <c r="I72" i="33"/>
  <c r="J72" i="33"/>
  <c r="M60" i="33"/>
  <c r="M72" i="33" s="1"/>
  <c r="M73" i="33" s="1"/>
  <c r="E76" i="33"/>
  <c r="E92" i="33" s="1"/>
  <c r="E127" i="33" s="1"/>
  <c r="E139" i="33" s="1"/>
  <c r="J127" i="33"/>
  <c r="J139" i="33" s="1"/>
  <c r="J104" i="33"/>
  <c r="C88" i="33"/>
  <c r="C111" i="33"/>
  <c r="I104" i="33"/>
  <c r="I127" i="33"/>
  <c r="I139" i="33" s="1"/>
  <c r="F88" i="33"/>
  <c r="F111" i="33"/>
  <c r="F123" i="33" s="1"/>
  <c r="G88" i="33"/>
  <c r="G111" i="33"/>
  <c r="G123" i="33" s="1"/>
  <c r="K88" i="33"/>
  <c r="K111" i="33"/>
  <c r="K123" i="33" s="1"/>
  <c r="J111" i="33"/>
  <c r="J123" i="33" s="1"/>
  <c r="J88" i="33"/>
  <c r="L104" i="33"/>
  <c r="F104" i="33"/>
  <c r="F127" i="33"/>
  <c r="F139" i="33" s="1"/>
  <c r="D127" i="33"/>
  <c r="D139" i="33" s="1"/>
  <c r="D104" i="33"/>
  <c r="K92" i="33"/>
  <c r="I88" i="33"/>
  <c r="I111" i="33"/>
  <c r="I123" i="33" s="1"/>
  <c r="L111" i="33"/>
  <c r="L123" i="33" s="1"/>
  <c r="H111" i="33"/>
  <c r="H123" i="33" s="1"/>
  <c r="C92" i="33"/>
  <c r="G92" i="33"/>
  <c r="D88" i="33"/>
  <c r="D111" i="33"/>
  <c r="D123" i="33" s="1"/>
  <c r="H88" i="33" l="1"/>
  <c r="H104" i="33"/>
  <c r="L88" i="33"/>
  <c r="J73" i="33"/>
  <c r="K73" i="33"/>
  <c r="L73" i="33"/>
  <c r="I73" i="33"/>
  <c r="E88" i="33"/>
  <c r="D73" i="33"/>
  <c r="G73" i="33"/>
  <c r="F73" i="33"/>
  <c r="C73" i="33"/>
  <c r="H73" i="33"/>
  <c r="E73" i="33"/>
  <c r="M76" i="33"/>
  <c r="M88" i="33" s="1"/>
  <c r="E104" i="33"/>
  <c r="E141" i="33" s="1"/>
  <c r="E111" i="33"/>
  <c r="E123" i="33" s="1"/>
  <c r="F141" i="33"/>
  <c r="I141" i="33"/>
  <c r="L141" i="33"/>
  <c r="J141" i="33"/>
  <c r="G127" i="33"/>
  <c r="G139" i="33" s="1"/>
  <c r="G104" i="33"/>
  <c r="K104" i="33"/>
  <c r="K127" i="33"/>
  <c r="K139" i="33" s="1"/>
  <c r="C127" i="33"/>
  <c r="M92" i="33"/>
  <c r="M104" i="33" s="1"/>
  <c r="C104" i="33"/>
  <c r="C123" i="33"/>
  <c r="D141" i="33"/>
  <c r="H141" i="33"/>
  <c r="M111" i="33" l="1"/>
  <c r="M123" i="33" s="1"/>
  <c r="G141" i="33"/>
  <c r="K141" i="33"/>
  <c r="C139" i="33"/>
  <c r="C141" i="33" s="1"/>
  <c r="M127" i="33"/>
  <c r="M139" i="33" s="1"/>
  <c r="F13" i="35" s="1"/>
  <c r="F25" i="35" s="1"/>
  <c r="G27" i="35" s="1"/>
  <c r="F99" i="35" l="1"/>
  <c r="G103" i="35" s="1"/>
  <c r="F41" i="35"/>
  <c r="F53" i="35" s="1"/>
  <c r="G55" i="35" s="1"/>
  <c r="F107" i="35"/>
  <c r="G109" i="35" s="1"/>
  <c r="M141" i="33"/>
  <c r="G111" i="35" l="1"/>
  <c r="E38" i="35"/>
  <c r="F38" i="35" s="1"/>
  <c r="F39" i="35" s="1"/>
  <c r="F43" i="35" s="1"/>
  <c r="F73" i="35"/>
  <c r="G77" i="35" s="1"/>
  <c r="F81" i="35"/>
  <c r="G83" i="35" s="1"/>
  <c r="E10" i="35" s="1"/>
  <c r="F10" i="35" s="1"/>
  <c r="F11" i="35" s="1"/>
  <c r="F15" i="35" s="1"/>
  <c r="F45" i="35" l="1"/>
  <c r="G49" i="35" s="1"/>
  <c r="G57" i="35" s="1"/>
  <c r="F17" i="35"/>
  <c r="G21" i="35" s="1"/>
  <c r="G30" i="35" s="1"/>
  <c r="G86" i="35"/>
</calcChain>
</file>

<file path=xl/comments1.xml><?xml version="1.0" encoding="utf-8"?>
<comments xmlns="http://schemas.openxmlformats.org/spreadsheetml/2006/main">
  <authors>
    <author>Weinstein, Mike</author>
  </authors>
  <commentList>
    <comment ref="B75" authorId="0" shape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<sst xmlns="http://schemas.openxmlformats.org/spreadsheetml/2006/main" count="441" uniqueCount="114">
  <si>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</si>
  <si>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</si>
  <si>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</si>
  <si>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</si>
  <si>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</si>
  <si>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</si>
  <si>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</si>
  <si>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</si>
  <si>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</si>
  <si>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</si>
  <si>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</si>
  <si>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</si>
  <si>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</si>
  <si>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</si>
  <si>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</si>
  <si>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</si>
  <si>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</si>
  <si>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</si>
  <si>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</si>
  <si>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</si>
  <si>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</si>
  <si>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</si>
  <si>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</si>
  <si>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</si>
  <si>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</si>
  <si>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</si>
  <si>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</si>
  <si>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</si>
  <si>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</si>
  <si>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</si>
  <si>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</si>
  <si>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</si>
  <si>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</si>
  <si>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</si>
  <si>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</si>
  <si>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</si>
  <si>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</si>
  <si>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</si>
  <si>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</si>
  <si>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</si>
  <si>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</si>
  <si>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</si>
  <si>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</si>
  <si>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</si>
  <si>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</si>
  <si>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</si>
  <si>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</si>
  <si>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</si>
  <si>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</si>
  <si>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</si>
  <si>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</si>
  <si>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</si>
  <si>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</si>
  <si>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</si>
  <si>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</si>
  <si>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</si>
  <si>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</si>
  <si>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</si>
  <si>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</si>
  <si>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</si>
  <si>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</si>
  <si>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</si>
  <si>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</si>
  <si>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</si>
  <si>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</si>
  <si>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</si>
  <si>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</si>
  <si>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</si>
  <si>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</si>
  <si>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</si>
  <si>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</si>
  <si>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</si>
  <si>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</si>
  <si>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</si>
  <si>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</si>
  <si>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</si>
  <si>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</si>
  <si>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</si>
  <si>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</si>
  <si>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</si>
  <si>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</si>
  <si>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</si>
  <si>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</si>
  <si>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</si>
  <si>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</si>
  <si>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</si>
  <si>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</si>
  <si>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</si>
  <si>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</si>
  <si>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</si>
  <si>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</si>
  <si>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</si>
  <si>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</si>
  <si>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</si>
  <si>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</si>
  <si>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</si>
  <si>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</si>
  <si>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</si>
  <si>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</si>
  <si>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</si>
  <si>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</si>
  <si>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</si>
  <si>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</si>
  <si>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</si>
  <si>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</si>
  <si>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>Jun., 2016</t>
  </si>
  <si>
    <t>Jan., 2017</t>
  </si>
  <si>
    <t xml:space="preserve">Average Revenue/ton </t>
  </si>
  <si>
    <t>Average Revenue/ton - prior year</t>
  </si>
  <si>
    <t>Increase (decrease) - per ton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</si>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</sst>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u val="doubleAccounting"/>
      <sz val="1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 val="doubleAccounting"/>
      <sz val="10"/>
      <name val="Arial"/>
      <family val="2"/>
    </font>
    <font>
      <u val="singleAccounting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43" fontId="17" fillId="0" borderId="0" xfId="0" applyNumberFormat="1" applyFont="1"/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8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29" fillId="0" borderId="0" xfId="4" applyNumberFormat="1" applyFont="1" applyBorder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2" fillId="0" borderId="0" xfId="4" applyNumberFormat="1" applyFont="1"/>
    <xf numFmtId="0" fontId="4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2" fillId="0" borderId="0" xfId="0" applyNumberFormat="1" applyFont="1"/>
    <xf numFmtId="166" fontId="5" fillId="0" borderId="0" xfId="4" applyNumberFormat="1" applyFont="1"/>
    <xf numFmtId="44" fontId="21" fillId="0" borderId="0" xfId="0" applyNumberFormat="1" applyFont="1"/>
    <xf numFmtId="0" fontId="32" fillId="0" borderId="0" xfId="0" applyFont="1"/>
    <xf numFmtId="164" fontId="32" fillId="0" borderId="0" xfId="1" applyNumberFormat="1" applyFont="1"/>
    <xf numFmtId="164" fontId="32" fillId="0" borderId="0" xfId="0" applyNumberFormat="1" applyFont="1"/>
    <xf numFmtId="41" fontId="0" fillId="0" borderId="0" xfId="0" applyNumberFormat="1"/>
    <xf numFmtId="44" fontId="3" fillId="0" borderId="0" xfId="3" applyFont="1"/>
    <xf numFmtId="44" fontId="21" fillId="0" borderId="0" xfId="3" applyFont="1"/>
    <xf numFmtId="10" fontId="0" fillId="0" borderId="0" xfId="4" applyNumberFormat="1" applyFont="1"/>
    <xf numFmtId="10" fontId="31" fillId="0" borderId="0" xfId="4" applyNumberFormat="1" applyFont="1" applyBorder="1" applyAlignment="1">
      <alignment horizontal="right"/>
    </xf>
    <xf numFmtId="43" fontId="31" fillId="0" borderId="0" xfId="1" applyFont="1" applyBorder="1" applyProtection="1">
      <protection locked="0"/>
    </xf>
    <xf numFmtId="17" fontId="30" fillId="2" borderId="0" xfId="0" applyNumberFormat="1" applyFont="1" applyFill="1" applyBorder="1" applyAlignment="1"/>
    <xf numFmtId="0" fontId="28" fillId="0" borderId="0" xfId="0" applyFon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  <xf numFmtId="0" fontId="0" fillId="0" borderId="0" xfId="0" applyNumberFormat="1"/>
    <xf numFmtId="43" fontId="34" fillId="0" borderId="0" xfId="0" applyNumberFormat="1" applyFont="1" applyBorder="1"/>
    <xf numFmtId="43" fontId="35" fillId="0" borderId="0" xfId="1" applyFont="1" applyBorder="1" applyAlignment="1" applyProtection="1">
      <alignment horizontal="right"/>
      <protection locked="0"/>
    </xf>
    <xf numFmtId="166" fontId="33" fillId="0" borderId="0" xfId="4" applyNumberFormat="1" applyFont="1" applyBorder="1"/>
    <xf numFmtId="43" fontId="35" fillId="0" borderId="0" xfId="1" applyFont="1" applyBorder="1" applyProtection="1">
      <protection locked="0"/>
    </xf>
    <xf numFmtId="166" fontId="29" fillId="0" borderId="1" xfId="4" applyNumberFormat="1" applyFont="1" applyBorder="1"/>
    <xf numFmtId="166" fontId="30" fillId="0" borderId="12" xfId="4" applyNumberFormat="1" applyFont="1" applyBorder="1" applyAlignment="1">
      <alignment horizontal="right"/>
    </xf>
    <xf numFmtId="44" fontId="3" fillId="0" borderId="0" xfId="0" applyNumberFormat="1" applyFont="1"/>
    <xf numFmtId="0" fontId="36" fillId="0" borderId="0" xfId="0" applyFont="1"/>
    <xf numFmtId="0" fontId="37" fillId="0" borderId="0" xfId="0" applyFont="1"/>
    <xf numFmtId="44" fontId="38" fillId="0" borderId="0" xfId="3" applyFont="1"/>
    <xf numFmtId="44" fontId="38" fillId="0" borderId="0" xfId="5" applyNumberFormat="1" applyFont="1" applyAlignment="1">
      <alignment horizontal="center"/>
    </xf>
    <xf numFmtId="44" fontId="18" fillId="2" borderId="0" xfId="3" applyFont="1" applyFill="1" applyBorder="1"/>
    <xf numFmtId="165" fontId="18" fillId="2" borderId="0" xfId="3" applyNumberFormat="1" applyFont="1" applyFill="1" applyBorder="1"/>
    <xf numFmtId="165" fontId="12" fillId="2" borderId="0" xfId="3" applyNumberFormat="1" applyFont="1" applyFill="1" applyBorder="1"/>
    <xf numFmtId="165" fontId="39" fillId="2" borderId="0" xfId="3" applyNumberFormat="1" applyFont="1" applyFill="1" applyBorder="1"/>
    <xf numFmtId="0" fontId="18" fillId="2" borderId="5" xfId="0" applyFont="1" applyFill="1" applyBorder="1" applyAlignment="1">
      <alignment horizontal="center"/>
    </xf>
    <xf numFmtId="44" fontId="9" fillId="2" borderId="0" xfId="3" applyFont="1" applyFill="1" applyBorder="1"/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11</xdr:row>
      <xdr:rowOff>133350</xdr:rowOff>
    </xdr:from>
    <xdr:to>
      <xdr:col>2</xdr:col>
      <xdr:colOff>409575</xdr:colOff>
      <xdr:row>22</xdr:row>
      <xdr:rowOff>85725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</xdr:row>
      <xdr:rowOff>133350</xdr:rowOff>
    </xdr:from>
    <xdr:to>
      <xdr:col>2</xdr:col>
      <xdr:colOff>409575</xdr:colOff>
      <xdr:row>13</xdr:row>
      <xdr:rowOff>85725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11</xdr:row>
      <xdr:rowOff>133350</xdr:rowOff>
    </xdr:from>
    <xdr:to>
      <xdr:col>2</xdr:col>
      <xdr:colOff>409575</xdr:colOff>
      <xdr:row>22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</xdr:row>
      <xdr:rowOff>133350</xdr:rowOff>
    </xdr:from>
    <xdr:to>
      <xdr:col>2</xdr:col>
      <xdr:colOff>409575</xdr:colOff>
      <xdr:row>13</xdr:row>
      <xdr:rowOff>85725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9</xdr:row>
      <xdr:rowOff>123825</xdr:rowOff>
    </xdr:from>
    <xdr:to>
      <xdr:col>9</xdr:col>
      <xdr:colOff>457200</xdr:colOff>
      <xdr:row>20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8124825" y="1495425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4"/>
  <sheetViews>
    <sheetView zoomScale="80" zoomScaleNormal="80" workbookViewId="0">
      <selection sqref="A1:G58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4.28515625" bestFit="1" customWidth="1"/>
    <col min="6" max="6" width="15.5703125" bestFit="1" customWidth="1"/>
    <col min="7" max="7" width="9.140625" bestFit="1" customWidth="1"/>
    <col min="8" max="8" width="30.42578125" customWidth="1"/>
    <col min="9" max="9" width="12.7109375" customWidth="1"/>
    <col min="10" max="10" width="13.42578125" bestFit="1" customWidth="1"/>
    <col min="11" max="11" width="11.140625" customWidth="1"/>
    <col min="12" max="12" width="14" bestFit="1" customWidth="1"/>
    <col min="13" max="13" width="14.28515625" bestFit="1" customWidth="1"/>
    <col min="14" max="14" width="8.42578125" bestFit="1" customWidth="1"/>
    <col min="15" max="15" width="63.42578125" customWidth="1"/>
    <col min="16" max="16" width="2.42578125" customWidth="1"/>
    <col min="17" max="17" width="13.42578125" bestFit="1" customWidth="1"/>
    <col min="18" max="18" width="13.42578125" customWidth="1"/>
    <col min="19" max="19" width="14" bestFit="1" customWidth="1"/>
    <col min="20" max="20" width="14.28515625" bestFit="1" customWidth="1"/>
    <col min="21" max="21" width="8.42578125" bestFit="1" customWidth="1"/>
    <col min="22" max="22" width="63.42578125" customWidth="1"/>
    <col min="23" max="23" width="3.28515625" customWidth="1"/>
    <col min="24" max="24" width="13.42578125" bestFit="1" customWidth="1"/>
    <col min="25" max="25" width="13.42578125" customWidth="1"/>
    <col min="26" max="26" width="14" bestFit="1" customWidth="1"/>
    <col min="27" max="27" width="12.28515625" bestFit="1" customWidth="1"/>
    <col min="28" max="28" width="11.5703125" bestFit="1" customWidth="1"/>
  </cols>
  <sheetData>
    <row r="1" spans="1:7" ht="23.25" x14ac:dyDescent="0.35">
      <c r="A1" s="32" t="s">
        <v>63</v>
      </c>
      <c r="B1" s="33"/>
      <c r="C1" s="34"/>
      <c r="D1" s="34"/>
      <c r="E1" s="34"/>
      <c r="F1" s="34"/>
      <c r="G1" s="35"/>
    </row>
    <row r="2" spans="1:7" ht="15.75" x14ac:dyDescent="0.25">
      <c r="A2" s="36" t="s">
        <v>102</v>
      </c>
      <c r="B2" s="37"/>
      <c r="C2" s="38"/>
      <c r="D2" s="38"/>
      <c r="E2" s="39"/>
      <c r="F2" s="39"/>
      <c r="G2" s="40"/>
    </row>
    <row r="3" spans="1:7" ht="15.75" x14ac:dyDescent="0.25">
      <c r="A3" s="41"/>
      <c r="B3" s="42"/>
      <c r="C3" s="39"/>
      <c r="D3" s="39"/>
      <c r="E3" s="39"/>
      <c r="F3" s="39"/>
      <c r="G3" s="40"/>
    </row>
    <row r="4" spans="1:7" ht="15" x14ac:dyDescent="0.2">
      <c r="A4" s="129" t="s">
        <v>26</v>
      </c>
      <c r="B4" s="130"/>
      <c r="C4" s="130"/>
      <c r="D4" s="130"/>
      <c r="E4" s="130"/>
      <c r="F4" s="130"/>
      <c r="G4" s="131"/>
    </row>
    <row r="5" spans="1:7" ht="15" x14ac:dyDescent="0.2">
      <c r="A5" s="43"/>
      <c r="B5" s="39"/>
      <c r="C5" s="39"/>
      <c r="D5" s="39"/>
      <c r="E5" s="39"/>
      <c r="F5" s="39"/>
      <c r="G5" s="40"/>
    </row>
    <row r="6" spans="1:7" ht="15.75" x14ac:dyDescent="0.25">
      <c r="A6" s="43"/>
      <c r="B6" s="39"/>
      <c r="C6" s="44"/>
      <c r="D6" s="44"/>
      <c r="E6" s="44" t="s">
        <v>18</v>
      </c>
      <c r="F6" s="44" t="s">
        <v>3</v>
      </c>
      <c r="G6" s="40"/>
    </row>
    <row r="7" spans="1:7" ht="15.75" x14ac:dyDescent="0.25">
      <c r="A7" s="43"/>
      <c r="B7" s="39"/>
      <c r="C7" s="45" t="s">
        <v>5</v>
      </c>
      <c r="D7" s="45"/>
      <c r="E7" s="45" t="s">
        <v>27</v>
      </c>
      <c r="F7" s="45" t="s">
        <v>6</v>
      </c>
      <c r="G7" s="40"/>
    </row>
    <row r="8" spans="1:7" ht="15.75" x14ac:dyDescent="0.25">
      <c r="A8" s="46" t="s">
        <v>91</v>
      </c>
      <c r="B8" s="37"/>
      <c r="C8" s="47"/>
      <c r="D8" s="47"/>
      <c r="E8" s="47"/>
      <c r="F8" s="47"/>
      <c r="G8" s="40"/>
    </row>
    <row r="9" spans="1:7" ht="15.75" x14ac:dyDescent="0.25">
      <c r="A9" s="43" t="s">
        <v>64</v>
      </c>
      <c r="B9" s="39"/>
      <c r="C9" s="48">
        <f>+'Res''l &amp; MF Customers'!C12+'Res''l &amp; MF Customers'!D12</f>
        <v>43420</v>
      </c>
      <c r="D9" s="48"/>
      <c r="E9" s="49">
        <f>+E68</f>
        <v>1.99</v>
      </c>
      <c r="F9" s="147">
        <f>C9*E9</f>
        <v>86405.8</v>
      </c>
      <c r="G9" s="40"/>
    </row>
    <row r="10" spans="1:7" ht="17.25" x14ac:dyDescent="0.35">
      <c r="A10" s="50" t="s">
        <v>65</v>
      </c>
      <c r="B10" s="51"/>
      <c r="C10" s="52">
        <f>SUM('Res''l &amp; MF Customers'!E12:N12)</f>
        <v>219122</v>
      </c>
      <c r="D10" s="52"/>
      <c r="E10" s="49">
        <f>+G83</f>
        <v>1.71</v>
      </c>
      <c r="F10" s="148">
        <f>C10*E10</f>
        <v>374698.62</v>
      </c>
      <c r="G10" s="40"/>
    </row>
    <row r="11" spans="1:7" ht="17.25" x14ac:dyDescent="0.35">
      <c r="A11" s="43" t="s">
        <v>3</v>
      </c>
      <c r="B11" s="39"/>
      <c r="C11" s="48">
        <f>SUM(C9:C10)</f>
        <v>262542</v>
      </c>
      <c r="D11" s="52"/>
      <c r="E11" s="39"/>
      <c r="F11" s="147">
        <f>SUM(F9:F10)</f>
        <v>461104.42</v>
      </c>
      <c r="G11" s="40"/>
    </row>
    <row r="12" spans="1:7" ht="15" x14ac:dyDescent="0.2">
      <c r="A12" s="43"/>
      <c r="B12" s="39"/>
      <c r="C12" s="39"/>
      <c r="D12" s="39"/>
      <c r="E12" s="39"/>
      <c r="F12" s="39"/>
      <c r="G12" s="40"/>
    </row>
    <row r="13" spans="1:7" ht="15.75" x14ac:dyDescent="0.25">
      <c r="A13" s="36" t="s">
        <v>28</v>
      </c>
      <c r="B13" s="39"/>
      <c r="C13" s="39"/>
      <c r="D13" s="39"/>
      <c r="E13" s="39"/>
      <c r="F13" s="147">
        <f>+'Tons &amp; Revenue'!M139</f>
        <v>585066.6333388401</v>
      </c>
      <c r="G13" s="40"/>
    </row>
    <row r="14" spans="1:7" ht="15" x14ac:dyDescent="0.2">
      <c r="A14" s="43"/>
      <c r="B14" s="39"/>
      <c r="C14" s="39"/>
      <c r="D14" s="39"/>
      <c r="E14" s="39"/>
      <c r="F14" s="147"/>
      <c r="G14" s="40"/>
    </row>
    <row r="15" spans="1:7" ht="15" x14ac:dyDescent="0.2">
      <c r="A15" s="43" t="s">
        <v>111</v>
      </c>
      <c r="B15" s="39"/>
      <c r="C15" s="39"/>
      <c r="D15" s="39"/>
      <c r="E15" s="39"/>
      <c r="F15" s="147">
        <f>F13-F11</f>
        <v>123962.21333884011</v>
      </c>
      <c r="G15" s="40"/>
    </row>
    <row r="16" spans="1:7" ht="17.25" x14ac:dyDescent="0.35">
      <c r="A16" s="43" t="s">
        <v>112</v>
      </c>
      <c r="B16" s="39"/>
      <c r="C16" s="146">
        <f>-1.78+1.44</f>
        <v>-0.34000000000000008</v>
      </c>
      <c r="D16" s="39"/>
      <c r="E16" s="39"/>
      <c r="F16" s="149">
        <f>C16*C9</f>
        <v>-14762.800000000003</v>
      </c>
      <c r="G16" s="40"/>
    </row>
    <row r="17" spans="1:7" ht="15" x14ac:dyDescent="0.2">
      <c r="A17" s="150" t="s">
        <v>110</v>
      </c>
      <c r="B17" s="39"/>
      <c r="C17" s="39"/>
      <c r="D17" s="39"/>
      <c r="E17" s="39"/>
      <c r="F17" s="147">
        <f>SUM(F15:F16)</f>
        <v>109199.41333884011</v>
      </c>
      <c r="G17" s="40"/>
    </row>
    <row r="18" spans="1:7" ht="15" x14ac:dyDescent="0.2">
      <c r="A18" s="43"/>
      <c r="B18" s="39"/>
      <c r="C18" s="39"/>
      <c r="D18" s="39"/>
      <c r="E18" s="39"/>
      <c r="F18" s="39"/>
      <c r="G18" s="40"/>
    </row>
    <row r="19" spans="1:7" ht="15" x14ac:dyDescent="0.2">
      <c r="A19" s="43" t="s">
        <v>30</v>
      </c>
      <c r="B19" s="39"/>
      <c r="C19" s="39"/>
      <c r="D19" s="39"/>
      <c r="E19" s="39"/>
      <c r="F19" s="48">
        <f>+C11</f>
        <v>262542</v>
      </c>
      <c r="G19" s="40"/>
    </row>
    <row r="20" spans="1:7" ht="15" x14ac:dyDescent="0.2">
      <c r="A20" s="43"/>
      <c r="B20" s="39"/>
      <c r="C20" s="39"/>
      <c r="D20" s="39"/>
      <c r="E20" s="39"/>
      <c r="F20" s="39"/>
      <c r="G20" s="40"/>
    </row>
    <row r="21" spans="1:7" ht="15" x14ac:dyDescent="0.2">
      <c r="A21" s="43" t="s">
        <v>31</v>
      </c>
      <c r="B21" s="39"/>
      <c r="C21" s="39"/>
      <c r="D21" s="39"/>
      <c r="E21" s="39"/>
      <c r="F21" s="62"/>
      <c r="G21" s="53">
        <f>ROUND(F17/F19,2)</f>
        <v>0.42</v>
      </c>
    </row>
    <row r="22" spans="1:7" ht="15" x14ac:dyDescent="0.2">
      <c r="A22" s="43"/>
      <c r="B22" s="39"/>
      <c r="C22" s="39"/>
      <c r="D22" s="39"/>
      <c r="E22" s="39"/>
      <c r="F22" s="39"/>
      <c r="G22" s="53"/>
    </row>
    <row r="23" spans="1:7" ht="15" x14ac:dyDescent="0.2">
      <c r="A23" s="43"/>
      <c r="B23" s="39"/>
      <c r="C23" s="39"/>
      <c r="D23" s="39"/>
      <c r="E23" s="39"/>
      <c r="F23" s="39"/>
      <c r="G23" s="53"/>
    </row>
    <row r="24" spans="1:7" ht="15" x14ac:dyDescent="0.2">
      <c r="A24" s="43"/>
      <c r="B24" s="39"/>
      <c r="C24" s="39"/>
      <c r="D24" s="39"/>
      <c r="E24" s="39"/>
      <c r="F24" s="39"/>
      <c r="G24" s="53"/>
    </row>
    <row r="25" spans="1:7" ht="15.75" x14ac:dyDescent="0.25">
      <c r="A25" s="46" t="s">
        <v>104</v>
      </c>
      <c r="B25" s="37"/>
      <c r="C25" s="39"/>
      <c r="D25" s="39"/>
      <c r="E25" s="39"/>
      <c r="F25" s="54">
        <f>+F13</f>
        <v>585066.6333388401</v>
      </c>
      <c r="G25" s="53"/>
    </row>
    <row r="26" spans="1:7" ht="15" x14ac:dyDescent="0.2">
      <c r="A26" s="43" t="s">
        <v>30</v>
      </c>
      <c r="B26" s="39"/>
      <c r="C26" s="39"/>
      <c r="D26" s="39"/>
      <c r="E26" s="39"/>
      <c r="F26" s="48">
        <f>+C11</f>
        <v>262542</v>
      </c>
      <c r="G26" s="53"/>
    </row>
    <row r="27" spans="1:7" ht="17.25" x14ac:dyDescent="0.35">
      <c r="A27" s="43" t="s">
        <v>32</v>
      </c>
      <c r="B27" s="39"/>
      <c r="C27" s="39"/>
      <c r="D27" s="39"/>
      <c r="E27" s="39"/>
      <c r="F27" s="39"/>
      <c r="G27" s="56">
        <f>ROUND(+F25/F26,2)</f>
        <v>2.23</v>
      </c>
    </row>
    <row r="28" spans="1:7" ht="15" x14ac:dyDescent="0.2">
      <c r="A28" s="43"/>
      <c r="B28" s="39"/>
      <c r="C28" s="39"/>
      <c r="D28" s="39"/>
      <c r="E28" s="39"/>
      <c r="F28" s="39"/>
      <c r="G28" s="53"/>
    </row>
    <row r="29" spans="1:7" ht="15" x14ac:dyDescent="0.2">
      <c r="A29" s="43"/>
      <c r="B29" s="39"/>
      <c r="C29" s="39"/>
      <c r="D29" s="39"/>
      <c r="E29" s="39"/>
      <c r="F29" s="39"/>
      <c r="G29" s="53"/>
    </row>
    <row r="30" spans="1:7" ht="16.5" thickBot="1" x14ac:dyDescent="0.3">
      <c r="A30" s="36" t="s">
        <v>33</v>
      </c>
      <c r="B30" s="37"/>
      <c r="C30" s="39"/>
      <c r="D30" s="39"/>
      <c r="E30" s="39"/>
      <c r="F30" s="39"/>
      <c r="G30" s="59">
        <f>SUM(G21:G27)</f>
        <v>2.65</v>
      </c>
    </row>
    <row r="31" spans="1:7" ht="14.25" thickTop="1" thickBot="1" x14ac:dyDescent="0.25">
      <c r="A31" s="19"/>
      <c r="B31" s="20"/>
      <c r="C31" s="20"/>
      <c r="D31" s="20"/>
      <c r="E31" s="20"/>
      <c r="F31" s="20"/>
      <c r="G31" s="21"/>
    </row>
    <row r="32" spans="1:7" ht="15" x14ac:dyDescent="0.2">
      <c r="A32" s="129" t="s">
        <v>34</v>
      </c>
      <c r="B32" s="130"/>
      <c r="C32" s="130"/>
      <c r="D32" s="130"/>
      <c r="E32" s="130"/>
      <c r="F32" s="130"/>
      <c r="G32" s="131"/>
    </row>
    <row r="33" spans="1:7" ht="15" x14ac:dyDescent="0.2">
      <c r="A33" s="50"/>
      <c r="B33" s="51"/>
      <c r="C33" s="51"/>
      <c r="D33" s="51"/>
      <c r="E33" s="51"/>
      <c r="F33" s="51"/>
      <c r="G33" s="65"/>
    </row>
    <row r="34" spans="1:7" ht="15.75" x14ac:dyDescent="0.25">
      <c r="A34" s="50"/>
      <c r="B34" s="51"/>
      <c r="C34" s="44"/>
      <c r="D34" s="44"/>
      <c r="E34" s="44" t="s">
        <v>18</v>
      </c>
      <c r="F34" s="44" t="s">
        <v>3</v>
      </c>
      <c r="G34" s="65"/>
    </row>
    <row r="35" spans="1:7" ht="15.75" x14ac:dyDescent="0.25">
      <c r="A35" s="50"/>
      <c r="B35" s="51"/>
      <c r="C35" s="66" t="s">
        <v>25</v>
      </c>
      <c r="D35" s="66"/>
      <c r="E35" s="66" t="s">
        <v>27</v>
      </c>
      <c r="F35" s="66" t="s">
        <v>6</v>
      </c>
      <c r="G35" s="65"/>
    </row>
    <row r="36" spans="1:7" ht="15.75" x14ac:dyDescent="0.25">
      <c r="A36" s="46" t="s">
        <v>91</v>
      </c>
      <c r="B36" s="37"/>
      <c r="C36" s="67"/>
      <c r="D36" s="67"/>
      <c r="E36" s="67"/>
      <c r="F36" s="67"/>
      <c r="G36" s="65"/>
    </row>
    <row r="37" spans="1:7" ht="15.75" x14ac:dyDescent="0.25">
      <c r="A37" s="43" t="s">
        <v>64</v>
      </c>
      <c r="B37" s="51"/>
      <c r="C37" s="68">
        <f>+'Res''l &amp; MF Customers'!C25+'Res''l &amp; MF Customers'!D25</f>
        <v>3165.2666666666669</v>
      </c>
      <c r="D37" s="68"/>
      <c r="E37" s="69">
        <f>+E94</f>
        <v>0.26</v>
      </c>
      <c r="F37" s="55">
        <f>E37*C37</f>
        <v>822.96933333333345</v>
      </c>
      <c r="G37" s="65"/>
    </row>
    <row r="38" spans="1:7" ht="17.25" x14ac:dyDescent="0.35">
      <c r="A38" s="50" t="s">
        <v>65</v>
      </c>
      <c r="B38" s="51"/>
      <c r="C38" s="52">
        <f>SUM('Res''l &amp; MF Customers'!E25:N25)</f>
        <v>15187.712732919255</v>
      </c>
      <c r="D38" s="52"/>
      <c r="E38" s="69">
        <f>+G109</f>
        <v>0.24</v>
      </c>
      <c r="F38" s="148">
        <f>E38*C38</f>
        <v>3645.0510559006211</v>
      </c>
      <c r="G38" s="65"/>
    </row>
    <row r="39" spans="1:7" ht="15" x14ac:dyDescent="0.2">
      <c r="A39" s="43" t="s">
        <v>3</v>
      </c>
      <c r="B39" s="51"/>
      <c r="C39" s="68">
        <f>SUM(C37:C38)</f>
        <v>18352.979399585922</v>
      </c>
      <c r="D39" s="68"/>
      <c r="E39" s="51"/>
      <c r="F39" s="55">
        <f>SUM(F37:F38)</f>
        <v>4468.0203892339541</v>
      </c>
      <c r="G39" s="65"/>
    </row>
    <row r="40" spans="1:7" ht="15" x14ac:dyDescent="0.2">
      <c r="A40" s="43"/>
      <c r="B40" s="51"/>
      <c r="C40" s="51"/>
      <c r="D40" s="51"/>
      <c r="E40" s="51"/>
      <c r="F40" s="55"/>
      <c r="G40" s="65"/>
    </row>
    <row r="41" spans="1:7" ht="15.75" x14ac:dyDescent="0.25">
      <c r="A41" s="36" t="s">
        <v>28</v>
      </c>
      <c r="B41" s="51"/>
      <c r="C41" s="51"/>
      <c r="D41" s="51"/>
      <c r="E41" s="51"/>
      <c r="F41" s="55">
        <f>+'Tons &amp; Revenue'!M123</f>
        <v>6208.3877211296831</v>
      </c>
      <c r="G41" s="65"/>
    </row>
    <row r="42" spans="1:7" ht="15" x14ac:dyDescent="0.2">
      <c r="A42" s="43"/>
      <c r="B42" s="51"/>
      <c r="C42" s="51"/>
      <c r="D42" s="51"/>
      <c r="E42" s="51"/>
      <c r="F42" s="55"/>
      <c r="G42" s="65"/>
    </row>
    <row r="43" spans="1:7" ht="15" x14ac:dyDescent="0.2">
      <c r="A43" s="43" t="s">
        <v>111</v>
      </c>
      <c r="B43" s="51"/>
      <c r="C43" s="51"/>
      <c r="D43" s="51"/>
      <c r="E43" s="51"/>
      <c r="F43" s="147">
        <f>F41-F39</f>
        <v>1740.367331895729</v>
      </c>
      <c r="G43" s="65"/>
    </row>
    <row r="44" spans="1:7" ht="17.25" x14ac:dyDescent="0.35">
      <c r="A44" s="43" t="s">
        <v>113</v>
      </c>
      <c r="B44" s="51"/>
      <c r="C44" s="151">
        <f>-0.28+0.23</f>
        <v>-5.0000000000000017E-2</v>
      </c>
      <c r="D44" s="51"/>
      <c r="E44" s="51"/>
      <c r="F44" s="149">
        <f>C44*C37</f>
        <v>-158.26333333333341</v>
      </c>
      <c r="G44" s="65"/>
    </row>
    <row r="45" spans="1:7" ht="15" x14ac:dyDescent="0.2">
      <c r="A45" s="150" t="s">
        <v>110</v>
      </c>
      <c r="B45" s="51"/>
      <c r="C45" s="51"/>
      <c r="D45" s="51"/>
      <c r="E45" s="51"/>
      <c r="F45" s="147">
        <f>SUM(F43:F44)</f>
        <v>1582.1039985623956</v>
      </c>
      <c r="G45" s="65"/>
    </row>
    <row r="46" spans="1:7" ht="15" x14ac:dyDescent="0.2">
      <c r="A46" s="43"/>
      <c r="B46" s="51"/>
      <c r="C46" s="51"/>
      <c r="D46" s="51"/>
      <c r="E46" s="51"/>
      <c r="F46" s="51"/>
      <c r="G46" s="65"/>
    </row>
    <row r="47" spans="1:7" ht="15" x14ac:dyDescent="0.2">
      <c r="A47" s="43" t="s">
        <v>30</v>
      </c>
      <c r="B47" s="51"/>
      <c r="C47" s="51"/>
      <c r="D47" s="51"/>
      <c r="E47" s="51"/>
      <c r="F47" s="68">
        <f>+C39</f>
        <v>18352.979399585922</v>
      </c>
      <c r="G47" s="65"/>
    </row>
    <row r="48" spans="1:7" ht="15" x14ac:dyDescent="0.2">
      <c r="A48" s="43"/>
      <c r="B48" s="51"/>
      <c r="C48" s="51"/>
      <c r="D48" s="51"/>
      <c r="E48" s="51"/>
      <c r="F48" s="51"/>
      <c r="G48" s="65"/>
    </row>
    <row r="49" spans="1:7" ht="15" x14ac:dyDescent="0.2">
      <c r="A49" s="43" t="s">
        <v>31</v>
      </c>
      <c r="B49" s="51"/>
      <c r="C49" s="51"/>
      <c r="D49" s="51"/>
      <c r="E49" s="51"/>
      <c r="F49" s="51"/>
      <c r="G49" s="71">
        <f>ROUND(F45/F47,2)</f>
        <v>0.09</v>
      </c>
    </row>
    <row r="50" spans="1:7" ht="15" x14ac:dyDescent="0.2">
      <c r="A50" s="43"/>
      <c r="B50" s="51"/>
      <c r="C50" s="51"/>
      <c r="D50" s="51"/>
      <c r="E50" s="51"/>
      <c r="F50" s="51"/>
      <c r="G50" s="71"/>
    </row>
    <row r="51" spans="1:7" ht="15" x14ac:dyDescent="0.2">
      <c r="A51" s="43"/>
      <c r="B51" s="51"/>
      <c r="C51" s="51"/>
      <c r="D51" s="51"/>
      <c r="E51" s="51"/>
      <c r="F51" s="68"/>
      <c r="G51" s="65"/>
    </row>
    <row r="52" spans="1:7" ht="15.75" x14ac:dyDescent="0.25">
      <c r="A52" s="43"/>
      <c r="B52" s="37"/>
      <c r="C52" s="51"/>
      <c r="D52" s="51"/>
      <c r="E52" s="51"/>
      <c r="F52" s="68"/>
      <c r="G52" s="65"/>
    </row>
    <row r="53" spans="1:7" ht="15.75" x14ac:dyDescent="0.25">
      <c r="A53" s="46" t="s">
        <v>104</v>
      </c>
      <c r="B53" s="51"/>
      <c r="C53" s="51"/>
      <c r="D53" s="51"/>
      <c r="E53" s="51"/>
      <c r="F53" s="55">
        <f>+F41</f>
        <v>6208.3877211296831</v>
      </c>
      <c r="G53" s="65"/>
    </row>
    <row r="54" spans="1:7" ht="15" x14ac:dyDescent="0.2">
      <c r="A54" s="43" t="s">
        <v>30</v>
      </c>
      <c r="B54" s="51"/>
      <c r="C54" s="51"/>
      <c r="D54" s="51"/>
      <c r="E54" s="51"/>
      <c r="F54" s="68">
        <f>+C39</f>
        <v>18352.979399585922</v>
      </c>
      <c r="G54" s="65"/>
    </row>
    <row r="55" spans="1:7" ht="17.25" x14ac:dyDescent="0.35">
      <c r="A55" s="43" t="s">
        <v>32</v>
      </c>
      <c r="B55" s="51"/>
      <c r="C55" s="51"/>
      <c r="D55" s="51"/>
      <c r="E55" s="51"/>
      <c r="F55" s="51"/>
      <c r="G55" s="58">
        <f>ROUND(+F53/F54,2)</f>
        <v>0.34</v>
      </c>
    </row>
    <row r="56" spans="1:7" ht="17.25" x14ac:dyDescent="0.35">
      <c r="A56" s="43"/>
      <c r="B56" s="51"/>
      <c r="C56" s="51"/>
      <c r="D56" s="51"/>
      <c r="E56" s="51"/>
      <c r="F56" s="51"/>
      <c r="G56" s="58"/>
    </row>
    <row r="57" spans="1:7" ht="16.5" thickBot="1" x14ac:dyDescent="0.3">
      <c r="A57" s="36" t="s">
        <v>35</v>
      </c>
      <c r="B57" s="37"/>
      <c r="C57" s="51"/>
      <c r="D57" s="51"/>
      <c r="E57" s="51"/>
      <c r="F57" s="51"/>
      <c r="G57" s="72">
        <f>+G55+G49+G50</f>
        <v>0.43000000000000005</v>
      </c>
    </row>
    <row r="58" spans="1:7" ht="16.5" thickTop="1" thickBot="1" x14ac:dyDescent="0.25">
      <c r="A58" s="73"/>
      <c r="B58" s="74"/>
      <c r="C58" s="74"/>
      <c r="D58" s="74"/>
      <c r="E58" s="74"/>
      <c r="F58" s="74"/>
      <c r="G58" s="75"/>
    </row>
    <row r="59" spans="1:7" ht="23.25" x14ac:dyDescent="0.35">
      <c r="A59" s="32" t="s">
        <v>63</v>
      </c>
      <c r="B59" s="33"/>
      <c r="C59" s="34"/>
      <c r="D59" s="34"/>
      <c r="E59" s="34"/>
      <c r="F59" s="34"/>
      <c r="G59" s="35"/>
    </row>
    <row r="60" spans="1:7" ht="15.75" x14ac:dyDescent="0.25">
      <c r="A60" s="36" t="s">
        <v>90</v>
      </c>
      <c r="B60" s="37"/>
      <c r="C60" s="38"/>
      <c r="D60" s="38"/>
      <c r="E60" s="39"/>
      <c r="F60" s="39"/>
      <c r="G60" s="40"/>
    </row>
    <row r="61" spans="1:7" ht="15.75" x14ac:dyDescent="0.25">
      <c r="A61" s="41"/>
      <c r="B61" s="42"/>
      <c r="C61" s="39"/>
      <c r="D61" s="39"/>
      <c r="E61" s="39"/>
      <c r="F61" s="39"/>
      <c r="G61" s="40"/>
    </row>
    <row r="62" spans="1:7" ht="15" x14ac:dyDescent="0.2">
      <c r="A62" s="129" t="s">
        <v>26</v>
      </c>
      <c r="B62" s="130"/>
      <c r="C62" s="130"/>
      <c r="D62" s="130"/>
      <c r="E62" s="130"/>
      <c r="F62" s="130"/>
      <c r="G62" s="131"/>
    </row>
    <row r="63" spans="1:7" ht="15" x14ac:dyDescent="0.2">
      <c r="A63" s="43"/>
      <c r="B63" s="39"/>
      <c r="C63" s="39"/>
      <c r="D63" s="39"/>
      <c r="E63" s="39"/>
      <c r="F63" s="39"/>
      <c r="G63" s="40"/>
    </row>
    <row r="64" spans="1:7" ht="15.75" x14ac:dyDescent="0.25">
      <c r="A64" s="43"/>
      <c r="B64" s="39"/>
      <c r="C64" s="44"/>
      <c r="D64" s="44"/>
      <c r="E64" s="44" t="s">
        <v>18</v>
      </c>
      <c r="F64" s="44" t="s">
        <v>3</v>
      </c>
      <c r="G64" s="40"/>
    </row>
    <row r="65" spans="1:7" ht="15.75" x14ac:dyDescent="0.25">
      <c r="A65" s="43"/>
      <c r="B65" s="39"/>
      <c r="C65" s="45" t="s">
        <v>5</v>
      </c>
      <c r="D65" s="45"/>
      <c r="E65" s="45" t="s">
        <v>27</v>
      </c>
      <c r="F65" s="45" t="s">
        <v>6</v>
      </c>
      <c r="G65" s="40"/>
    </row>
    <row r="66" spans="1:7" ht="15.75" x14ac:dyDescent="0.25">
      <c r="A66" s="46" t="s">
        <v>84</v>
      </c>
      <c r="B66" s="37"/>
      <c r="C66" s="47"/>
      <c r="D66" s="47"/>
      <c r="E66" s="47"/>
      <c r="F66" s="47"/>
      <c r="G66" s="40"/>
    </row>
    <row r="67" spans="1:7" ht="15.75" x14ac:dyDescent="0.25">
      <c r="A67" s="43" t="s">
        <v>64</v>
      </c>
      <c r="B67" s="39"/>
      <c r="C67" s="48">
        <v>42479</v>
      </c>
      <c r="D67" s="48"/>
      <c r="E67" s="49">
        <f>+E122</f>
        <v>1.96</v>
      </c>
      <c r="F67" s="48">
        <f>C67*E67</f>
        <v>83258.84</v>
      </c>
      <c r="G67" s="40"/>
    </row>
    <row r="68" spans="1:7" ht="17.25" x14ac:dyDescent="0.35">
      <c r="A68" s="50" t="s">
        <v>65</v>
      </c>
      <c r="B68" s="51"/>
      <c r="C68" s="52">
        <v>213820</v>
      </c>
      <c r="D68" s="52"/>
      <c r="E68" s="49">
        <f>+G137</f>
        <v>1.99</v>
      </c>
      <c r="F68" s="52">
        <f>C68*E68</f>
        <v>425501.8</v>
      </c>
      <c r="G68" s="40"/>
    </row>
    <row r="69" spans="1:7" ht="17.25" x14ac:dyDescent="0.35">
      <c r="A69" s="43" t="s">
        <v>3</v>
      </c>
      <c r="B69" s="39"/>
      <c r="C69" s="48">
        <f>SUM(C67:C68)</f>
        <v>256299</v>
      </c>
      <c r="D69" s="52"/>
      <c r="E69" s="39"/>
      <c r="F69" s="48">
        <f>SUM(F67:F68)</f>
        <v>508760.64</v>
      </c>
      <c r="G69" s="40"/>
    </row>
    <row r="70" spans="1:7" ht="15" x14ac:dyDescent="0.2">
      <c r="A70" s="43"/>
      <c r="B70" s="39"/>
      <c r="C70" s="39"/>
      <c r="D70" s="39"/>
      <c r="E70" s="39"/>
      <c r="F70" s="39"/>
      <c r="G70" s="40"/>
    </row>
    <row r="71" spans="1:7" ht="15.75" x14ac:dyDescent="0.25">
      <c r="A71" s="36" t="s">
        <v>28</v>
      </c>
      <c r="B71" s="39"/>
      <c r="C71" s="39"/>
      <c r="D71" s="39"/>
      <c r="E71" s="39"/>
      <c r="F71" s="48">
        <v>438426</v>
      </c>
      <c r="G71" s="40"/>
    </row>
    <row r="72" spans="1:7" ht="15" x14ac:dyDescent="0.2">
      <c r="A72" s="43"/>
      <c r="B72" s="39"/>
      <c r="C72" s="39"/>
      <c r="D72" s="39"/>
      <c r="E72" s="39"/>
      <c r="F72" s="39"/>
      <c r="G72" s="40"/>
    </row>
    <row r="73" spans="1:7" ht="15" x14ac:dyDescent="0.2">
      <c r="A73" s="43" t="s">
        <v>29</v>
      </c>
      <c r="B73" s="39"/>
      <c r="C73" s="39"/>
      <c r="D73" s="39"/>
      <c r="E73" s="39"/>
      <c r="F73" s="48">
        <f>F71-F69</f>
        <v>-70334.640000000014</v>
      </c>
      <c r="G73" s="40"/>
    </row>
    <row r="74" spans="1:7" ht="15" x14ac:dyDescent="0.2">
      <c r="A74" s="43"/>
      <c r="B74" s="39"/>
      <c r="C74" s="39"/>
      <c r="D74" s="39"/>
      <c r="E74" s="39"/>
      <c r="F74" s="39"/>
      <c r="G74" s="40"/>
    </row>
    <row r="75" spans="1:7" ht="15" x14ac:dyDescent="0.2">
      <c r="A75" s="43" t="s">
        <v>30</v>
      </c>
      <c r="B75" s="39"/>
      <c r="C75" s="39"/>
      <c r="D75" s="39"/>
      <c r="E75" s="39"/>
      <c r="F75" s="48">
        <f>+C69</f>
        <v>256299</v>
      </c>
      <c r="G75" s="40"/>
    </row>
    <row r="76" spans="1:7" ht="15" x14ac:dyDescent="0.2">
      <c r="A76" s="43"/>
      <c r="B76" s="39"/>
      <c r="C76" s="39"/>
      <c r="D76" s="39"/>
      <c r="E76" s="39"/>
      <c r="F76" s="39"/>
      <c r="G76" s="40"/>
    </row>
    <row r="77" spans="1:7" ht="15" x14ac:dyDescent="0.2">
      <c r="A77" s="43" t="s">
        <v>31</v>
      </c>
      <c r="B77" s="39"/>
      <c r="C77" s="39"/>
      <c r="D77" s="39"/>
      <c r="E77" s="39"/>
      <c r="F77" s="62"/>
      <c r="G77" s="53">
        <f>ROUND(F73/F75,2)</f>
        <v>-0.27</v>
      </c>
    </row>
    <row r="78" spans="1:7" ht="15" x14ac:dyDescent="0.2">
      <c r="A78" s="43"/>
      <c r="B78" s="39"/>
      <c r="C78" s="39"/>
      <c r="D78" s="39"/>
      <c r="E78" s="39"/>
      <c r="F78" s="39"/>
      <c r="G78" s="53"/>
    </row>
    <row r="79" spans="1:7" ht="15" x14ac:dyDescent="0.2">
      <c r="A79" s="43"/>
      <c r="B79" s="39"/>
      <c r="C79" s="39"/>
      <c r="D79" s="39"/>
      <c r="E79" s="39"/>
      <c r="F79" s="39"/>
      <c r="G79" s="53"/>
    </row>
    <row r="80" spans="1:7" ht="15" x14ac:dyDescent="0.2">
      <c r="A80" s="43"/>
      <c r="B80" s="39"/>
      <c r="C80" s="39"/>
      <c r="D80" s="39"/>
      <c r="E80" s="39"/>
      <c r="F80" s="39"/>
      <c r="G80" s="53"/>
    </row>
    <row r="81" spans="1:8" ht="15.75" x14ac:dyDescent="0.25">
      <c r="A81" s="46" t="s">
        <v>91</v>
      </c>
      <c r="B81" s="37"/>
      <c r="C81" s="39"/>
      <c r="D81" s="39"/>
      <c r="E81" s="39"/>
      <c r="F81" s="54">
        <f>+F71</f>
        <v>438426</v>
      </c>
      <c r="G81" s="53"/>
    </row>
    <row r="82" spans="1:8" ht="15" x14ac:dyDescent="0.2">
      <c r="A82" s="43" t="s">
        <v>30</v>
      </c>
      <c r="B82" s="39"/>
      <c r="C82" s="39"/>
      <c r="D82" s="39"/>
      <c r="E82" s="39"/>
      <c r="F82" s="48">
        <f>+C69</f>
        <v>256299</v>
      </c>
      <c r="G82" s="53"/>
    </row>
    <row r="83" spans="1:8" ht="17.25" x14ac:dyDescent="0.35">
      <c r="A83" s="43" t="s">
        <v>32</v>
      </c>
      <c r="B83" s="39"/>
      <c r="C83" s="39"/>
      <c r="D83" s="39"/>
      <c r="E83" s="39"/>
      <c r="F83" s="39"/>
      <c r="G83" s="56">
        <f>ROUND(+F81/F82,2)</f>
        <v>1.71</v>
      </c>
    </row>
    <row r="84" spans="1:8" ht="15" x14ac:dyDescent="0.2">
      <c r="A84" s="43"/>
      <c r="B84" s="39"/>
      <c r="C84" s="39"/>
      <c r="D84" s="39"/>
      <c r="E84" s="39"/>
      <c r="F84" s="39"/>
      <c r="G84" s="53"/>
    </row>
    <row r="85" spans="1:8" ht="15" x14ac:dyDescent="0.2">
      <c r="A85" s="43"/>
      <c r="B85" s="39"/>
      <c r="C85" s="39"/>
      <c r="D85" s="39"/>
      <c r="E85" s="39"/>
      <c r="F85" s="39"/>
      <c r="G85" s="53"/>
    </row>
    <row r="86" spans="1:8" ht="16.5" thickBot="1" x14ac:dyDescent="0.3">
      <c r="A86" s="36" t="s">
        <v>33</v>
      </c>
      <c r="B86" s="37"/>
      <c r="C86" s="39"/>
      <c r="D86" s="39"/>
      <c r="E86" s="39"/>
      <c r="F86" s="39"/>
      <c r="G86" s="59">
        <f>SUM(G77:G83)</f>
        <v>1.44</v>
      </c>
      <c r="H86" s="18"/>
    </row>
    <row r="87" spans="1:8" ht="14.25" thickTop="1" thickBot="1" x14ac:dyDescent="0.25">
      <c r="A87" s="19"/>
      <c r="B87" s="20"/>
      <c r="C87" s="20"/>
      <c r="D87" s="20"/>
      <c r="E87" s="20"/>
      <c r="F87" s="20"/>
      <c r="G87" s="21"/>
    </row>
    <row r="88" spans="1:8" ht="15" x14ac:dyDescent="0.2">
      <c r="A88" s="129" t="s">
        <v>34</v>
      </c>
      <c r="B88" s="130"/>
      <c r="C88" s="130"/>
      <c r="D88" s="130"/>
      <c r="E88" s="130"/>
      <c r="F88" s="130"/>
      <c r="G88" s="131"/>
    </row>
    <row r="89" spans="1:8" ht="15" x14ac:dyDescent="0.2">
      <c r="A89" s="50"/>
      <c r="B89" s="51"/>
      <c r="C89" s="51"/>
      <c r="D89" s="51"/>
      <c r="E89" s="51"/>
      <c r="F89" s="51"/>
      <c r="G89" s="65"/>
    </row>
    <row r="90" spans="1:8" ht="15.75" x14ac:dyDescent="0.25">
      <c r="A90" s="50"/>
      <c r="B90" s="51"/>
      <c r="C90" s="44"/>
      <c r="D90" s="44"/>
      <c r="E90" s="44" t="s">
        <v>18</v>
      </c>
      <c r="F90" s="44" t="s">
        <v>3</v>
      </c>
      <c r="G90" s="65"/>
    </row>
    <row r="91" spans="1:8" ht="15.75" x14ac:dyDescent="0.25">
      <c r="A91" s="50"/>
      <c r="B91" s="51"/>
      <c r="C91" s="66" t="s">
        <v>25</v>
      </c>
      <c r="D91" s="66"/>
      <c r="E91" s="66" t="s">
        <v>27</v>
      </c>
      <c r="F91" s="66" t="s">
        <v>6</v>
      </c>
      <c r="G91" s="65"/>
    </row>
    <row r="92" spans="1:8" ht="15.75" x14ac:dyDescent="0.25">
      <c r="A92" s="46" t="s">
        <v>84</v>
      </c>
      <c r="B92" s="37"/>
      <c r="C92" s="67"/>
      <c r="D92" s="67"/>
      <c r="E92" s="67"/>
      <c r="F92" s="67"/>
      <c r="G92" s="65"/>
    </row>
    <row r="93" spans="1:8" ht="15.75" x14ac:dyDescent="0.25">
      <c r="A93" s="43" t="s">
        <v>64</v>
      </c>
      <c r="B93" s="51"/>
      <c r="C93" s="68">
        <v>3158</v>
      </c>
      <c r="D93" s="68"/>
      <c r="E93" s="69">
        <f>+E148</f>
        <v>0.23</v>
      </c>
      <c r="F93" s="68">
        <f>E93*C93</f>
        <v>726.34</v>
      </c>
      <c r="G93" s="65"/>
    </row>
    <row r="94" spans="1:8" ht="17.25" x14ac:dyDescent="0.35">
      <c r="A94" s="50" t="s">
        <v>65</v>
      </c>
      <c r="B94" s="51"/>
      <c r="C94" s="52">
        <v>15916</v>
      </c>
      <c r="D94" s="52"/>
      <c r="E94" s="69">
        <f>+G163</f>
        <v>0.26</v>
      </c>
      <c r="F94" s="52">
        <f>E94*C94</f>
        <v>4138.16</v>
      </c>
      <c r="G94" s="65"/>
    </row>
    <row r="95" spans="1:8" ht="15" x14ac:dyDescent="0.2">
      <c r="A95" s="43" t="s">
        <v>3</v>
      </c>
      <c r="B95" s="51"/>
      <c r="C95" s="68">
        <f>SUM(C93:C94)</f>
        <v>19074</v>
      </c>
      <c r="D95" s="68"/>
      <c r="E95" s="51"/>
      <c r="F95" s="68">
        <f>SUM(F93:F94)</f>
        <v>4864.5</v>
      </c>
      <c r="G95" s="65"/>
    </row>
    <row r="96" spans="1:8" ht="15" x14ac:dyDescent="0.2">
      <c r="A96" s="43"/>
      <c r="B96" s="51"/>
      <c r="C96" s="51"/>
      <c r="D96" s="51"/>
      <c r="E96" s="51"/>
      <c r="F96" s="51"/>
      <c r="G96" s="65"/>
    </row>
    <row r="97" spans="1:8" ht="15.75" x14ac:dyDescent="0.25">
      <c r="A97" s="36" t="s">
        <v>28</v>
      </c>
      <c r="B97" s="51"/>
      <c r="C97" s="51"/>
      <c r="D97" s="51"/>
      <c r="E97" s="51"/>
      <c r="F97" s="70">
        <v>4652</v>
      </c>
      <c r="G97" s="65"/>
    </row>
    <row r="98" spans="1:8" ht="15" x14ac:dyDescent="0.2">
      <c r="A98" s="43"/>
      <c r="B98" s="51"/>
      <c r="C98" s="51"/>
      <c r="D98" s="51"/>
      <c r="E98" s="51"/>
      <c r="F98" s="51"/>
      <c r="G98" s="65"/>
    </row>
    <row r="99" spans="1:8" ht="15" x14ac:dyDescent="0.2">
      <c r="A99" s="43" t="s">
        <v>29</v>
      </c>
      <c r="B99" s="51"/>
      <c r="C99" s="51"/>
      <c r="D99" s="51"/>
      <c r="E99" s="51"/>
      <c r="F99" s="48">
        <f>F97-F95</f>
        <v>-212.5</v>
      </c>
      <c r="G99" s="65"/>
    </row>
    <row r="100" spans="1:8" ht="15" x14ac:dyDescent="0.2">
      <c r="A100" s="43"/>
      <c r="B100" s="51"/>
      <c r="C100" s="51"/>
      <c r="D100" s="51"/>
      <c r="E100" s="51"/>
      <c r="F100" s="51"/>
      <c r="G100" s="65"/>
    </row>
    <row r="101" spans="1:8" ht="15" x14ac:dyDescent="0.2">
      <c r="A101" s="43" t="s">
        <v>30</v>
      </c>
      <c r="B101" s="51"/>
      <c r="C101" s="51"/>
      <c r="D101" s="51"/>
      <c r="E101" s="51"/>
      <c r="F101" s="68">
        <f>+C95</f>
        <v>19074</v>
      </c>
      <c r="G101" s="65"/>
    </row>
    <row r="102" spans="1:8" ht="15" x14ac:dyDescent="0.2">
      <c r="A102" s="43"/>
      <c r="B102" s="51"/>
      <c r="C102" s="51"/>
      <c r="D102" s="51"/>
      <c r="E102" s="51"/>
      <c r="F102" s="51"/>
      <c r="G102" s="65"/>
    </row>
    <row r="103" spans="1:8" ht="15" x14ac:dyDescent="0.2">
      <c r="A103" s="43" t="s">
        <v>31</v>
      </c>
      <c r="B103" s="51"/>
      <c r="C103" s="51"/>
      <c r="D103" s="51"/>
      <c r="E103" s="51"/>
      <c r="F103" s="51"/>
      <c r="G103" s="71">
        <f>ROUND(F99/F101,2)</f>
        <v>-0.01</v>
      </c>
    </row>
    <row r="104" spans="1:8" ht="15" x14ac:dyDescent="0.2">
      <c r="A104" s="43"/>
      <c r="B104" s="51"/>
      <c r="C104" s="51"/>
      <c r="D104" s="51"/>
      <c r="E104" s="51"/>
      <c r="F104" s="51"/>
      <c r="G104" s="71"/>
    </row>
    <row r="105" spans="1:8" ht="15" x14ac:dyDescent="0.2">
      <c r="A105" s="43"/>
      <c r="B105" s="51"/>
      <c r="C105" s="51"/>
      <c r="D105" s="51"/>
      <c r="E105" s="51"/>
      <c r="F105" s="68"/>
      <c r="G105" s="65"/>
    </row>
    <row r="106" spans="1:8" ht="15.75" x14ac:dyDescent="0.25">
      <c r="A106" s="43"/>
      <c r="B106" s="37"/>
      <c r="C106" s="51"/>
      <c r="D106" s="51"/>
      <c r="E106" s="51"/>
      <c r="F106" s="68"/>
      <c r="G106" s="65"/>
    </row>
    <row r="107" spans="1:8" ht="15.75" x14ac:dyDescent="0.25">
      <c r="A107" s="46" t="s">
        <v>91</v>
      </c>
      <c r="B107" s="51"/>
      <c r="C107" s="51"/>
      <c r="D107" s="51"/>
      <c r="E107" s="51"/>
      <c r="F107" s="55">
        <f>+F97</f>
        <v>4652</v>
      </c>
      <c r="G107" s="65"/>
    </row>
    <row r="108" spans="1:8" ht="15" x14ac:dyDescent="0.2">
      <c r="A108" s="43" t="s">
        <v>30</v>
      </c>
      <c r="B108" s="51"/>
      <c r="C108" s="51"/>
      <c r="D108" s="51"/>
      <c r="E108" s="51"/>
      <c r="F108" s="68">
        <f>+C95</f>
        <v>19074</v>
      </c>
      <c r="G108" s="65"/>
    </row>
    <row r="109" spans="1:8" ht="17.25" x14ac:dyDescent="0.35">
      <c r="A109" s="43" t="s">
        <v>32</v>
      </c>
      <c r="B109" s="51"/>
      <c r="C109" s="51"/>
      <c r="D109" s="51"/>
      <c r="E109" s="51"/>
      <c r="F109" s="51"/>
      <c r="G109" s="58">
        <f>ROUND(+F107/F108,2)</f>
        <v>0.24</v>
      </c>
      <c r="H109" s="18"/>
    </row>
    <row r="110" spans="1:8" ht="17.25" x14ac:dyDescent="0.35">
      <c r="A110" s="43"/>
      <c r="B110" s="51"/>
      <c r="C110" s="51"/>
      <c r="D110" s="51"/>
      <c r="E110" s="51"/>
      <c r="F110" s="51"/>
      <c r="G110" s="58"/>
    </row>
    <row r="111" spans="1:8" ht="16.5" thickBot="1" x14ac:dyDescent="0.3">
      <c r="A111" s="36" t="s">
        <v>35</v>
      </c>
      <c r="B111" s="37"/>
      <c r="C111" s="51"/>
      <c r="D111" s="51"/>
      <c r="E111" s="51"/>
      <c r="F111" s="51"/>
      <c r="G111" s="72">
        <f>+G109+G103+G104</f>
        <v>0.22999999999999998</v>
      </c>
    </row>
    <row r="112" spans="1:8" ht="16.5" thickTop="1" thickBot="1" x14ac:dyDescent="0.25">
      <c r="A112" s="73"/>
      <c r="B112" s="74"/>
      <c r="C112" s="74"/>
      <c r="D112" s="74"/>
      <c r="E112" s="74"/>
      <c r="F112" s="74"/>
      <c r="G112" s="75"/>
    </row>
    <row r="113" spans="1:7" ht="23.25" x14ac:dyDescent="0.35">
      <c r="A113" s="32" t="s">
        <v>63</v>
      </c>
      <c r="B113" s="33"/>
      <c r="C113" s="34"/>
      <c r="D113" s="34"/>
      <c r="E113" s="34"/>
      <c r="F113" s="34"/>
      <c r="G113" s="35"/>
    </row>
    <row r="114" spans="1:7" ht="15.75" x14ac:dyDescent="0.25">
      <c r="A114" s="36" t="s">
        <v>85</v>
      </c>
      <c r="B114" s="37"/>
      <c r="C114" s="38"/>
      <c r="D114" s="38"/>
      <c r="E114" s="39"/>
      <c r="F114" s="39"/>
      <c r="G114" s="40"/>
    </row>
    <row r="115" spans="1:7" ht="15.75" x14ac:dyDescent="0.25">
      <c r="A115" s="41"/>
      <c r="B115" s="42"/>
      <c r="C115" s="39"/>
      <c r="D115" s="39"/>
      <c r="E115" s="39"/>
      <c r="F115" s="39"/>
      <c r="G115" s="40"/>
    </row>
    <row r="116" spans="1:7" ht="15" x14ac:dyDescent="0.2">
      <c r="A116" s="129" t="s">
        <v>26</v>
      </c>
      <c r="B116" s="130"/>
      <c r="C116" s="130"/>
      <c r="D116" s="130"/>
      <c r="E116" s="130"/>
      <c r="F116" s="130"/>
      <c r="G116" s="131"/>
    </row>
    <row r="117" spans="1:7" ht="15" x14ac:dyDescent="0.2">
      <c r="A117" s="43"/>
      <c r="B117" s="39"/>
      <c r="C117" s="39"/>
      <c r="D117" s="39"/>
      <c r="E117" s="39"/>
      <c r="F117" s="39"/>
      <c r="G117" s="40"/>
    </row>
    <row r="118" spans="1:7" ht="15.75" x14ac:dyDescent="0.25">
      <c r="A118" s="43"/>
      <c r="B118" s="39"/>
      <c r="C118" s="44"/>
      <c r="D118" s="44"/>
      <c r="E118" s="44" t="s">
        <v>18</v>
      </c>
      <c r="F118" s="44" t="s">
        <v>3</v>
      </c>
      <c r="G118" s="40"/>
    </row>
    <row r="119" spans="1:7" ht="15.75" x14ac:dyDescent="0.25">
      <c r="A119" s="43"/>
      <c r="B119" s="39"/>
      <c r="C119" s="45" t="s">
        <v>5</v>
      </c>
      <c r="D119" s="45"/>
      <c r="E119" s="45" t="s">
        <v>27</v>
      </c>
      <c r="F119" s="45" t="s">
        <v>6</v>
      </c>
      <c r="G119" s="40"/>
    </row>
    <row r="120" spans="1:7" ht="15.75" x14ac:dyDescent="0.25">
      <c r="A120" s="46" t="s">
        <v>67</v>
      </c>
      <c r="B120" s="37"/>
      <c r="C120" s="47"/>
      <c r="D120" s="47"/>
      <c r="E120" s="47"/>
      <c r="F120" s="47"/>
      <c r="G120" s="40"/>
    </row>
    <row r="121" spans="1:7" ht="15.75" x14ac:dyDescent="0.25">
      <c r="A121" s="43" t="s">
        <v>64</v>
      </c>
      <c r="B121" s="39"/>
      <c r="C121" s="48">
        <v>41334</v>
      </c>
      <c r="D121" s="48"/>
      <c r="E121" s="49">
        <f>+E176</f>
        <v>1.6641107756753206</v>
      </c>
      <c r="F121" s="48">
        <f>C121*E121</f>
        <v>68784.354801763708</v>
      </c>
      <c r="G121" s="40"/>
    </row>
    <row r="122" spans="1:7" ht="17.25" x14ac:dyDescent="0.35">
      <c r="A122" s="50" t="s">
        <v>65</v>
      </c>
      <c r="B122" s="51"/>
      <c r="C122" s="52">
        <v>206670</v>
      </c>
      <c r="D122" s="52"/>
      <c r="E122" s="49">
        <f>+G191</f>
        <v>1.96</v>
      </c>
      <c r="F122" s="52">
        <f>C122*E122</f>
        <v>405073.2</v>
      </c>
      <c r="G122" s="40"/>
    </row>
    <row r="123" spans="1:7" ht="17.25" x14ac:dyDescent="0.35">
      <c r="A123" s="43" t="s">
        <v>3</v>
      </c>
      <c r="B123" s="39"/>
      <c r="C123" s="48">
        <f>SUM(C121:C122)</f>
        <v>248004</v>
      </c>
      <c r="D123" s="52"/>
      <c r="E123" s="39"/>
      <c r="F123" s="48">
        <f>SUM(F121:F122)</f>
        <v>473857.55480176373</v>
      </c>
      <c r="G123" s="40"/>
    </row>
    <row r="124" spans="1:7" ht="15" x14ac:dyDescent="0.2">
      <c r="A124" s="43"/>
      <c r="B124" s="39"/>
      <c r="C124" s="39"/>
      <c r="D124" s="39"/>
      <c r="E124" s="39"/>
      <c r="F124" s="39"/>
      <c r="G124" s="40"/>
    </row>
    <row r="125" spans="1:7" ht="15.75" x14ac:dyDescent="0.25">
      <c r="A125" s="36" t="s">
        <v>28</v>
      </c>
      <c r="B125" s="39"/>
      <c r="C125" s="39"/>
      <c r="D125" s="39"/>
      <c r="E125" s="39"/>
      <c r="F125" s="48">
        <v>494632</v>
      </c>
      <c r="G125" s="40"/>
    </row>
    <row r="126" spans="1:7" ht="15" x14ac:dyDescent="0.2">
      <c r="A126" s="43"/>
      <c r="B126" s="39"/>
      <c r="C126" s="39"/>
      <c r="D126" s="39"/>
      <c r="E126" s="39"/>
      <c r="F126" s="39"/>
      <c r="G126" s="40"/>
    </row>
    <row r="127" spans="1:7" ht="15" x14ac:dyDescent="0.2">
      <c r="A127" s="43" t="s">
        <v>29</v>
      </c>
      <c r="B127" s="39"/>
      <c r="C127" s="39"/>
      <c r="D127" s="39"/>
      <c r="E127" s="39"/>
      <c r="F127" s="48">
        <v>20775</v>
      </c>
      <c r="G127" s="40"/>
    </row>
    <row r="128" spans="1:7" ht="15" x14ac:dyDescent="0.2">
      <c r="A128" s="43"/>
      <c r="B128" s="39"/>
      <c r="C128" s="39"/>
      <c r="D128" s="39"/>
      <c r="E128" s="39"/>
      <c r="F128" s="39"/>
      <c r="G128" s="40"/>
    </row>
    <row r="129" spans="1:7" ht="15" x14ac:dyDescent="0.2">
      <c r="A129" s="43" t="s">
        <v>30</v>
      </c>
      <c r="B129" s="39"/>
      <c r="C129" s="39"/>
      <c r="D129" s="39"/>
      <c r="E129" s="39"/>
      <c r="F129" s="48">
        <f>+C123</f>
        <v>248004</v>
      </c>
      <c r="G129" s="40"/>
    </row>
    <row r="130" spans="1:7" ht="15" x14ac:dyDescent="0.2">
      <c r="A130" s="43"/>
      <c r="B130" s="39"/>
      <c r="C130" s="39"/>
      <c r="D130" s="39"/>
      <c r="E130" s="39"/>
      <c r="F130" s="39"/>
      <c r="G130" s="40"/>
    </row>
    <row r="131" spans="1:7" ht="15" x14ac:dyDescent="0.2">
      <c r="A131" s="43" t="s">
        <v>31</v>
      </c>
      <c r="B131" s="39"/>
      <c r="C131" s="39"/>
      <c r="D131" s="39"/>
      <c r="E131" s="39"/>
      <c r="F131" s="62"/>
      <c r="G131" s="53">
        <f>ROUND(F127/F129,2)</f>
        <v>0.08</v>
      </c>
    </row>
    <row r="132" spans="1:7" ht="15" x14ac:dyDescent="0.2">
      <c r="A132" s="43"/>
      <c r="B132" s="39"/>
      <c r="C132" s="39"/>
      <c r="D132" s="39"/>
      <c r="E132" s="39"/>
      <c r="F132" s="39"/>
      <c r="G132" s="53"/>
    </row>
    <row r="133" spans="1:7" ht="15" x14ac:dyDescent="0.2">
      <c r="A133" s="43"/>
      <c r="B133" s="39"/>
      <c r="C133" s="39"/>
      <c r="D133" s="39"/>
      <c r="E133" s="39"/>
      <c r="F133" s="39"/>
      <c r="G133" s="53"/>
    </row>
    <row r="134" spans="1:7" ht="15" x14ac:dyDescent="0.2">
      <c r="A134" s="43"/>
      <c r="B134" s="39"/>
      <c r="C134" s="39"/>
      <c r="D134" s="39"/>
      <c r="E134" s="39"/>
      <c r="F134" s="39"/>
      <c r="G134" s="53"/>
    </row>
    <row r="135" spans="1:7" ht="15.75" x14ac:dyDescent="0.25">
      <c r="A135" s="46" t="s">
        <v>84</v>
      </c>
      <c r="B135" s="37"/>
      <c r="C135" s="39"/>
      <c r="D135" s="39"/>
      <c r="E135" s="39"/>
      <c r="F135" s="54">
        <f>+F125</f>
        <v>494632</v>
      </c>
      <c r="G135" s="53"/>
    </row>
    <row r="136" spans="1:7" ht="15" x14ac:dyDescent="0.2">
      <c r="A136" s="43" t="s">
        <v>30</v>
      </c>
      <c r="B136" s="39"/>
      <c r="C136" s="39"/>
      <c r="D136" s="39"/>
      <c r="E136" s="39"/>
      <c r="F136" s="48">
        <f>+C123</f>
        <v>248004</v>
      </c>
      <c r="G136" s="53"/>
    </row>
    <row r="137" spans="1:7" ht="17.25" x14ac:dyDescent="0.35">
      <c r="A137" s="43" t="s">
        <v>32</v>
      </c>
      <c r="B137" s="39"/>
      <c r="C137" s="39"/>
      <c r="D137" s="39"/>
      <c r="E137" s="39"/>
      <c r="F137" s="39"/>
      <c r="G137" s="56">
        <f>ROUND(+F135/F136,2)</f>
        <v>1.99</v>
      </c>
    </row>
    <row r="138" spans="1:7" ht="15" x14ac:dyDescent="0.2">
      <c r="A138" s="43"/>
      <c r="B138" s="39"/>
      <c r="C138" s="39"/>
      <c r="D138" s="39"/>
      <c r="E138" s="39"/>
      <c r="F138" s="39"/>
      <c r="G138" s="53"/>
    </row>
    <row r="139" spans="1:7" ht="15" x14ac:dyDescent="0.2">
      <c r="A139" s="43"/>
      <c r="B139" s="39"/>
      <c r="C139" s="39"/>
      <c r="D139" s="39"/>
      <c r="E139" s="39"/>
      <c r="F139" s="39"/>
      <c r="G139" s="53"/>
    </row>
    <row r="140" spans="1:7" ht="16.5" thickBot="1" x14ac:dyDescent="0.3">
      <c r="A140" s="36" t="s">
        <v>33</v>
      </c>
      <c r="B140" s="37"/>
      <c r="C140" s="39"/>
      <c r="D140" s="39"/>
      <c r="E140" s="39"/>
      <c r="F140" s="39"/>
      <c r="G140" s="59">
        <f>SUM(G131:G137)</f>
        <v>2.0699999999999998</v>
      </c>
    </row>
    <row r="141" spans="1:7" ht="14.25" thickTop="1" thickBot="1" x14ac:dyDescent="0.25">
      <c r="A141" s="19"/>
      <c r="B141" s="20"/>
      <c r="C141" s="20"/>
      <c r="D141" s="20"/>
      <c r="E141" s="20"/>
      <c r="F141" s="20"/>
      <c r="G141" s="21"/>
    </row>
    <row r="142" spans="1:7" ht="15" x14ac:dyDescent="0.2">
      <c r="A142" s="129" t="s">
        <v>34</v>
      </c>
      <c r="B142" s="130"/>
      <c r="C142" s="130"/>
      <c r="D142" s="130"/>
      <c r="E142" s="130"/>
      <c r="F142" s="130"/>
      <c r="G142" s="131"/>
    </row>
    <row r="143" spans="1:7" ht="15" x14ac:dyDescent="0.2">
      <c r="A143" s="50"/>
      <c r="B143" s="51"/>
      <c r="C143" s="51"/>
      <c r="D143" s="51"/>
      <c r="E143" s="51"/>
      <c r="F143" s="51"/>
      <c r="G143" s="65"/>
    </row>
    <row r="144" spans="1:7" ht="15.75" x14ac:dyDescent="0.25">
      <c r="A144" s="50"/>
      <c r="B144" s="51"/>
      <c r="C144" s="44"/>
      <c r="D144" s="44"/>
      <c r="E144" s="44" t="s">
        <v>18</v>
      </c>
      <c r="F144" s="44" t="s">
        <v>3</v>
      </c>
      <c r="G144" s="65"/>
    </row>
    <row r="145" spans="1:7" ht="15.75" x14ac:dyDescent="0.25">
      <c r="A145" s="50"/>
      <c r="B145" s="51"/>
      <c r="C145" s="66" t="s">
        <v>25</v>
      </c>
      <c r="D145" s="66"/>
      <c r="E145" s="66" t="s">
        <v>27</v>
      </c>
      <c r="F145" s="66" t="s">
        <v>6</v>
      </c>
      <c r="G145" s="65"/>
    </row>
    <row r="146" spans="1:7" ht="15.75" x14ac:dyDescent="0.25">
      <c r="A146" s="46" t="s">
        <v>67</v>
      </c>
      <c r="B146" s="37"/>
      <c r="C146" s="67"/>
      <c r="D146" s="67"/>
      <c r="E146" s="67"/>
      <c r="F146" s="67"/>
      <c r="G146" s="65"/>
    </row>
    <row r="147" spans="1:7" ht="15.75" x14ac:dyDescent="0.25">
      <c r="A147" s="43" t="s">
        <v>64</v>
      </c>
      <c r="B147" s="51"/>
      <c r="C147" s="68">
        <v>3534</v>
      </c>
      <c r="D147" s="68"/>
      <c r="E147" s="69">
        <f>+E202</f>
        <v>0.19</v>
      </c>
      <c r="F147" s="68">
        <f>E147*C147</f>
        <v>671.46</v>
      </c>
      <c r="G147" s="65"/>
    </row>
    <row r="148" spans="1:7" ht="17.25" x14ac:dyDescent="0.35">
      <c r="A148" s="50" t="s">
        <v>65</v>
      </c>
      <c r="B148" s="51"/>
      <c r="C148" s="52">
        <v>17099</v>
      </c>
      <c r="D148" s="52"/>
      <c r="E148" s="69">
        <f>+G217</f>
        <v>0.23</v>
      </c>
      <c r="F148" s="52">
        <f>E148*C148</f>
        <v>3932.77</v>
      </c>
      <c r="G148" s="65"/>
    </row>
    <row r="149" spans="1:7" ht="15" x14ac:dyDescent="0.2">
      <c r="A149" s="43" t="s">
        <v>3</v>
      </c>
      <c r="B149" s="51"/>
      <c r="C149" s="68">
        <f>SUM(C147:C148)</f>
        <v>20633</v>
      </c>
      <c r="D149" s="68"/>
      <c r="E149" s="51"/>
      <c r="F149" s="68">
        <f>SUM(F147:F148)</f>
        <v>4604.2299999999996</v>
      </c>
      <c r="G149" s="65"/>
    </row>
    <row r="150" spans="1:7" ht="15" x14ac:dyDescent="0.2">
      <c r="A150" s="43"/>
      <c r="B150" s="51"/>
      <c r="C150" s="51"/>
      <c r="D150" s="51"/>
      <c r="E150" s="51"/>
      <c r="F150" s="51"/>
      <c r="G150" s="65"/>
    </row>
    <row r="151" spans="1:7" ht="15.75" x14ac:dyDescent="0.25">
      <c r="A151" s="36" t="s">
        <v>28</v>
      </c>
      <c r="B151" s="51"/>
      <c r="C151" s="51"/>
      <c r="D151" s="51"/>
      <c r="E151" s="51"/>
      <c r="F151" s="70">
        <v>5419</v>
      </c>
      <c r="G151" s="65"/>
    </row>
    <row r="152" spans="1:7" ht="15" x14ac:dyDescent="0.2">
      <c r="A152" s="43"/>
      <c r="B152" s="51"/>
      <c r="C152" s="51"/>
      <c r="D152" s="51"/>
      <c r="E152" s="51"/>
      <c r="F152" s="51"/>
      <c r="G152" s="65"/>
    </row>
    <row r="153" spans="1:7" ht="15" x14ac:dyDescent="0.2">
      <c r="A153" s="43" t="s">
        <v>29</v>
      </c>
      <c r="B153" s="51"/>
      <c r="C153" s="51"/>
      <c r="D153" s="51"/>
      <c r="E153" s="51"/>
      <c r="F153" s="68">
        <v>814</v>
      </c>
      <c r="G153" s="65"/>
    </row>
    <row r="154" spans="1:7" ht="15" x14ac:dyDescent="0.2">
      <c r="A154" s="43"/>
      <c r="B154" s="51"/>
      <c r="C154" s="51"/>
      <c r="D154" s="51"/>
      <c r="E154" s="51"/>
      <c r="F154" s="51"/>
      <c r="G154" s="65"/>
    </row>
    <row r="155" spans="1:7" ht="15" x14ac:dyDescent="0.2">
      <c r="A155" s="43" t="s">
        <v>30</v>
      </c>
      <c r="B155" s="51"/>
      <c r="C155" s="51"/>
      <c r="D155" s="51"/>
      <c r="E155" s="51"/>
      <c r="F155" s="68">
        <f>+C149</f>
        <v>20633</v>
      </c>
      <c r="G155" s="65"/>
    </row>
    <row r="156" spans="1:7" ht="15" x14ac:dyDescent="0.2">
      <c r="A156" s="43"/>
      <c r="B156" s="51"/>
      <c r="C156" s="51"/>
      <c r="D156" s="51"/>
      <c r="E156" s="51"/>
      <c r="F156" s="51"/>
      <c r="G156" s="65"/>
    </row>
    <row r="157" spans="1:7" ht="15" x14ac:dyDescent="0.2">
      <c r="A157" s="43" t="s">
        <v>31</v>
      </c>
      <c r="B157" s="51"/>
      <c r="C157" s="51"/>
      <c r="D157" s="51"/>
      <c r="E157" s="51"/>
      <c r="F157" s="51"/>
      <c r="G157" s="71">
        <f>ROUND(F153/F155,2)</f>
        <v>0.04</v>
      </c>
    </row>
    <row r="158" spans="1:7" ht="15" x14ac:dyDescent="0.2">
      <c r="A158" s="43"/>
      <c r="B158" s="51"/>
      <c r="C158" s="51"/>
      <c r="D158" s="51"/>
      <c r="E158" s="51"/>
      <c r="F158" s="51"/>
      <c r="G158" s="71"/>
    </row>
    <row r="159" spans="1:7" ht="15" x14ac:dyDescent="0.2">
      <c r="A159" s="43"/>
      <c r="B159" s="51"/>
      <c r="C159" s="51"/>
      <c r="D159" s="51"/>
      <c r="E159" s="51"/>
      <c r="F159" s="68"/>
      <c r="G159" s="65"/>
    </row>
    <row r="160" spans="1:7" ht="15.75" x14ac:dyDescent="0.25">
      <c r="A160" s="43"/>
      <c r="B160" s="37"/>
      <c r="C160" s="51"/>
      <c r="D160" s="51"/>
      <c r="E160" s="51"/>
      <c r="F160" s="68"/>
      <c r="G160" s="65"/>
    </row>
    <row r="161" spans="1:7" ht="15.75" x14ac:dyDescent="0.25">
      <c r="A161" s="46" t="s">
        <v>84</v>
      </c>
      <c r="B161" s="51"/>
      <c r="C161" s="51"/>
      <c r="D161" s="51"/>
      <c r="E161" s="51"/>
      <c r="F161" s="55">
        <f>+F151</f>
        <v>5419</v>
      </c>
      <c r="G161" s="65"/>
    </row>
    <row r="162" spans="1:7" ht="15" x14ac:dyDescent="0.2">
      <c r="A162" s="43" t="s">
        <v>30</v>
      </c>
      <c r="B162" s="51"/>
      <c r="C162" s="51"/>
      <c r="D162" s="51"/>
      <c r="E162" s="51"/>
      <c r="F162" s="68">
        <f>+C149</f>
        <v>20633</v>
      </c>
      <c r="G162" s="65"/>
    </row>
    <row r="163" spans="1:7" ht="17.25" x14ac:dyDescent="0.35">
      <c r="A163" s="43" t="s">
        <v>32</v>
      </c>
      <c r="B163" s="51"/>
      <c r="C163" s="51"/>
      <c r="D163" s="51"/>
      <c r="E163" s="51"/>
      <c r="F163" s="51"/>
      <c r="G163" s="58">
        <f>ROUND(+F161/F162,2)</f>
        <v>0.26</v>
      </c>
    </row>
    <row r="164" spans="1:7" ht="17.25" x14ac:dyDescent="0.35">
      <c r="A164" s="43"/>
      <c r="B164" s="51"/>
      <c r="C164" s="51"/>
      <c r="D164" s="51"/>
      <c r="E164" s="51"/>
      <c r="F164" s="51"/>
      <c r="G164" s="58"/>
    </row>
    <row r="165" spans="1:7" ht="16.5" thickBot="1" x14ac:dyDescent="0.3">
      <c r="A165" s="36" t="s">
        <v>35</v>
      </c>
      <c r="B165" s="37"/>
      <c r="C165" s="51"/>
      <c r="D165" s="51"/>
      <c r="E165" s="51"/>
      <c r="F165" s="51"/>
      <c r="G165" s="72">
        <f>+G163+G157+G158</f>
        <v>0.3</v>
      </c>
    </row>
    <row r="166" spans="1:7" ht="16.5" thickTop="1" thickBot="1" x14ac:dyDescent="0.25">
      <c r="A166" s="73"/>
      <c r="B166" s="74"/>
      <c r="C166" s="74"/>
      <c r="D166" s="74"/>
      <c r="E166" s="74"/>
      <c r="F166" s="74"/>
      <c r="G166" s="75"/>
    </row>
    <row r="167" spans="1:7" ht="23.25" x14ac:dyDescent="0.35">
      <c r="A167" s="32" t="s">
        <v>63</v>
      </c>
      <c r="B167" s="33"/>
      <c r="C167" s="34"/>
      <c r="D167" s="34"/>
      <c r="E167" s="34"/>
      <c r="F167" s="34"/>
      <c r="G167" s="35"/>
    </row>
    <row r="168" spans="1:7" ht="15.75" x14ac:dyDescent="0.25">
      <c r="A168" s="36" t="s">
        <v>61</v>
      </c>
      <c r="B168" s="37"/>
      <c r="C168" s="38"/>
      <c r="D168" s="38"/>
      <c r="E168" s="39"/>
      <c r="F168" s="39"/>
      <c r="G168" s="40"/>
    </row>
    <row r="169" spans="1:7" ht="15.75" x14ac:dyDescent="0.25">
      <c r="A169" s="41"/>
      <c r="B169" s="42"/>
      <c r="C169" s="39"/>
      <c r="D169" s="39"/>
      <c r="E169" s="39"/>
      <c r="F169" s="39"/>
      <c r="G169" s="40"/>
    </row>
    <row r="170" spans="1:7" ht="15" x14ac:dyDescent="0.2">
      <c r="A170" s="129" t="s">
        <v>26</v>
      </c>
      <c r="B170" s="130"/>
      <c r="C170" s="130"/>
      <c r="D170" s="130"/>
      <c r="E170" s="130"/>
      <c r="F170" s="130"/>
      <c r="G170" s="131"/>
    </row>
    <row r="171" spans="1:7" ht="15" x14ac:dyDescent="0.2">
      <c r="A171" s="43"/>
      <c r="B171" s="39"/>
      <c r="C171" s="39"/>
      <c r="D171" s="39"/>
      <c r="E171" s="39"/>
      <c r="F171" s="39"/>
      <c r="G171" s="40"/>
    </row>
    <row r="172" spans="1:7" ht="15.75" x14ac:dyDescent="0.25">
      <c r="A172" s="43"/>
      <c r="B172" s="39"/>
      <c r="C172" s="44"/>
      <c r="D172" s="44"/>
      <c r="E172" s="44" t="s">
        <v>18</v>
      </c>
      <c r="F172" s="44" t="s">
        <v>3</v>
      </c>
      <c r="G172" s="40"/>
    </row>
    <row r="173" spans="1:7" ht="15.75" x14ac:dyDescent="0.25">
      <c r="A173" s="43"/>
      <c r="B173" s="39"/>
      <c r="C173" s="45" t="s">
        <v>5</v>
      </c>
      <c r="D173" s="45"/>
      <c r="E173" s="45" t="s">
        <v>27</v>
      </c>
      <c r="F173" s="45" t="s">
        <v>6</v>
      </c>
      <c r="G173" s="40"/>
    </row>
    <row r="174" spans="1:7" ht="15.75" x14ac:dyDescent="0.25">
      <c r="A174" s="46" t="s">
        <v>66</v>
      </c>
      <c r="B174" s="37"/>
      <c r="C174" s="47"/>
      <c r="D174" s="47"/>
      <c r="E174" s="47"/>
      <c r="F174" s="47"/>
      <c r="G174" s="40"/>
    </row>
    <row r="175" spans="1:7" ht="15.75" x14ac:dyDescent="0.25">
      <c r="A175" s="43" t="s">
        <v>64</v>
      </c>
      <c r="B175" s="39"/>
      <c r="C175" s="48">
        <v>90954</v>
      </c>
      <c r="D175" s="48"/>
      <c r="E175" s="49">
        <f>+E230</f>
        <v>0.91</v>
      </c>
      <c r="F175" s="48">
        <f>C175*E175</f>
        <v>82768.14</v>
      </c>
      <c r="G175" s="40"/>
    </row>
    <row r="176" spans="1:7" ht="17.25" x14ac:dyDescent="0.35">
      <c r="A176" s="50" t="s">
        <v>65</v>
      </c>
      <c r="B176" s="51"/>
      <c r="C176" s="52">
        <v>454770</v>
      </c>
      <c r="D176" s="52"/>
      <c r="E176" s="49">
        <f>+G245</f>
        <v>1.6641107756753206</v>
      </c>
      <c r="F176" s="52">
        <f>C176*E176</f>
        <v>756787.65745386551</v>
      </c>
      <c r="G176" s="40"/>
    </row>
    <row r="177" spans="1:7" ht="15" x14ac:dyDescent="0.2">
      <c r="A177" s="43" t="s">
        <v>3</v>
      </c>
      <c r="B177" s="39"/>
      <c r="C177" s="48">
        <f>SUM(C175:C176)</f>
        <v>545724</v>
      </c>
      <c r="D177" s="48"/>
      <c r="E177" s="39"/>
      <c r="F177" s="48">
        <f>SUM(F175:F176)</f>
        <v>839555.79745386553</v>
      </c>
      <c r="G177" s="40"/>
    </row>
    <row r="178" spans="1:7" ht="15" x14ac:dyDescent="0.2">
      <c r="A178" s="43"/>
      <c r="B178" s="39"/>
      <c r="C178" s="39"/>
      <c r="D178" s="39"/>
      <c r="E178" s="39"/>
      <c r="F178" s="39"/>
      <c r="G178" s="40"/>
    </row>
    <row r="179" spans="1:7" ht="15.75" x14ac:dyDescent="0.25">
      <c r="A179" s="36" t="s">
        <v>28</v>
      </c>
      <c r="B179" s="39"/>
      <c r="C179" s="39"/>
      <c r="D179" s="39"/>
      <c r="E179" s="39"/>
      <c r="F179" s="48">
        <v>1070318.8014882323</v>
      </c>
      <c r="G179" s="40"/>
    </row>
    <row r="180" spans="1:7" ht="15" x14ac:dyDescent="0.2">
      <c r="A180" s="43"/>
      <c r="B180" s="39"/>
      <c r="C180" s="39"/>
      <c r="D180" s="39"/>
      <c r="E180" s="39"/>
      <c r="F180" s="39"/>
      <c r="G180" s="40"/>
    </row>
    <row r="181" spans="1:7" ht="15" x14ac:dyDescent="0.2">
      <c r="A181" s="43" t="s">
        <v>29</v>
      </c>
      <c r="B181" s="39"/>
      <c r="C181" s="39"/>
      <c r="D181" s="39"/>
      <c r="E181" s="39"/>
      <c r="F181" s="48">
        <f>F179-F177</f>
        <v>230763.00403436681</v>
      </c>
      <c r="G181" s="40"/>
    </row>
    <row r="182" spans="1:7" ht="15" x14ac:dyDescent="0.2">
      <c r="A182" s="43"/>
      <c r="B182" s="39"/>
      <c r="C182" s="39"/>
      <c r="D182" s="39"/>
      <c r="E182" s="39"/>
      <c r="F182" s="39"/>
      <c r="G182" s="40"/>
    </row>
    <row r="183" spans="1:7" ht="15" x14ac:dyDescent="0.2">
      <c r="A183" s="43" t="s">
        <v>30</v>
      </c>
      <c r="B183" s="39"/>
      <c r="C183" s="39"/>
      <c r="D183" s="39"/>
      <c r="E183" s="39"/>
      <c r="F183" s="48">
        <f>+C177</f>
        <v>545724</v>
      </c>
      <c r="G183" s="40"/>
    </row>
    <row r="184" spans="1:7" ht="15" x14ac:dyDescent="0.2">
      <c r="A184" s="43"/>
      <c r="B184" s="39"/>
      <c r="C184" s="39"/>
      <c r="D184" s="39"/>
      <c r="E184" s="39"/>
      <c r="F184" s="39"/>
      <c r="G184" s="40"/>
    </row>
    <row r="185" spans="1:7" ht="15" x14ac:dyDescent="0.2">
      <c r="A185" s="43" t="s">
        <v>31</v>
      </c>
      <c r="B185" s="39"/>
      <c r="C185" s="39"/>
      <c r="D185" s="39"/>
      <c r="E185" s="39"/>
      <c r="F185" s="62"/>
      <c r="G185" s="53">
        <f>ROUND(F181/F183,2)</f>
        <v>0.42</v>
      </c>
    </row>
    <row r="186" spans="1:7" ht="15" x14ac:dyDescent="0.2">
      <c r="A186" s="43"/>
      <c r="B186" s="39"/>
      <c r="C186" s="39"/>
      <c r="D186" s="39"/>
      <c r="E186" s="39"/>
      <c r="F186" s="39"/>
      <c r="G186" s="53"/>
    </row>
    <row r="187" spans="1:7" ht="15" x14ac:dyDescent="0.2">
      <c r="A187" s="43"/>
      <c r="B187" s="39"/>
      <c r="C187" s="39"/>
      <c r="D187" s="39"/>
      <c r="E187" s="39"/>
      <c r="F187" s="39"/>
      <c r="G187" s="53"/>
    </row>
    <row r="188" spans="1:7" ht="15" x14ac:dyDescent="0.2">
      <c r="A188" s="43"/>
      <c r="B188" s="39"/>
      <c r="C188" s="39"/>
      <c r="D188" s="39"/>
      <c r="E188" s="39"/>
      <c r="F188" s="39"/>
      <c r="G188" s="53"/>
    </row>
    <row r="189" spans="1:7" ht="15.75" x14ac:dyDescent="0.25">
      <c r="A189" s="46" t="s">
        <v>67</v>
      </c>
      <c r="B189" s="37"/>
      <c r="C189" s="39"/>
      <c r="D189" s="39"/>
      <c r="E189" s="39"/>
      <c r="F189" s="54">
        <f>+F179</f>
        <v>1070318.8014882323</v>
      </c>
      <c r="G189" s="53"/>
    </row>
    <row r="190" spans="1:7" ht="15" x14ac:dyDescent="0.2">
      <c r="A190" s="43" t="s">
        <v>30</v>
      </c>
      <c r="B190" s="39"/>
      <c r="C190" s="39"/>
      <c r="D190" s="39"/>
      <c r="E190" s="39"/>
      <c r="F190" s="48">
        <f>+C177</f>
        <v>545724</v>
      </c>
      <c r="G190" s="53"/>
    </row>
    <row r="191" spans="1:7" ht="17.25" x14ac:dyDescent="0.35">
      <c r="A191" s="43" t="s">
        <v>32</v>
      </c>
      <c r="B191" s="39"/>
      <c r="C191" s="39"/>
      <c r="D191" s="39"/>
      <c r="E191" s="39"/>
      <c r="F191" s="39"/>
      <c r="G191" s="56">
        <f>ROUND(+F189/F190,2)</f>
        <v>1.96</v>
      </c>
    </row>
    <row r="192" spans="1:7" ht="15" x14ac:dyDescent="0.2">
      <c r="A192" s="43"/>
      <c r="B192" s="39"/>
      <c r="C192" s="39"/>
      <c r="D192" s="39"/>
      <c r="E192" s="39"/>
      <c r="F192" s="39"/>
      <c r="G192" s="53"/>
    </row>
    <row r="193" spans="1:7" ht="15" x14ac:dyDescent="0.2">
      <c r="A193" s="43"/>
      <c r="B193" s="39"/>
      <c r="C193" s="39"/>
      <c r="D193" s="39"/>
      <c r="E193" s="39"/>
      <c r="F193" s="39"/>
      <c r="G193" s="53"/>
    </row>
    <row r="194" spans="1:7" ht="16.5" thickBot="1" x14ac:dyDescent="0.3">
      <c r="A194" s="36" t="s">
        <v>33</v>
      </c>
      <c r="B194" s="37"/>
      <c r="C194" s="39"/>
      <c r="D194" s="39"/>
      <c r="E194" s="39"/>
      <c r="F194" s="39"/>
      <c r="G194" s="59">
        <f>SUM(G185:G191)</f>
        <v>2.38</v>
      </c>
    </row>
    <row r="195" spans="1:7" ht="14.25" thickTop="1" thickBot="1" x14ac:dyDescent="0.25">
      <c r="A195" s="19"/>
      <c r="B195" s="20"/>
      <c r="C195" s="20"/>
      <c r="D195" s="20"/>
      <c r="E195" s="20"/>
      <c r="F195" s="20"/>
      <c r="G195" s="21"/>
    </row>
    <row r="196" spans="1:7" ht="15" x14ac:dyDescent="0.2">
      <c r="A196" s="129" t="s">
        <v>34</v>
      </c>
      <c r="B196" s="130"/>
      <c r="C196" s="130"/>
      <c r="D196" s="130"/>
      <c r="E196" s="130"/>
      <c r="F196" s="130"/>
      <c r="G196" s="131"/>
    </row>
    <row r="197" spans="1:7" ht="15" x14ac:dyDescent="0.2">
      <c r="A197" s="50"/>
      <c r="B197" s="51"/>
      <c r="C197" s="51"/>
      <c r="D197" s="51"/>
      <c r="E197" s="51"/>
      <c r="F197" s="51"/>
      <c r="G197" s="65"/>
    </row>
    <row r="198" spans="1:7" ht="15.75" x14ac:dyDescent="0.25">
      <c r="A198" s="50"/>
      <c r="B198" s="51"/>
      <c r="C198" s="44"/>
      <c r="D198" s="44"/>
      <c r="E198" s="44" t="s">
        <v>18</v>
      </c>
      <c r="F198" s="44" t="s">
        <v>3</v>
      </c>
      <c r="G198" s="65"/>
    </row>
    <row r="199" spans="1:7" ht="15.75" x14ac:dyDescent="0.25">
      <c r="A199" s="50"/>
      <c r="B199" s="51"/>
      <c r="C199" s="66" t="s">
        <v>25</v>
      </c>
      <c r="D199" s="66"/>
      <c r="E199" s="66" t="s">
        <v>27</v>
      </c>
      <c r="F199" s="66" t="s">
        <v>6</v>
      </c>
      <c r="G199" s="65"/>
    </row>
    <row r="200" spans="1:7" ht="15.75" x14ac:dyDescent="0.25">
      <c r="A200" s="46" t="s">
        <v>66</v>
      </c>
      <c r="B200" s="37"/>
      <c r="C200" s="67"/>
      <c r="D200" s="67"/>
      <c r="E200" s="67"/>
      <c r="F200" s="67"/>
      <c r="G200" s="65"/>
    </row>
    <row r="201" spans="1:7" ht="15.75" x14ac:dyDescent="0.25">
      <c r="A201" s="43" t="s">
        <v>64</v>
      </c>
      <c r="B201" s="51"/>
      <c r="C201" s="68">
        <v>15544.573148514854</v>
      </c>
      <c r="D201" s="68"/>
      <c r="E201" s="69">
        <f>+E256</f>
        <v>0.23</v>
      </c>
      <c r="F201" s="68">
        <f>E201*C201</f>
        <v>3575.2518241584166</v>
      </c>
      <c r="G201" s="65"/>
    </row>
    <row r="202" spans="1:7" ht="17.25" x14ac:dyDescent="0.35">
      <c r="A202" s="50" t="s">
        <v>65</v>
      </c>
      <c r="B202" s="51"/>
      <c r="C202" s="52">
        <v>77722.865742574271</v>
      </c>
      <c r="D202" s="52"/>
      <c r="E202" s="69">
        <f>+G271</f>
        <v>0.19</v>
      </c>
      <c r="F202" s="52">
        <f>E202*C202</f>
        <v>14767.344491089112</v>
      </c>
      <c r="G202" s="65"/>
    </row>
    <row r="203" spans="1:7" ht="15" x14ac:dyDescent="0.2">
      <c r="A203" s="43" t="s">
        <v>3</v>
      </c>
      <c r="B203" s="51"/>
      <c r="C203" s="68">
        <f>SUM(C201:C202)</f>
        <v>93267.438891089128</v>
      </c>
      <c r="D203" s="68"/>
      <c r="E203" s="51"/>
      <c r="F203" s="68">
        <f>SUM(F201:F202)</f>
        <v>18342.596315247531</v>
      </c>
      <c r="G203" s="65"/>
    </row>
    <row r="204" spans="1:7" ht="15" x14ac:dyDescent="0.2">
      <c r="A204" s="43"/>
      <c r="B204" s="51"/>
      <c r="C204" s="51"/>
      <c r="D204" s="51"/>
      <c r="E204" s="51"/>
      <c r="F204" s="51"/>
      <c r="G204" s="65"/>
    </row>
    <row r="205" spans="1:7" ht="15.75" x14ac:dyDescent="0.25">
      <c r="A205" s="36" t="s">
        <v>28</v>
      </c>
      <c r="B205" s="51"/>
      <c r="C205" s="51"/>
      <c r="D205" s="51"/>
      <c r="E205" s="51"/>
      <c r="F205" s="70">
        <v>21605.51866847141</v>
      </c>
      <c r="G205" s="65"/>
    </row>
    <row r="206" spans="1:7" ht="15" x14ac:dyDescent="0.2">
      <c r="A206" s="43"/>
      <c r="B206" s="51"/>
      <c r="C206" s="51"/>
      <c r="D206" s="51"/>
      <c r="E206" s="51"/>
      <c r="F206" s="51"/>
      <c r="G206" s="65"/>
    </row>
    <row r="207" spans="1:7" ht="15" x14ac:dyDescent="0.2">
      <c r="A207" s="43" t="s">
        <v>29</v>
      </c>
      <c r="B207" s="51"/>
      <c r="C207" s="51"/>
      <c r="D207" s="51"/>
      <c r="E207" s="51"/>
      <c r="F207" s="68">
        <f>F205-F203</f>
        <v>3262.9223532238793</v>
      </c>
      <c r="G207" s="65"/>
    </row>
    <row r="208" spans="1:7" ht="15" x14ac:dyDescent="0.2">
      <c r="A208" s="43"/>
      <c r="B208" s="51"/>
      <c r="C208" s="51"/>
      <c r="D208" s="51"/>
      <c r="E208" s="51"/>
      <c r="F208" s="51"/>
      <c r="G208" s="65"/>
    </row>
    <row r="209" spans="1:8" ht="15" x14ac:dyDescent="0.2">
      <c r="A209" s="43" t="s">
        <v>30</v>
      </c>
      <c r="B209" s="51"/>
      <c r="C209" s="51"/>
      <c r="D209" s="51"/>
      <c r="E209" s="51"/>
      <c r="F209" s="68">
        <f>+C203</f>
        <v>93267.438891089128</v>
      </c>
      <c r="G209" s="65"/>
    </row>
    <row r="210" spans="1:8" ht="15" x14ac:dyDescent="0.2">
      <c r="A210" s="43"/>
      <c r="B210" s="51"/>
      <c r="C210" s="51"/>
      <c r="D210" s="51"/>
      <c r="E210" s="51"/>
      <c r="F210" s="51"/>
      <c r="G210" s="65"/>
    </row>
    <row r="211" spans="1:8" ht="15" x14ac:dyDescent="0.2">
      <c r="A211" s="43" t="s">
        <v>31</v>
      </c>
      <c r="B211" s="51"/>
      <c r="C211" s="51"/>
      <c r="D211" s="51"/>
      <c r="E211" s="51"/>
      <c r="F211" s="51"/>
      <c r="G211" s="71">
        <f>ROUND(F207/F209,2)</f>
        <v>0.03</v>
      </c>
    </row>
    <row r="212" spans="1:8" ht="15" x14ac:dyDescent="0.2">
      <c r="A212" s="43"/>
      <c r="B212" s="51"/>
      <c r="C212" s="51"/>
      <c r="D212" s="51"/>
      <c r="E212" s="51"/>
      <c r="F212" s="51"/>
      <c r="G212" s="71"/>
    </row>
    <row r="213" spans="1:8" ht="15" x14ac:dyDescent="0.2">
      <c r="A213" s="43"/>
      <c r="B213" s="51"/>
      <c r="C213" s="51"/>
      <c r="D213" s="51"/>
      <c r="E213" s="51"/>
      <c r="F213" s="68"/>
      <c r="G213" s="65"/>
    </row>
    <row r="214" spans="1:8" ht="15.75" x14ac:dyDescent="0.25">
      <c r="A214" s="43"/>
      <c r="B214" s="37"/>
      <c r="C214" s="51"/>
      <c r="D214" s="51"/>
      <c r="E214" s="51"/>
      <c r="F214" s="68"/>
      <c r="G214" s="65"/>
    </row>
    <row r="215" spans="1:8" ht="15.75" x14ac:dyDescent="0.25">
      <c r="A215" s="46" t="s">
        <v>67</v>
      </c>
      <c r="B215" s="51"/>
      <c r="C215" s="51"/>
      <c r="D215" s="51"/>
      <c r="E215" s="51"/>
      <c r="F215" s="55">
        <f>+F205</f>
        <v>21605.51866847141</v>
      </c>
      <c r="G215" s="65"/>
    </row>
    <row r="216" spans="1:8" ht="15" x14ac:dyDescent="0.2">
      <c r="A216" s="43" t="s">
        <v>30</v>
      </c>
      <c r="B216" s="51"/>
      <c r="C216" s="51"/>
      <c r="D216" s="51"/>
      <c r="E216" s="51"/>
      <c r="F216" s="68">
        <f>+C203</f>
        <v>93267.438891089128</v>
      </c>
      <c r="G216" s="65"/>
      <c r="H216" s="121"/>
    </row>
    <row r="217" spans="1:8" ht="17.25" x14ac:dyDescent="0.35">
      <c r="A217" s="43" t="s">
        <v>32</v>
      </c>
      <c r="B217" s="51"/>
      <c r="C217" s="51"/>
      <c r="D217" s="51"/>
      <c r="E217" s="51"/>
      <c r="F217" s="51"/>
      <c r="G217" s="58">
        <f>ROUND(+F215/F216,2)</f>
        <v>0.23</v>
      </c>
    </row>
    <row r="218" spans="1:8" ht="17.25" x14ac:dyDescent="0.35">
      <c r="A218" s="43"/>
      <c r="B218" s="51"/>
      <c r="C218" s="51"/>
      <c r="D218" s="51"/>
      <c r="E218" s="51"/>
      <c r="F218" s="51"/>
      <c r="G218" s="58"/>
    </row>
    <row r="219" spans="1:8" ht="16.5" thickBot="1" x14ac:dyDescent="0.3">
      <c r="A219" s="36" t="s">
        <v>35</v>
      </c>
      <c r="B219" s="37"/>
      <c r="C219" s="51"/>
      <c r="D219" s="51"/>
      <c r="E219" s="51"/>
      <c r="F219" s="51"/>
      <c r="G219" s="72">
        <f>+G217+G211+G212</f>
        <v>0.26</v>
      </c>
    </row>
    <row r="220" spans="1:8" ht="16.5" thickTop="1" thickBot="1" x14ac:dyDescent="0.25">
      <c r="A220" s="73"/>
      <c r="B220" s="74"/>
      <c r="C220" s="74"/>
      <c r="D220" s="74"/>
      <c r="E220" s="74"/>
      <c r="F220" s="74"/>
      <c r="G220" s="75"/>
    </row>
    <row r="221" spans="1:8" ht="23.25" x14ac:dyDescent="0.35">
      <c r="A221" s="32" t="s">
        <v>63</v>
      </c>
      <c r="B221" s="33"/>
      <c r="C221" s="34"/>
      <c r="D221" s="34"/>
      <c r="E221" s="34"/>
      <c r="F221" s="34"/>
      <c r="G221" s="35"/>
    </row>
    <row r="222" spans="1:8" ht="15.75" x14ac:dyDescent="0.25">
      <c r="A222" s="36" t="s">
        <v>62</v>
      </c>
      <c r="B222" s="37"/>
      <c r="C222" s="38"/>
      <c r="D222" s="38"/>
      <c r="E222" s="39"/>
      <c r="F222" s="39"/>
      <c r="G222" s="40"/>
    </row>
    <row r="223" spans="1:8" ht="15.75" x14ac:dyDescent="0.25">
      <c r="A223" s="41"/>
      <c r="B223" s="42"/>
      <c r="C223" s="39"/>
      <c r="D223" s="39"/>
      <c r="E223" s="39"/>
      <c r="F223" s="39"/>
      <c r="G223" s="40"/>
    </row>
    <row r="224" spans="1:8" ht="15" x14ac:dyDescent="0.2">
      <c r="A224" s="129" t="s">
        <v>26</v>
      </c>
      <c r="B224" s="130"/>
      <c r="C224" s="130"/>
      <c r="D224" s="130"/>
      <c r="E224" s="130"/>
      <c r="F224" s="130"/>
      <c r="G224" s="131"/>
    </row>
    <row r="225" spans="1:7" ht="15" x14ac:dyDescent="0.2">
      <c r="A225" s="43"/>
      <c r="B225" s="39"/>
      <c r="C225" s="39"/>
      <c r="D225" s="39"/>
      <c r="E225" s="39"/>
      <c r="F225" s="39"/>
      <c r="G225" s="40"/>
    </row>
    <row r="226" spans="1:7" ht="15.75" x14ac:dyDescent="0.25">
      <c r="A226" s="43"/>
      <c r="B226" s="39"/>
      <c r="C226" s="44"/>
      <c r="D226" s="44"/>
      <c r="E226" s="44" t="s">
        <v>18</v>
      </c>
      <c r="F226" s="44" t="s">
        <v>3</v>
      </c>
      <c r="G226" s="40"/>
    </row>
    <row r="227" spans="1:7" ht="15.75" x14ac:dyDescent="0.25">
      <c r="A227" s="43"/>
      <c r="B227" s="39"/>
      <c r="C227" s="45" t="s">
        <v>5</v>
      </c>
      <c r="D227" s="45"/>
      <c r="E227" s="45" t="s">
        <v>27</v>
      </c>
      <c r="F227" s="45" t="s">
        <v>6</v>
      </c>
      <c r="G227" s="40"/>
    </row>
    <row r="228" spans="1:7" ht="15.75" x14ac:dyDescent="0.25">
      <c r="A228" s="46" t="s">
        <v>66</v>
      </c>
      <c r="B228" s="37"/>
      <c r="C228" s="47"/>
      <c r="D228" s="47"/>
      <c r="E228" s="47"/>
      <c r="F228" s="47"/>
      <c r="G228" s="40"/>
    </row>
    <row r="229" spans="1:7" ht="15.75" x14ac:dyDescent="0.25">
      <c r="A229" s="43" t="s">
        <v>64</v>
      </c>
      <c r="B229" s="39"/>
      <c r="C229" s="48">
        <v>87362</v>
      </c>
      <c r="D229" s="48"/>
      <c r="E229" s="49">
        <v>0.73</v>
      </c>
      <c r="F229" s="48">
        <f>C229*E229</f>
        <v>63774.26</v>
      </c>
      <c r="G229" s="40"/>
    </row>
    <row r="230" spans="1:7" ht="17.25" x14ac:dyDescent="0.35">
      <c r="A230" s="50" t="s">
        <v>65</v>
      </c>
      <c r="B230" s="51"/>
      <c r="C230" s="52">
        <v>443080</v>
      </c>
      <c r="D230" s="52"/>
      <c r="E230" s="49">
        <v>0.91</v>
      </c>
      <c r="F230" s="52">
        <f>C230*E230</f>
        <v>403202.8</v>
      </c>
      <c r="G230" s="40"/>
    </row>
    <row r="231" spans="1:7" ht="15" x14ac:dyDescent="0.2">
      <c r="A231" s="43" t="s">
        <v>3</v>
      </c>
      <c r="B231" s="39"/>
      <c r="C231" s="48">
        <f>SUM(C229:C230)</f>
        <v>530442</v>
      </c>
      <c r="D231" s="48"/>
      <c r="E231" s="39"/>
      <c r="F231" s="48">
        <f>SUM(F229:F230)</f>
        <v>466977.06</v>
      </c>
      <c r="G231" s="40"/>
    </row>
    <row r="232" spans="1:7" ht="15" x14ac:dyDescent="0.2">
      <c r="A232" s="43"/>
      <c r="B232" s="39"/>
      <c r="C232" s="39"/>
      <c r="D232" s="39"/>
      <c r="E232" s="39"/>
      <c r="F232" s="39"/>
      <c r="G232" s="40"/>
    </row>
    <row r="233" spans="1:7" ht="15.75" x14ac:dyDescent="0.25">
      <c r="A233" s="36" t="s">
        <v>28</v>
      </c>
      <c r="B233" s="39"/>
      <c r="C233" s="39"/>
      <c r="D233" s="39"/>
      <c r="E233" s="39"/>
      <c r="F233" s="48">
        <v>894186.62775827409</v>
      </c>
      <c r="G233" s="40"/>
    </row>
    <row r="234" spans="1:7" ht="15" x14ac:dyDescent="0.2">
      <c r="A234" s="43"/>
      <c r="B234" s="39"/>
      <c r="C234" s="39"/>
      <c r="D234" s="39"/>
      <c r="E234" s="39"/>
      <c r="F234" s="39"/>
      <c r="G234" s="40"/>
    </row>
    <row r="235" spans="1:7" ht="15" x14ac:dyDescent="0.2">
      <c r="A235" s="43" t="s">
        <v>29</v>
      </c>
      <c r="B235" s="39"/>
      <c r="C235" s="39"/>
      <c r="D235" s="39"/>
      <c r="E235" s="39"/>
      <c r="F235" s="61">
        <f>F233-F231</f>
        <v>427209.56775827409</v>
      </c>
      <c r="G235" s="40"/>
    </row>
    <row r="236" spans="1:7" ht="15" x14ac:dyDescent="0.2">
      <c r="A236" s="43"/>
      <c r="B236" s="39"/>
      <c r="C236" s="39"/>
      <c r="D236" s="39"/>
      <c r="E236" s="39"/>
      <c r="F236" s="39"/>
      <c r="G236" s="40"/>
    </row>
    <row r="237" spans="1:7" ht="15" x14ac:dyDescent="0.2">
      <c r="A237" s="50" t="s">
        <v>30</v>
      </c>
      <c r="B237" s="39"/>
      <c r="C237" s="39"/>
      <c r="D237" s="39"/>
      <c r="E237" s="39"/>
      <c r="F237" s="48">
        <f>+C231</f>
        <v>530442</v>
      </c>
      <c r="G237" s="40"/>
    </row>
    <row r="238" spans="1:7" ht="15" x14ac:dyDescent="0.2">
      <c r="A238" s="43"/>
      <c r="B238" s="39"/>
      <c r="C238" s="39"/>
      <c r="D238" s="39"/>
      <c r="E238" s="39"/>
      <c r="F238" s="39"/>
      <c r="G238" s="40"/>
    </row>
    <row r="239" spans="1:7" ht="15" x14ac:dyDescent="0.2">
      <c r="A239" s="43" t="s">
        <v>31</v>
      </c>
      <c r="B239" s="39"/>
      <c r="C239" s="39"/>
      <c r="D239" s="39"/>
      <c r="E239" s="39"/>
      <c r="F239" s="39"/>
      <c r="G239" s="53">
        <f>ROUND(F235/F237,2)</f>
        <v>0.81</v>
      </c>
    </row>
    <row r="240" spans="1:7" ht="15" x14ac:dyDescent="0.2">
      <c r="A240" s="43"/>
      <c r="B240" s="39"/>
      <c r="C240" s="39"/>
      <c r="D240" s="39"/>
      <c r="E240" s="39"/>
      <c r="F240" s="39"/>
      <c r="G240" s="53"/>
    </row>
    <row r="241" spans="1:7" ht="15" x14ac:dyDescent="0.2">
      <c r="A241" s="43"/>
      <c r="B241" s="39"/>
      <c r="C241" s="39"/>
      <c r="D241" s="39"/>
      <c r="E241" s="39"/>
      <c r="F241" s="39"/>
      <c r="G241" s="53"/>
    </row>
    <row r="242" spans="1:7" ht="15" x14ac:dyDescent="0.2">
      <c r="A242" s="43"/>
      <c r="B242" s="39"/>
      <c r="C242" s="39"/>
      <c r="D242" s="39"/>
      <c r="E242" s="39"/>
      <c r="F242" s="39"/>
      <c r="G242" s="53"/>
    </row>
    <row r="243" spans="1:7" ht="15.75" x14ac:dyDescent="0.25">
      <c r="A243" s="46" t="s">
        <v>66</v>
      </c>
      <c r="B243" s="37"/>
      <c r="C243" s="39"/>
      <c r="D243" s="39"/>
      <c r="E243" s="39"/>
      <c r="F243" s="55">
        <f>+F233</f>
        <v>894186.62775827409</v>
      </c>
      <c r="G243" s="53"/>
    </row>
    <row r="244" spans="1:7" ht="15" x14ac:dyDescent="0.2">
      <c r="A244" s="43" t="s">
        <v>30</v>
      </c>
      <c r="B244" s="39"/>
      <c r="C244" s="39"/>
      <c r="D244" s="39"/>
      <c r="E244" s="39"/>
      <c r="F244" s="48">
        <v>537336</v>
      </c>
      <c r="G244" s="53"/>
    </row>
    <row r="245" spans="1:7" ht="17.25" x14ac:dyDescent="0.35">
      <c r="A245" s="43" t="s">
        <v>32</v>
      </c>
      <c r="B245" s="39"/>
      <c r="C245" s="39"/>
      <c r="D245" s="39"/>
      <c r="E245" s="39"/>
      <c r="F245" s="39"/>
      <c r="G245" s="57">
        <f>+F243/F244</f>
        <v>1.6641107756753206</v>
      </c>
    </row>
    <row r="246" spans="1:7" ht="17.25" x14ac:dyDescent="0.35">
      <c r="A246" s="43"/>
      <c r="B246" s="39"/>
      <c r="C246" s="39"/>
      <c r="D246" s="39"/>
      <c r="E246" s="39"/>
      <c r="F246" s="39"/>
      <c r="G246" s="58"/>
    </row>
    <row r="247" spans="1:7" ht="15" x14ac:dyDescent="0.2">
      <c r="A247" s="43"/>
      <c r="B247" s="39"/>
      <c r="C247" s="39"/>
      <c r="D247" s="39"/>
      <c r="E247" s="39"/>
      <c r="F247" s="39"/>
      <c r="G247" s="53"/>
    </row>
    <row r="248" spans="1:7" ht="16.5" thickBot="1" x14ac:dyDescent="0.3">
      <c r="A248" s="36" t="s">
        <v>33</v>
      </c>
      <c r="B248" s="37"/>
      <c r="C248" s="39"/>
      <c r="D248" s="39"/>
      <c r="E248" s="39"/>
      <c r="F248" s="39"/>
      <c r="G248" s="60">
        <f>+G245+G239+G240</f>
        <v>2.4741107756753209</v>
      </c>
    </row>
    <row r="249" spans="1:7" ht="14.25" thickTop="1" thickBot="1" x14ac:dyDescent="0.25">
      <c r="A249" s="19"/>
      <c r="B249" s="20"/>
      <c r="C249" s="20"/>
      <c r="D249" s="20"/>
      <c r="E249" s="20"/>
      <c r="F249" s="20"/>
      <c r="G249" s="21"/>
    </row>
    <row r="250" spans="1:7" ht="15" x14ac:dyDescent="0.2">
      <c r="A250" s="129" t="s">
        <v>34</v>
      </c>
      <c r="B250" s="130"/>
      <c r="C250" s="130"/>
      <c r="D250" s="130"/>
      <c r="E250" s="130"/>
      <c r="F250" s="130"/>
      <c r="G250" s="131"/>
    </row>
    <row r="251" spans="1:7" ht="15" x14ac:dyDescent="0.2">
      <c r="A251" s="50"/>
      <c r="B251" s="51"/>
      <c r="C251" s="51"/>
      <c r="D251" s="51"/>
      <c r="E251" s="51"/>
      <c r="F251" s="51"/>
      <c r="G251" s="65"/>
    </row>
    <row r="252" spans="1:7" ht="15.75" x14ac:dyDescent="0.25">
      <c r="A252" s="50"/>
      <c r="B252" s="51"/>
      <c r="C252" s="44"/>
      <c r="D252" s="44"/>
      <c r="E252" s="44" t="s">
        <v>18</v>
      </c>
      <c r="F252" s="44" t="s">
        <v>3</v>
      </c>
      <c r="G252" s="65"/>
    </row>
    <row r="253" spans="1:7" ht="15.75" x14ac:dyDescent="0.25">
      <c r="A253" s="50"/>
      <c r="B253" s="51"/>
      <c r="C253" s="66" t="s">
        <v>5</v>
      </c>
      <c r="D253" s="66"/>
      <c r="E253" s="66" t="s">
        <v>27</v>
      </c>
      <c r="F253" s="66" t="s">
        <v>6</v>
      </c>
      <c r="G253" s="65"/>
    </row>
    <row r="254" spans="1:7" ht="15.75" x14ac:dyDescent="0.25">
      <c r="A254" s="46" t="s">
        <v>66</v>
      </c>
      <c r="B254" s="37"/>
      <c r="C254" s="67"/>
      <c r="D254" s="67"/>
      <c r="E254" s="67"/>
      <c r="F254" s="67"/>
      <c r="G254" s="65"/>
    </row>
    <row r="255" spans="1:7" ht="15.75" x14ac:dyDescent="0.25">
      <c r="A255" s="43" t="s">
        <v>64</v>
      </c>
      <c r="B255" s="51"/>
      <c r="C255" s="68">
        <v>13606</v>
      </c>
      <c r="D255" s="68"/>
      <c r="E255" s="69">
        <v>0.21</v>
      </c>
      <c r="F255" s="68">
        <f>C255*E255</f>
        <v>2857.2599999999998</v>
      </c>
      <c r="G255" s="65"/>
    </row>
    <row r="256" spans="1:7" ht="17.25" x14ac:dyDescent="0.35">
      <c r="A256" s="50" t="s">
        <v>65</v>
      </c>
      <c r="B256" s="51"/>
      <c r="C256" s="52">
        <v>72828</v>
      </c>
      <c r="D256" s="52"/>
      <c r="E256" s="69">
        <v>0.23</v>
      </c>
      <c r="F256" s="52">
        <f>C256*E256</f>
        <v>16750.440000000002</v>
      </c>
      <c r="G256" s="65"/>
    </row>
    <row r="257" spans="1:7" ht="15" x14ac:dyDescent="0.2">
      <c r="A257" s="43" t="s">
        <v>3</v>
      </c>
      <c r="B257" s="51"/>
      <c r="C257" s="68">
        <f>+C256+C255</f>
        <v>86434</v>
      </c>
      <c r="D257" s="68"/>
      <c r="E257" s="51"/>
      <c r="F257" s="68">
        <f>+F256+F255</f>
        <v>19607.7</v>
      </c>
      <c r="G257" s="65"/>
    </row>
    <row r="258" spans="1:7" ht="15" x14ac:dyDescent="0.2">
      <c r="A258" s="43"/>
      <c r="B258" s="51"/>
      <c r="C258" s="51"/>
      <c r="D258" s="51"/>
      <c r="E258" s="51"/>
      <c r="F258" s="51"/>
      <c r="G258" s="65"/>
    </row>
    <row r="259" spans="1:7" ht="15.75" x14ac:dyDescent="0.25">
      <c r="A259" s="36" t="s">
        <v>28</v>
      </c>
      <c r="B259" s="51"/>
      <c r="C259" s="51"/>
      <c r="D259" s="51"/>
      <c r="E259" s="51"/>
      <c r="F259" s="70">
        <v>17896.735447015508</v>
      </c>
      <c r="G259" s="65"/>
    </row>
    <row r="260" spans="1:7" ht="15" x14ac:dyDescent="0.2">
      <c r="A260" s="43"/>
      <c r="B260" s="51"/>
      <c r="C260" s="51"/>
      <c r="D260" s="51"/>
      <c r="E260" s="51"/>
      <c r="F260" s="51"/>
      <c r="G260" s="65"/>
    </row>
    <row r="261" spans="1:7" ht="15" x14ac:dyDescent="0.2">
      <c r="A261" s="43" t="s">
        <v>29</v>
      </c>
      <c r="B261" s="51"/>
      <c r="C261" s="51"/>
      <c r="D261" s="51"/>
      <c r="E261" s="51"/>
      <c r="F261" s="68">
        <v>-1710.9364485785482</v>
      </c>
      <c r="G261" s="65"/>
    </row>
    <row r="262" spans="1:7" ht="15" x14ac:dyDescent="0.2">
      <c r="A262" s="43"/>
      <c r="B262" s="51"/>
      <c r="C262" s="51"/>
      <c r="D262" s="51"/>
      <c r="E262" s="51"/>
      <c r="F262" s="51"/>
      <c r="G262" s="65"/>
    </row>
    <row r="263" spans="1:7" ht="15" x14ac:dyDescent="0.2">
      <c r="A263" s="50" t="s">
        <v>30</v>
      </c>
      <c r="B263" s="51"/>
      <c r="C263" s="51"/>
      <c r="D263" s="51"/>
      <c r="E263" s="51"/>
      <c r="F263" s="68">
        <f>+C257</f>
        <v>86434</v>
      </c>
      <c r="G263" s="65"/>
    </row>
    <row r="264" spans="1:7" ht="15" x14ac:dyDescent="0.2">
      <c r="A264" s="43"/>
      <c r="B264" s="51"/>
      <c r="C264" s="51"/>
      <c r="D264" s="51"/>
      <c r="E264" s="51"/>
      <c r="F264" s="51"/>
      <c r="G264" s="65"/>
    </row>
    <row r="265" spans="1:7" ht="15" x14ac:dyDescent="0.2">
      <c r="A265" s="43" t="s">
        <v>31</v>
      </c>
      <c r="B265" s="51"/>
      <c r="C265" s="51"/>
      <c r="D265" s="51"/>
      <c r="E265" s="51"/>
      <c r="F265" s="51"/>
      <c r="G265" s="71">
        <f>ROUND(F261/F263,2)</f>
        <v>-0.02</v>
      </c>
    </row>
    <row r="266" spans="1:7" ht="15" x14ac:dyDescent="0.2">
      <c r="A266" s="43"/>
      <c r="B266" s="51"/>
      <c r="C266" s="51"/>
      <c r="D266" s="51"/>
      <c r="E266" s="51"/>
      <c r="F266" s="51"/>
      <c r="G266" s="71"/>
    </row>
    <row r="267" spans="1:7" ht="15" x14ac:dyDescent="0.2">
      <c r="A267" s="43"/>
      <c r="B267" s="51"/>
      <c r="C267" s="51"/>
      <c r="D267" s="51"/>
      <c r="E267" s="51"/>
      <c r="F267" s="68"/>
      <c r="G267" s="65"/>
    </row>
    <row r="268" spans="1:7" ht="15.75" x14ac:dyDescent="0.25">
      <c r="A268" s="43"/>
      <c r="B268" s="37"/>
      <c r="C268" s="51"/>
      <c r="D268" s="51"/>
      <c r="E268" s="51"/>
      <c r="F268" s="68"/>
      <c r="G268" s="65"/>
    </row>
    <row r="269" spans="1:7" ht="15.75" x14ac:dyDescent="0.25">
      <c r="A269" s="46" t="s">
        <v>66</v>
      </c>
      <c r="B269" s="51"/>
      <c r="C269" s="51"/>
      <c r="D269" s="51"/>
      <c r="E269" s="51"/>
      <c r="F269" s="55">
        <f>+F259</f>
        <v>17896.735447015508</v>
      </c>
      <c r="G269" s="65"/>
    </row>
    <row r="270" spans="1:7" ht="15" x14ac:dyDescent="0.2">
      <c r="A270" s="43" t="s">
        <v>30</v>
      </c>
      <c r="B270" s="51"/>
      <c r="C270" s="51"/>
      <c r="D270" s="51"/>
      <c r="E270" s="51"/>
      <c r="F270" s="68">
        <v>91907</v>
      </c>
      <c r="G270" s="65"/>
    </row>
    <row r="271" spans="1:7" ht="17.25" x14ac:dyDescent="0.35">
      <c r="A271" s="43" t="s">
        <v>32</v>
      </c>
      <c r="B271" s="51"/>
      <c r="C271" s="51"/>
      <c r="D271" s="51"/>
      <c r="E271" s="51"/>
      <c r="F271" s="51"/>
      <c r="G271" s="58">
        <f>ROUND(+F269/F270,2)</f>
        <v>0.19</v>
      </c>
    </row>
    <row r="272" spans="1:7" ht="17.25" x14ac:dyDescent="0.35">
      <c r="A272" s="43"/>
      <c r="B272" s="51"/>
      <c r="C272" s="51"/>
      <c r="D272" s="51"/>
      <c r="E272" s="51"/>
      <c r="F272" s="51"/>
      <c r="G272" s="58"/>
    </row>
    <row r="273" spans="1:7" ht="16.5" thickBot="1" x14ac:dyDescent="0.3">
      <c r="A273" s="36" t="s">
        <v>35</v>
      </c>
      <c r="B273" s="37"/>
      <c r="C273" s="51"/>
      <c r="D273" s="51"/>
      <c r="E273" s="51"/>
      <c r="F273" s="51"/>
      <c r="G273" s="72">
        <f>+G271+G265</f>
        <v>0.17</v>
      </c>
    </row>
    <row r="274" spans="1:7" ht="16.5" thickTop="1" thickBot="1" x14ac:dyDescent="0.25">
      <c r="A274" s="73"/>
      <c r="B274" s="74"/>
      <c r="C274" s="74"/>
      <c r="D274" s="74"/>
      <c r="E274" s="74"/>
      <c r="F274" s="74"/>
      <c r="G274" s="75"/>
    </row>
  </sheetData>
  <mergeCells count="10">
    <mergeCell ref="A4:G4"/>
    <mergeCell ref="A32:G32"/>
    <mergeCell ref="A250:G250"/>
    <mergeCell ref="A116:G116"/>
    <mergeCell ref="A142:G142"/>
    <mergeCell ref="A62:G62"/>
    <mergeCell ref="A88:G88"/>
    <mergeCell ref="A170:G170"/>
    <mergeCell ref="A224:G224"/>
    <mergeCell ref="A196:G196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zoomScaleNormal="100" workbookViewId="0">
      <selection activeCell="G17" sqref="G17"/>
    </sheetView>
  </sheetViews>
  <sheetFormatPr defaultRowHeight="12.75" x14ac:dyDescent="0.2"/>
  <cols>
    <col min="1" max="1" width="26.140625" customWidth="1"/>
    <col min="2" max="2" width="6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9.42578125" bestFit="1" customWidth="1"/>
    <col min="10" max="10" width="9.85546875" bestFit="1" customWidth="1"/>
    <col min="11" max="11" width="9.28515625" bestFit="1" customWidth="1"/>
    <col min="12" max="12" width="9.42578125" bestFit="1" customWidth="1"/>
    <col min="13" max="13" width="12.42578125" bestFit="1" customWidth="1"/>
    <col min="14" max="14" width="12.28515625" bestFit="1" customWidth="1"/>
    <col min="15" max="16" width="10.28515625" bestFit="1" customWidth="1"/>
    <col min="19" max="19" width="10.28515625" bestFit="1" customWidth="1"/>
  </cols>
  <sheetData>
    <row r="1" spans="1:8" s="4" customFormat="1" ht="23.25" x14ac:dyDescent="0.35">
      <c r="A1" s="22" t="s">
        <v>36</v>
      </c>
      <c r="C1" s="27"/>
    </row>
    <row r="2" spans="1:8" s="4" customFormat="1" x14ac:dyDescent="0.2">
      <c r="A2" s="1" t="s">
        <v>70</v>
      </c>
      <c r="C2" s="27"/>
    </row>
    <row r="3" spans="1:8" s="4" customFormat="1" x14ac:dyDescent="0.2">
      <c r="C3" s="27"/>
    </row>
    <row r="4" spans="1:8" s="4" customFormat="1" x14ac:dyDescent="0.2">
      <c r="C4" s="27"/>
    </row>
    <row r="5" spans="1:8" s="4" customFormat="1" x14ac:dyDescent="0.2">
      <c r="C5" s="27" t="s">
        <v>69</v>
      </c>
    </row>
    <row r="6" spans="1:8" s="4" customFormat="1" x14ac:dyDescent="0.2">
      <c r="C6" s="27" t="s">
        <v>40</v>
      </c>
      <c r="G6" s="4" t="s">
        <v>19</v>
      </c>
      <c r="H6" s="4" t="s">
        <v>21</v>
      </c>
    </row>
    <row r="7" spans="1:8" s="4" customFormat="1" x14ac:dyDescent="0.2">
      <c r="C7" s="27" t="s">
        <v>39</v>
      </c>
      <c r="D7" s="4" t="s">
        <v>19</v>
      </c>
      <c r="E7" s="4" t="s">
        <v>53</v>
      </c>
      <c r="F7" s="4" t="s">
        <v>4</v>
      </c>
      <c r="G7" s="4" t="s">
        <v>20</v>
      </c>
      <c r="H7" s="27" t="s">
        <v>40</v>
      </c>
    </row>
    <row r="8" spans="1:8" s="5" customFormat="1" x14ac:dyDescent="0.2">
      <c r="A8" s="5" t="s">
        <v>68</v>
      </c>
      <c r="C8" s="16" t="s">
        <v>17</v>
      </c>
      <c r="D8" s="4" t="s">
        <v>52</v>
      </c>
      <c r="E8" s="5" t="s">
        <v>40</v>
      </c>
      <c r="F8" s="5" t="s">
        <v>20</v>
      </c>
      <c r="G8" s="102" t="s">
        <v>17</v>
      </c>
      <c r="H8" s="5" t="s">
        <v>17</v>
      </c>
    </row>
    <row r="9" spans="1:8" x14ac:dyDescent="0.2">
      <c r="A9" s="64" t="s">
        <v>105</v>
      </c>
      <c r="C9" s="2">
        <f>+Composition!B$16-D9</f>
        <v>1172.8299999999997</v>
      </c>
      <c r="D9" s="6">
        <f>-Composition!B$18</f>
        <v>-97.33</v>
      </c>
      <c r="E9" s="6">
        <f>+D9+C9</f>
        <v>1075.4999999999998</v>
      </c>
      <c r="F9" s="114">
        <f>+'Res''l &amp; MF Customers'!C$18</f>
        <v>0.55943047487508635</v>
      </c>
      <c r="G9" s="6">
        <f>-F9*E9</f>
        <v>-601.6674757281553</v>
      </c>
      <c r="H9" s="6">
        <f t="shared" ref="H9:H20" si="0">+G9+E9</f>
        <v>473.83252427184448</v>
      </c>
    </row>
    <row r="10" spans="1:8" x14ac:dyDescent="0.2">
      <c r="A10" t="s">
        <v>7</v>
      </c>
      <c r="C10" s="2">
        <f>+Composition!D$16-D10</f>
        <v>1078.42</v>
      </c>
      <c r="D10" s="6">
        <f>-Composition!D$18</f>
        <v>-86.41</v>
      </c>
      <c r="E10" s="6">
        <f t="shared" ref="E10:E20" si="1">+D10+C10</f>
        <v>992.0100000000001</v>
      </c>
      <c r="F10" s="114">
        <f>+'Res''l &amp; MF Customers'!D$18</f>
        <v>0.56012389165553267</v>
      </c>
      <c r="G10" s="6">
        <f t="shared" ref="G10:G20" si="2">-F10*E10</f>
        <v>-555.64850176120501</v>
      </c>
      <c r="H10" s="6">
        <f t="shared" si="0"/>
        <v>436.36149823879509</v>
      </c>
    </row>
    <row r="11" spans="1:8" x14ac:dyDescent="0.2">
      <c r="A11" t="s">
        <v>8</v>
      </c>
      <c r="C11" s="2">
        <f>+Composition!F$16-D11</f>
        <v>1147.4100000000001</v>
      </c>
      <c r="D11" s="6">
        <f>-Composition!F$18</f>
        <v>-108.28</v>
      </c>
      <c r="E11" s="6">
        <f t="shared" si="1"/>
        <v>1039.1300000000001</v>
      </c>
      <c r="F11" s="114">
        <f>+'Res''l &amp; MF Customers'!E$18</f>
        <v>0.560070742393183</v>
      </c>
      <c r="G11" s="6">
        <f t="shared" si="2"/>
        <v>-581.98631054302825</v>
      </c>
      <c r="H11" s="6">
        <f t="shared" si="0"/>
        <v>457.14368945697186</v>
      </c>
    </row>
    <row r="12" spans="1:8" x14ac:dyDescent="0.2">
      <c r="A12" t="s">
        <v>9</v>
      </c>
      <c r="C12" s="2">
        <f>+Composition!H$16-D12</f>
        <v>1129.72</v>
      </c>
      <c r="D12" s="6">
        <f>-Composition!H$18</f>
        <v>-101.92</v>
      </c>
      <c r="E12" s="6">
        <f t="shared" si="1"/>
        <v>1027.8</v>
      </c>
      <c r="F12" s="114">
        <f>+'Res''l &amp; MF Customers'!F$18</f>
        <v>0.55890162945081467</v>
      </c>
      <c r="G12" s="6">
        <f t="shared" si="2"/>
        <v>-574.43909474954728</v>
      </c>
      <c r="H12" s="6">
        <f t="shared" si="0"/>
        <v>453.36090525045267</v>
      </c>
    </row>
    <row r="13" spans="1:8" x14ac:dyDescent="0.2">
      <c r="A13" t="s">
        <v>10</v>
      </c>
      <c r="C13" s="2">
        <f>+Composition!J$16-D13</f>
        <v>1072.4899999999998</v>
      </c>
      <c r="D13" s="6">
        <f>-Composition!J$18</f>
        <v>-81.36</v>
      </c>
      <c r="E13" s="6">
        <f t="shared" si="1"/>
        <v>991.12999999999977</v>
      </c>
      <c r="F13" s="114">
        <f>+'Res''l &amp; MF Customers'!G$18</f>
        <v>0.56049725423933383</v>
      </c>
      <c r="G13" s="6">
        <f t="shared" si="2"/>
        <v>-555.52564359423081</v>
      </c>
      <c r="H13" s="6">
        <f t="shared" si="0"/>
        <v>435.60435640576895</v>
      </c>
    </row>
    <row r="14" spans="1:8" x14ac:dyDescent="0.2">
      <c r="A14" t="s">
        <v>11</v>
      </c>
      <c r="C14" s="2">
        <f>+Composition!L$16-D14</f>
        <v>1075.82</v>
      </c>
      <c r="D14" s="6">
        <f>-Composition!L$18</f>
        <v>-89.03</v>
      </c>
      <c r="E14" s="6">
        <f t="shared" si="1"/>
        <v>986.79</v>
      </c>
      <c r="F14" s="114">
        <f>+'Res''l &amp; MF Customers'!H$18</f>
        <v>0.56079015127132281</v>
      </c>
      <c r="G14" s="6">
        <f t="shared" si="2"/>
        <v>-553.38211337302857</v>
      </c>
      <c r="H14" s="6">
        <f t="shared" si="0"/>
        <v>433.40788662697139</v>
      </c>
    </row>
    <row r="15" spans="1:8" x14ac:dyDescent="0.2">
      <c r="A15" t="s">
        <v>12</v>
      </c>
      <c r="C15" s="2">
        <f>+Composition!N$16-D15</f>
        <v>1224.5300000000002</v>
      </c>
      <c r="D15" s="6">
        <f>-Composition!N$18</f>
        <v>-124.21</v>
      </c>
      <c r="E15" s="6">
        <f t="shared" si="1"/>
        <v>1100.3200000000002</v>
      </c>
      <c r="F15" s="114">
        <f>+'Res''l &amp; MF Customers'!I$18</f>
        <v>0.56004441752473255</v>
      </c>
      <c r="G15" s="6">
        <f t="shared" si="2"/>
        <v>-616.22807349081381</v>
      </c>
      <c r="H15" s="6">
        <f t="shared" si="0"/>
        <v>484.09192650918635</v>
      </c>
    </row>
    <row r="16" spans="1:8" x14ac:dyDescent="0.2">
      <c r="A16" s="64" t="s">
        <v>106</v>
      </c>
      <c r="C16" s="2">
        <f>+Composition!P$16-D16</f>
        <v>1208.06</v>
      </c>
      <c r="D16" s="6">
        <f>-Composition!P$18</f>
        <v>-129.62</v>
      </c>
      <c r="E16" s="6">
        <f t="shared" si="1"/>
        <v>1078.44</v>
      </c>
      <c r="F16" s="114">
        <f>+'Res''l &amp; MF Customers'!J$18</f>
        <v>0.56140669085046357</v>
      </c>
      <c r="G16" s="6">
        <f t="shared" si="2"/>
        <v>-605.44343168077398</v>
      </c>
      <c r="H16" s="6">
        <f t="shared" si="0"/>
        <v>472.99656831922607</v>
      </c>
    </row>
    <row r="17" spans="1:28" x14ac:dyDescent="0.2">
      <c r="A17" t="s">
        <v>15</v>
      </c>
      <c r="C17" s="2">
        <f>+Composition!R$16-D17</f>
        <v>969.2399999999999</v>
      </c>
      <c r="D17" s="6">
        <f>-Composition!R$18</f>
        <v>-86.67</v>
      </c>
      <c r="E17" s="6">
        <f t="shared" si="1"/>
        <v>882.56999999999994</v>
      </c>
      <c r="F17" s="114">
        <f>+'Res''l &amp; MF Customers'!K$18</f>
        <v>0.56171375748563168</v>
      </c>
      <c r="G17" s="6">
        <f t="shared" si="2"/>
        <v>-495.75171094409393</v>
      </c>
      <c r="H17" s="6">
        <f t="shared" si="0"/>
        <v>386.81828905590601</v>
      </c>
    </row>
    <row r="18" spans="1:28" x14ac:dyDescent="0.2">
      <c r="A18" t="s">
        <v>13</v>
      </c>
      <c r="C18" s="2">
        <f>+Composition!T$16-D18</f>
        <v>1196.45</v>
      </c>
      <c r="D18" s="6">
        <f>-Composition!T$18</f>
        <v>-105.66</v>
      </c>
      <c r="E18" s="6">
        <f t="shared" si="1"/>
        <v>1090.79</v>
      </c>
      <c r="F18" s="114">
        <f>+'Res''l &amp; MF Customers'!L$18</f>
        <v>0.55978587754120057</v>
      </c>
      <c r="G18" s="6">
        <f t="shared" si="2"/>
        <v>-610.60883736316612</v>
      </c>
      <c r="H18" s="6">
        <f t="shared" si="0"/>
        <v>480.18116263683385</v>
      </c>
    </row>
    <row r="19" spans="1:28" x14ac:dyDescent="0.2">
      <c r="A19" t="s">
        <v>14</v>
      </c>
      <c r="C19" s="2">
        <f>+Composition!V$16-D19</f>
        <v>1074.81</v>
      </c>
      <c r="D19" s="6">
        <f>-Composition!V$18</f>
        <v>-101.85</v>
      </c>
      <c r="E19" s="6">
        <f t="shared" si="1"/>
        <v>972.95999999999992</v>
      </c>
      <c r="F19" s="114">
        <f>+'Res''l &amp; MF Customers'!M$18</f>
        <v>0.56052893219327893</v>
      </c>
      <c r="G19" s="6">
        <f t="shared" si="2"/>
        <v>-545.37222986677261</v>
      </c>
      <c r="H19" s="6">
        <f t="shared" si="0"/>
        <v>427.58777013322731</v>
      </c>
      <c r="I19" s="6"/>
    </row>
    <row r="20" spans="1:28" ht="15" x14ac:dyDescent="0.35">
      <c r="A20" t="s">
        <v>2</v>
      </c>
      <c r="C20" s="12">
        <f>+Composition!X$16-D20</f>
        <v>1198.0800000000002</v>
      </c>
      <c r="D20" s="7">
        <f>-Composition!X$18</f>
        <v>-105.34</v>
      </c>
      <c r="E20" s="28">
        <f t="shared" si="1"/>
        <v>1092.7400000000002</v>
      </c>
      <c r="F20" s="116">
        <f>+'Res''l &amp; MF Customers'!N$18</f>
        <v>0.56098718557190319</v>
      </c>
      <c r="G20" s="7">
        <f t="shared" si="2"/>
        <v>-613.01313716184166</v>
      </c>
      <c r="H20" s="7">
        <f t="shared" si="0"/>
        <v>479.72686283815858</v>
      </c>
    </row>
    <row r="21" spans="1:28" ht="15" x14ac:dyDescent="0.35">
      <c r="C21" s="15">
        <f>SUM(C9:C20)</f>
        <v>13547.859999999999</v>
      </c>
      <c r="D21" s="15">
        <f>SUM(D9:D20)</f>
        <v>-1217.6799999999998</v>
      </c>
      <c r="E21" s="15">
        <f>SUM(E9:E20)</f>
        <v>12330.179999999998</v>
      </c>
      <c r="F21" s="101">
        <f>-G21/E21</f>
        <v>0.56033785072534692</v>
      </c>
      <c r="G21" s="15">
        <f>SUM(G9:G20)</f>
        <v>-6909.0665602566578</v>
      </c>
      <c r="H21" s="15">
        <f>SUM(H9:H20)</f>
        <v>5421.1134397433434</v>
      </c>
    </row>
    <row r="23" spans="1:28" x14ac:dyDescent="0.2">
      <c r="C23" s="132" t="s">
        <v>41</v>
      </c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42</v>
      </c>
      <c r="D25" s="24" t="s">
        <v>43</v>
      </c>
      <c r="E25" s="24"/>
      <c r="F25" s="24" t="s">
        <v>44</v>
      </c>
      <c r="G25" s="24" t="s">
        <v>45</v>
      </c>
      <c r="H25" s="24"/>
      <c r="I25" s="24"/>
      <c r="J25" s="24" t="s">
        <v>0</v>
      </c>
      <c r="K25" s="24" t="s">
        <v>0</v>
      </c>
      <c r="L25" s="24" t="s">
        <v>46</v>
      </c>
      <c r="N25" s="100"/>
    </row>
    <row r="26" spans="1:28" x14ac:dyDescent="0.2">
      <c r="C26" s="25" t="s">
        <v>47</v>
      </c>
      <c r="D26" s="25" t="s">
        <v>48</v>
      </c>
      <c r="E26" s="25" t="s">
        <v>24</v>
      </c>
      <c r="F26" s="25" t="s">
        <v>22</v>
      </c>
      <c r="G26" s="25" t="s">
        <v>23</v>
      </c>
      <c r="H26" s="25" t="s">
        <v>16</v>
      </c>
      <c r="I26" s="25" t="s">
        <v>1</v>
      </c>
      <c r="J26" s="25" t="s">
        <v>49</v>
      </c>
      <c r="K26" s="25" t="s">
        <v>50</v>
      </c>
      <c r="L26" s="25" t="s">
        <v>51</v>
      </c>
      <c r="M26" s="31"/>
      <c r="N26" s="31"/>
    </row>
    <row r="27" spans="1:28" x14ac:dyDescent="0.2">
      <c r="A27" s="3" t="s">
        <v>54</v>
      </c>
      <c r="B27" s="3"/>
      <c r="C27"/>
    </row>
    <row r="28" spans="1:28" x14ac:dyDescent="0.2">
      <c r="A28" t="s">
        <v>37</v>
      </c>
      <c r="C28" s="26">
        <f>+Composition!C$6</f>
        <v>0.40945606694560677</v>
      </c>
      <c r="D28" s="26">
        <f>+Composition!C$7</f>
        <v>2.2622036262203628E-2</v>
      </c>
      <c r="E28" s="26">
        <f>+Composition!C$8</f>
        <v>0.3167364016736402</v>
      </c>
      <c r="F28" s="26">
        <f>+Composition!C$9</f>
        <v>1.1204091120409114E-2</v>
      </c>
      <c r="G28" s="26">
        <f>+Composition!$C$11</f>
        <v>1.9516503951650398E-2</v>
      </c>
      <c r="H28" s="26">
        <f>+Composition!$C$10</f>
        <v>0.16990237099023714</v>
      </c>
      <c r="I28" s="26">
        <f>+Composition!C$12</f>
        <v>3.116689911668992E-2</v>
      </c>
      <c r="J28" s="26">
        <f>+Composition!C$13</f>
        <v>8.4239888423988871E-3</v>
      </c>
      <c r="K28" s="26">
        <f>+Composition!C$14</f>
        <v>1.0088331008833103E-2</v>
      </c>
      <c r="L28" s="26">
        <f>+Composition!C$15</f>
        <v>8.8331008833100895E-4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7</v>
      </c>
      <c r="C29" s="26">
        <f>+Composition!E$6</f>
        <v>0.37834296025241682</v>
      </c>
      <c r="D29" s="26">
        <f>+Composition!E$7</f>
        <v>2.3850566022519934E-2</v>
      </c>
      <c r="E29" s="26">
        <f>+Composition!E$8</f>
        <v>0.35703269120270964</v>
      </c>
      <c r="F29" s="26">
        <f>+Composition!E$9</f>
        <v>1.037287930565216E-2</v>
      </c>
      <c r="G29" s="26">
        <f>+Composition!$E$11</f>
        <v>1.8659086097922401E-2</v>
      </c>
      <c r="H29" s="26">
        <f>+Composition!$E$10</f>
        <v>0.16990756141571156</v>
      </c>
      <c r="I29" s="26">
        <f>+Composition!E$12</f>
        <v>2.6380782451789802E-2</v>
      </c>
      <c r="J29" s="26">
        <f>+Composition!E$13</f>
        <v>6.8446890656344191E-3</v>
      </c>
      <c r="K29" s="26">
        <f>+Composition!E$14</f>
        <v>8.3870122276993187E-3</v>
      </c>
      <c r="L29" s="26">
        <f>+Composition!E$15</f>
        <v>2.2177195794397233E-4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8</v>
      </c>
      <c r="C30" s="26">
        <f>+Composition!G$6</f>
        <v>0.38847882363130692</v>
      </c>
      <c r="D30" s="26">
        <f>+Composition!G$7</f>
        <v>3.1670724548420306E-2</v>
      </c>
      <c r="E30" s="26">
        <f>+Composition!G$8</f>
        <v>0.3518809003685775</v>
      </c>
      <c r="F30" s="26">
        <f>+Composition!G$9</f>
        <v>1.2308373350783827E-2</v>
      </c>
      <c r="G30" s="26">
        <f>+Composition!$G$11</f>
        <v>1.9920510426991809E-2</v>
      </c>
      <c r="H30" s="26">
        <f>+Composition!$G$10</f>
        <v>0.14269629401518577</v>
      </c>
      <c r="I30" s="26">
        <f>+Composition!G$12</f>
        <v>3.4134323905574852E-2</v>
      </c>
      <c r="J30" s="26">
        <f>+Composition!G$13</f>
        <v>8.3916353103076612E-3</v>
      </c>
      <c r="K30" s="26">
        <f>+Composition!G$14</f>
        <v>7.9489573008189526E-3</v>
      </c>
      <c r="L30" s="26">
        <f>+Composition!G$15</f>
        <v>2.5694571420322768E-3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9</v>
      </c>
      <c r="C31" s="26">
        <f>+Composition!I$6</f>
        <v>0.38027826425374589</v>
      </c>
      <c r="D31" s="26">
        <f>+Composition!I$7</f>
        <v>3.208795485503016E-2</v>
      </c>
      <c r="E31" s="26">
        <f>+Composition!I$8</f>
        <v>0.35041836933255499</v>
      </c>
      <c r="F31" s="26">
        <f>+Composition!I$9</f>
        <v>1.2589998054096128E-2</v>
      </c>
      <c r="G31" s="26">
        <f>+Composition!$I$11</f>
        <v>2.1502237789453205E-2</v>
      </c>
      <c r="H31" s="26">
        <f>+Composition!$I$10</f>
        <v>0.1508659272231952</v>
      </c>
      <c r="I31" s="26">
        <f>+Composition!I$12</f>
        <v>3.208795485503016E-2</v>
      </c>
      <c r="J31" s="26">
        <f>+Composition!I$13</f>
        <v>9.1360186806771753E-3</v>
      </c>
      <c r="K31" s="26">
        <f>+Composition!I$14</f>
        <v>8.3576571317376929E-3</v>
      </c>
      <c r="L31" s="26">
        <f>+Composition!I$15</f>
        <v>2.6756178244794707E-3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10</v>
      </c>
      <c r="C32" s="26">
        <f>+Composition!K$6</f>
        <v>0.41362888823867711</v>
      </c>
      <c r="D32" s="26">
        <f>+Composition!K$7</f>
        <v>3.2306559179925948E-2</v>
      </c>
      <c r="E32" s="26">
        <f>+Composition!K$8</f>
        <v>0.29263567846801131</v>
      </c>
      <c r="F32" s="26">
        <f>+Composition!K$9</f>
        <v>1.1865244720672364E-2</v>
      </c>
      <c r="G32" s="26">
        <f>+Composition!$K$11</f>
        <v>2.4063442737077886E-2</v>
      </c>
      <c r="H32" s="26">
        <f>+Composition!$K$10</f>
        <v>0.17055280336585515</v>
      </c>
      <c r="I32" s="26">
        <f>+Composition!K$12</f>
        <v>3.2195574748014898E-2</v>
      </c>
      <c r="J32" s="26">
        <f>+Composition!K$13</f>
        <v>1.0987458759194053E-2</v>
      </c>
      <c r="K32" s="26">
        <f>+Composition!K$14</f>
        <v>8.4650853066701656E-3</v>
      </c>
      <c r="L32" s="26">
        <f>+Composition!K$15</f>
        <v>3.2992644759012443E-3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11</v>
      </c>
      <c r="C33" s="26">
        <f>+Composition!M$6</f>
        <v>0.42647371781230048</v>
      </c>
      <c r="D33" s="26">
        <f>+Composition!M$7</f>
        <v>3.8366825768400573E-2</v>
      </c>
      <c r="E33" s="26">
        <f>+Composition!M$8</f>
        <v>0.29820934545343991</v>
      </c>
      <c r="F33" s="26">
        <f>+Composition!M$9</f>
        <v>1.0397348980026146E-2</v>
      </c>
      <c r="G33" s="26">
        <f>+Composition!$M$11</f>
        <v>2.5213064583143322E-2</v>
      </c>
      <c r="H33" s="26">
        <f>+Composition!$M$10</f>
        <v>0.15292007417991671</v>
      </c>
      <c r="I33" s="26">
        <f>+Composition!M$12</f>
        <v>2.8080949340791861E-2</v>
      </c>
      <c r="J33" s="26">
        <f>+Composition!M$13</f>
        <v>9.6170411131041057E-3</v>
      </c>
      <c r="K33" s="26">
        <f>+Composition!M$14</f>
        <v>8.4009769049139121E-3</v>
      </c>
      <c r="L33" s="26">
        <f>+Composition!M$15</f>
        <v>2.3206558639629507E-3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12</v>
      </c>
      <c r="C34" s="26">
        <f>+Composition!O$6</f>
        <v>0.4549312927148465</v>
      </c>
      <c r="D34" s="26">
        <f>+Composition!O$7</f>
        <v>3.7925330812854437E-2</v>
      </c>
      <c r="E34" s="26">
        <f>+Composition!O$8</f>
        <v>0.28576232368765447</v>
      </c>
      <c r="F34" s="26">
        <f>+Composition!O$9</f>
        <v>1.0242474916387958E-2</v>
      </c>
      <c r="G34" s="26">
        <f>+Composition!$O$11</f>
        <v>2.3520430420241378E-2</v>
      </c>
      <c r="H34" s="26">
        <f>+Composition!$O$10</f>
        <v>0.14530318452813723</v>
      </c>
      <c r="I34" s="26">
        <f>+Composition!O$12</f>
        <v>2.4647375309001015E-2</v>
      </c>
      <c r="J34" s="26">
        <f>+Composition!O$13</f>
        <v>8.3248509524501951E-3</v>
      </c>
      <c r="K34" s="26">
        <f>+Composition!O$14</f>
        <v>6.4163152537443638E-3</v>
      </c>
      <c r="L34" s="26">
        <f>+Composition!O$15</f>
        <v>2.926421404682274E-3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38</v>
      </c>
      <c r="C35" s="26">
        <f>+Composition!Q$6</f>
        <v>0.37528281591929086</v>
      </c>
      <c r="D35" s="26">
        <f>+Composition!Q$7</f>
        <v>4.6020177293127108E-2</v>
      </c>
      <c r="E35" s="26">
        <f>+Composition!Q$8</f>
        <v>0.32508067208189606</v>
      </c>
      <c r="F35" s="26">
        <f>+Composition!Q$9</f>
        <v>1.051518860576388E-2</v>
      </c>
      <c r="G35" s="26">
        <f>+Composition!$Q$11</f>
        <v>2.7474871110122027E-2</v>
      </c>
      <c r="H35" s="26">
        <f>+Composition!$Q$10</f>
        <v>0.16825229034531358</v>
      </c>
      <c r="I35" s="26">
        <f>+Composition!Q$12</f>
        <v>2.7706687437409588E-2</v>
      </c>
      <c r="J35" s="26">
        <f>+Composition!Q$13</f>
        <v>9.606468602796632E-3</v>
      </c>
      <c r="K35" s="26">
        <f>+Composition!Q$14</f>
        <v>7.01012573717592E-3</v>
      </c>
      <c r="L35" s="26">
        <f>+Composition!Q$15</f>
        <v>3.0507028671043356E-3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15</v>
      </c>
      <c r="C36" s="26">
        <f>+Composition!S$6</f>
        <v>0.3880598706051645</v>
      </c>
      <c r="D36" s="26">
        <f>+Composition!S$7</f>
        <v>5.4307307069127668E-2</v>
      </c>
      <c r="E36" s="26">
        <f>+Composition!S$8</f>
        <v>0.31966869483440408</v>
      </c>
      <c r="F36" s="26">
        <f>+Composition!S$9</f>
        <v>1.0639382711852885E-2</v>
      </c>
      <c r="G36" s="26">
        <f>+Composition!$S$11</f>
        <v>2.5493728542778479E-2</v>
      </c>
      <c r="H36" s="26">
        <f>+Composition!$S$10</f>
        <v>0.14963119072708114</v>
      </c>
      <c r="I36" s="26">
        <f>+Composition!S$12</f>
        <v>3.1362951380627037E-2</v>
      </c>
      <c r="J36" s="26">
        <f>+Composition!S$13</f>
        <v>1.0526077251662757E-2</v>
      </c>
      <c r="K36" s="26">
        <f>+Composition!S$14</f>
        <v>6.8776414335406828E-3</v>
      </c>
      <c r="L36" s="26">
        <f>+Composition!S$15</f>
        <v>3.4331554437608347E-3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13</v>
      </c>
      <c r="C37" s="26">
        <f>+Composition!U$6</f>
        <v>0.40452332712987837</v>
      </c>
      <c r="D37" s="26">
        <f>+Composition!U$7</f>
        <v>3.8568377047827722E-2</v>
      </c>
      <c r="E37" s="26">
        <f>+Composition!U$8</f>
        <v>0.33514241971415215</v>
      </c>
      <c r="F37" s="26">
        <f>+Composition!U$9</f>
        <v>1.0194446227046452E-2</v>
      </c>
      <c r="G37" s="26">
        <f>+Composition!$U$11</f>
        <v>2.4046791774768747E-2</v>
      </c>
      <c r="H37" s="26">
        <f>+Composition!$U$10</f>
        <v>0.13709329935184592</v>
      </c>
      <c r="I37" s="26">
        <f>+Composition!U$12</f>
        <v>2.9813254613628659E-2</v>
      </c>
      <c r="J37" s="26">
        <f>+Composition!U$13</f>
        <v>9.5343741691801369E-3</v>
      </c>
      <c r="K37" s="26">
        <f>+Composition!U$14</f>
        <v>6.9857626124185225E-3</v>
      </c>
      <c r="L37" s="26">
        <f>+Composition!U$15</f>
        <v>4.0979473592533851E-3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14</v>
      </c>
      <c r="C38" s="26">
        <f>+Composition!W$6</f>
        <v>0.39906059858575887</v>
      </c>
      <c r="D38" s="26">
        <f>+Composition!W$7</f>
        <v>2.9158444334813353E-2</v>
      </c>
      <c r="E38" s="26">
        <f>+Composition!W$8</f>
        <v>0.34799991777668143</v>
      </c>
      <c r="F38" s="26">
        <f>+Composition!W$9</f>
        <v>1.1398207531655977E-2</v>
      </c>
      <c r="G38" s="26">
        <f>+Composition!$W$11</f>
        <v>2.5581729978621938E-2</v>
      </c>
      <c r="H38" s="26">
        <f>+Composition!$W$10</f>
        <v>0.13082757770103601</v>
      </c>
      <c r="I38" s="26">
        <f>+Composition!W$12</f>
        <v>3.3629337280052622E-2</v>
      </c>
      <c r="J38" s="26">
        <f>+Composition!W$13</f>
        <v>1.0277914816642E-2</v>
      </c>
      <c r="K38" s="26">
        <f>+Composition!W$14</f>
        <v>7.934550238447623E-3</v>
      </c>
      <c r="L38" s="26">
        <f>+Composition!W$15</f>
        <v>4.1317217562900832E-3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">
        <f>+Composition!Y$6</f>
        <v>0.40505518238556282</v>
      </c>
      <c r="D39" s="26">
        <f>+Composition!Y$7</f>
        <v>3.8472097662756E-2</v>
      </c>
      <c r="E39" s="26">
        <f>+Composition!Y$8</f>
        <v>0.32296795212035795</v>
      </c>
      <c r="F39" s="26">
        <f>+Composition!Y$9</f>
        <v>1.1402529421454324E-2</v>
      </c>
      <c r="G39" s="26">
        <f>+Composition!$Y$11</f>
        <v>2.4040485385361562E-2</v>
      </c>
      <c r="H39" s="26">
        <f>+Composition!$Y$10</f>
        <v>0.14147006607244172</v>
      </c>
      <c r="I39" s="26">
        <f>+Composition!Y$12</f>
        <v>3.4216739572084841E-2</v>
      </c>
      <c r="J39" s="26">
        <f>+Composition!Y$13</f>
        <v>1.0514852572432598E-2</v>
      </c>
      <c r="K39" s="26">
        <f>+Composition!Y$14</f>
        <v>8.5015648736204378E-3</v>
      </c>
      <c r="L39" s="26">
        <f>+Composition!Y$15</f>
        <v>3.3585299339275575E-3</v>
      </c>
      <c r="M39" s="26"/>
      <c r="N39" s="26"/>
      <c r="O39" s="26"/>
      <c r="P39" s="26"/>
      <c r="Q39" s="26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x14ac:dyDescent="0.2">
      <c r="C40"/>
      <c r="N40" s="26"/>
      <c r="R40" s="29"/>
    </row>
    <row r="41" spans="1:28" x14ac:dyDescent="0.2">
      <c r="A41" s="3" t="s">
        <v>55</v>
      </c>
      <c r="B41" s="3"/>
      <c r="C41"/>
      <c r="R41" s="29"/>
    </row>
    <row r="42" spans="1:28" x14ac:dyDescent="0.2">
      <c r="A42" t="s">
        <v>37</v>
      </c>
      <c r="C42" s="18">
        <f>+Prices!B7</f>
        <v>82.97</v>
      </c>
      <c r="D42" s="18">
        <f>+Prices!C7</f>
        <v>46</v>
      </c>
      <c r="E42" s="18">
        <f>+Prices!D7</f>
        <v>103.02</v>
      </c>
      <c r="F42" s="18">
        <f>+Prices!E7</f>
        <v>1091.93</v>
      </c>
      <c r="G42" s="18">
        <f>+Prices!F7</f>
        <v>75.489999999999995</v>
      </c>
      <c r="H42" s="18">
        <f>+Prices!G7</f>
        <v>-53.34</v>
      </c>
      <c r="I42" s="18">
        <f>+Prices!H7</f>
        <v>152.80000000000001</v>
      </c>
      <c r="J42" s="18">
        <f>+Prices!I7</f>
        <v>667.02</v>
      </c>
      <c r="K42" s="18">
        <f>+Prices!J7</f>
        <v>467</v>
      </c>
      <c r="L42" s="18">
        <f>+Prices!K7</f>
        <v>-46.86</v>
      </c>
      <c r="O42" s="18"/>
      <c r="P42" s="18"/>
      <c r="R42" s="29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7</v>
      </c>
      <c r="C43" s="18">
        <f>+Prices!B8</f>
        <v>91.48</v>
      </c>
      <c r="D43" s="18">
        <f>+Prices!C8</f>
        <v>51</v>
      </c>
      <c r="E43" s="18">
        <f>+Prices!D8</f>
        <v>116.01</v>
      </c>
      <c r="F43" s="18">
        <f>+Prices!E8</f>
        <v>1096.72</v>
      </c>
      <c r="G43" s="18">
        <f>+Prices!F8</f>
        <v>74.349999999999994</v>
      </c>
      <c r="H43" s="18">
        <f>+Prices!G8</f>
        <v>-53.34</v>
      </c>
      <c r="I43" s="18">
        <f>+Prices!H8</f>
        <v>157.33000000000001</v>
      </c>
      <c r="J43" s="18">
        <f>+Prices!I8</f>
        <v>657</v>
      </c>
      <c r="K43" s="18">
        <f>+Prices!J8</f>
        <v>462</v>
      </c>
      <c r="L43" s="18">
        <f>+Prices!K8</f>
        <v>-46.86</v>
      </c>
      <c r="O43" s="18"/>
      <c r="P43" s="18"/>
      <c r="R43" s="29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8</v>
      </c>
      <c r="C44" s="18">
        <f>+Prices!B9</f>
        <v>101.62</v>
      </c>
      <c r="D44" s="18">
        <f>+Prices!C9</f>
        <v>61</v>
      </c>
      <c r="E44" s="18">
        <f>+Prices!D9</f>
        <v>125.53</v>
      </c>
      <c r="F44" s="18">
        <f>+Prices!E9</f>
        <v>1112.1300000000001</v>
      </c>
      <c r="G44" s="18">
        <f>+Prices!F9</f>
        <v>91.55</v>
      </c>
      <c r="H44" s="18">
        <f>+Prices!G9</f>
        <v>-53.34</v>
      </c>
      <c r="I44" s="18">
        <f>+Prices!H9</f>
        <v>167</v>
      </c>
      <c r="J44" s="18">
        <f>+Prices!I9</f>
        <v>607</v>
      </c>
      <c r="K44" s="18">
        <f>+Prices!J9</f>
        <v>402</v>
      </c>
      <c r="L44" s="18">
        <f>+Prices!K9</f>
        <v>-46.86</v>
      </c>
      <c r="O44" s="18"/>
      <c r="P44" s="18"/>
      <c r="R44" s="29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9</v>
      </c>
      <c r="C45" s="18">
        <f>+Prices!B10</f>
        <v>104.33</v>
      </c>
      <c r="D45" s="18">
        <f>+Prices!C10</f>
        <v>42</v>
      </c>
      <c r="E45" s="18">
        <f>+Prices!D10</f>
        <v>126.80000000000001</v>
      </c>
      <c r="F45" s="18">
        <f>+Prices!E10</f>
        <v>1085.68</v>
      </c>
      <c r="G45" s="18">
        <f>+Prices!F10</f>
        <v>105.8</v>
      </c>
      <c r="H45" s="18">
        <f>+Prices!G10</f>
        <v>-53.34</v>
      </c>
      <c r="I45" s="18">
        <f>+Prices!H10</f>
        <v>151.4</v>
      </c>
      <c r="J45" s="18">
        <f>+Prices!I10</f>
        <v>497</v>
      </c>
      <c r="K45" s="18">
        <f>+Prices!J10</f>
        <v>387</v>
      </c>
      <c r="L45" s="18">
        <f>+Prices!K10</f>
        <v>-51.96</v>
      </c>
      <c r="O45" s="18"/>
      <c r="P45" s="18"/>
      <c r="R45" s="29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10</v>
      </c>
      <c r="C46" s="18">
        <f>+Prices!B11</f>
        <v>101.72</v>
      </c>
      <c r="D46" s="18">
        <f>+Prices!C11</f>
        <v>39.5</v>
      </c>
      <c r="E46" s="18">
        <f>+Prices!D11</f>
        <v>115.35</v>
      </c>
      <c r="F46" s="18">
        <f>+Prices!E11</f>
        <v>1171.32</v>
      </c>
      <c r="G46" s="18">
        <f>+Prices!F11</f>
        <v>80.400000000000006</v>
      </c>
      <c r="H46" s="18">
        <f>+Prices!G11</f>
        <v>-53.34</v>
      </c>
      <c r="I46" s="18">
        <f>+Prices!H11</f>
        <v>128</v>
      </c>
      <c r="J46" s="18">
        <f>+Prices!I11</f>
        <v>477</v>
      </c>
      <c r="K46" s="18">
        <f>+Prices!J11</f>
        <v>477</v>
      </c>
      <c r="L46" s="18">
        <f>+Prices!K11</f>
        <v>-68.180000000000007</v>
      </c>
      <c r="O46" s="18"/>
      <c r="P46" s="18"/>
      <c r="R46" s="29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11</v>
      </c>
      <c r="C47" s="18">
        <f>+Prices!B12</f>
        <v>107.55</v>
      </c>
      <c r="D47" s="18">
        <f>+Prices!C12</f>
        <v>49.5</v>
      </c>
      <c r="E47" s="18">
        <f>+Prices!D12</f>
        <v>127.13999999999999</v>
      </c>
      <c r="F47" s="18">
        <f>+Prices!E12</f>
        <v>1227.23</v>
      </c>
      <c r="G47" s="18">
        <f>+Prices!F12</f>
        <v>91.36</v>
      </c>
      <c r="H47" s="18">
        <f>+Prices!G12</f>
        <v>-53.34</v>
      </c>
      <c r="I47" s="18">
        <f>+Prices!H12</f>
        <v>142.6</v>
      </c>
      <c r="J47" s="18">
        <f>+Prices!I12</f>
        <v>497</v>
      </c>
      <c r="K47" s="18">
        <f>+Prices!J12</f>
        <v>457</v>
      </c>
      <c r="L47" s="18">
        <f>+Prices!K12</f>
        <v>-68.185000000000002</v>
      </c>
      <c r="O47" s="18"/>
      <c r="P47" s="18"/>
      <c r="R47" s="29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12</v>
      </c>
      <c r="C48" s="18">
        <f>+Prices!B13</f>
        <v>111.46</v>
      </c>
      <c r="D48" s="18">
        <f>+Prices!C13</f>
        <v>62.5</v>
      </c>
      <c r="E48" s="18">
        <f>+Prices!D13</f>
        <v>131.1</v>
      </c>
      <c r="F48" s="18">
        <f>+Prices!E13</f>
        <v>1228.4000000000001</v>
      </c>
      <c r="G48" s="18">
        <f>+Prices!F13</f>
        <v>110.13</v>
      </c>
      <c r="H48" s="18">
        <f>+Prices!G13</f>
        <v>-53.34</v>
      </c>
      <c r="I48" s="18">
        <f>+Prices!H13</f>
        <v>132.6</v>
      </c>
      <c r="J48" s="18">
        <f>+Prices!I13</f>
        <v>509</v>
      </c>
      <c r="K48" s="18">
        <f>+Prices!J13</f>
        <v>319</v>
      </c>
      <c r="L48" s="18">
        <f>+Prices!K13</f>
        <v>-68.19</v>
      </c>
      <c r="O48" s="18"/>
      <c r="P48" s="18"/>
      <c r="R48" s="29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38</v>
      </c>
      <c r="C49" s="18">
        <f>+Prices!B14</f>
        <v>118.44</v>
      </c>
      <c r="D49" s="18">
        <f>+Prices!C14</f>
        <v>70.5</v>
      </c>
      <c r="E49" s="18">
        <f>+Prices!D14</f>
        <v>141.28</v>
      </c>
      <c r="F49" s="18">
        <f>+Prices!E14</f>
        <v>1289.5</v>
      </c>
      <c r="G49" s="18">
        <f>+Prices!F14</f>
        <v>124.01</v>
      </c>
      <c r="H49" s="18">
        <f>+Prices!G14</f>
        <v>-53.34</v>
      </c>
      <c r="I49" s="18">
        <f>+Prices!H14</f>
        <v>145.03</v>
      </c>
      <c r="J49" s="18">
        <f>+Prices!I14</f>
        <v>519</v>
      </c>
      <c r="K49" s="18">
        <f>+Prices!J14</f>
        <v>297</v>
      </c>
      <c r="L49" s="18">
        <f>+Prices!K14</f>
        <v>-64.94</v>
      </c>
      <c r="O49" s="18"/>
      <c r="P49" s="18"/>
      <c r="R49" s="29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15</v>
      </c>
      <c r="C50" s="18">
        <f>+Prices!B15</f>
        <v>124.61</v>
      </c>
      <c r="D50" s="18">
        <f>+Prices!C15</f>
        <v>80.5</v>
      </c>
      <c r="E50" s="18">
        <f>+Prices!D15</f>
        <v>161.24</v>
      </c>
      <c r="F50" s="18">
        <f>+Prices!E15</f>
        <v>1336.47</v>
      </c>
      <c r="G50" s="18">
        <f>+Prices!F15</f>
        <v>124.53</v>
      </c>
      <c r="H50" s="18">
        <f>+Prices!G15</f>
        <v>-53.34</v>
      </c>
      <c r="I50" s="18">
        <f>+Prices!H15</f>
        <v>177.9</v>
      </c>
      <c r="J50" s="18">
        <f>+Prices!I15</f>
        <v>601</v>
      </c>
      <c r="K50" s="18">
        <f>+Prices!J15</f>
        <v>307</v>
      </c>
      <c r="L50" s="18">
        <f>+Prices!K15</f>
        <v>-52.72</v>
      </c>
      <c r="O50" s="18"/>
      <c r="P50" s="18"/>
      <c r="R50" s="29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13</v>
      </c>
      <c r="C51" s="18">
        <f>+Prices!B16</f>
        <v>124.93</v>
      </c>
      <c r="D51" s="18">
        <f>+Prices!C16</f>
        <v>80.5</v>
      </c>
      <c r="E51" s="18">
        <f>+Prices!D16</f>
        <v>191.27</v>
      </c>
      <c r="F51" s="18">
        <f>+Prices!E16</f>
        <v>1337.24</v>
      </c>
      <c r="G51" s="18">
        <f>+Prices!F16</f>
        <v>144.66999999999999</v>
      </c>
      <c r="H51" s="18">
        <f>+Prices!G16</f>
        <v>-53.34</v>
      </c>
      <c r="I51" s="18">
        <f>+Prices!H16</f>
        <v>192.87</v>
      </c>
      <c r="J51" s="18">
        <f>+Prices!I16</f>
        <v>648</v>
      </c>
      <c r="K51" s="18">
        <f>+Prices!J16</f>
        <v>379</v>
      </c>
      <c r="L51" s="18">
        <f>+Prices!K16</f>
        <v>-75.81</v>
      </c>
      <c r="O51" s="18"/>
      <c r="P51" s="18"/>
      <c r="R51" s="29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14</v>
      </c>
      <c r="C52" s="18">
        <f>+Prices!B17</f>
        <v>85.6</v>
      </c>
      <c r="D52" s="18">
        <f>+Prices!C17</f>
        <v>38.5</v>
      </c>
      <c r="E52" s="18">
        <f>+Prices!D17</f>
        <v>153.80000000000001</v>
      </c>
      <c r="F52" s="18">
        <f>+Prices!E17</f>
        <v>1292.1500000000001</v>
      </c>
      <c r="G52" s="18">
        <f>+Prices!F17</f>
        <v>135.22999999999999</v>
      </c>
      <c r="H52" s="18">
        <f>+Prices!G17</f>
        <v>-53.34</v>
      </c>
      <c r="I52" s="18">
        <f>+Prices!H17</f>
        <v>183.74</v>
      </c>
      <c r="J52" s="18">
        <f>+Prices!I17</f>
        <v>634.24</v>
      </c>
      <c r="K52" s="18">
        <f>+Prices!J17</f>
        <v>417</v>
      </c>
      <c r="L52" s="18">
        <f>+Prices!K17</f>
        <v>-33</v>
      </c>
      <c r="O52" s="18"/>
      <c r="P52" s="18"/>
      <c r="R52" s="29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18">
        <f>+Prices!B18</f>
        <v>85.72</v>
      </c>
      <c r="D53" s="18">
        <f>+Prices!C18</f>
        <v>-3</v>
      </c>
      <c r="E53" s="18">
        <f>+Prices!D18</f>
        <v>155.78</v>
      </c>
      <c r="F53" s="18">
        <f>+Prices!E18</f>
        <v>1257.9100000000001</v>
      </c>
      <c r="G53" s="18">
        <f>+Prices!F18</f>
        <v>118.86</v>
      </c>
      <c r="H53" s="18">
        <f>+Prices!G18</f>
        <v>-53.34</v>
      </c>
      <c r="I53" s="18">
        <f>+Prices!H18</f>
        <v>154.6</v>
      </c>
      <c r="J53" s="18">
        <f>+Prices!I18</f>
        <v>611.77</v>
      </c>
      <c r="K53" s="18">
        <f>+Prices!J18</f>
        <v>312.86</v>
      </c>
      <c r="L53" s="18">
        <f>+Prices!K18</f>
        <v>-90.6</v>
      </c>
      <c r="O53" s="63"/>
      <c r="P53" s="18"/>
      <c r="R53" s="29"/>
      <c r="S53" s="30"/>
      <c r="T53" s="30"/>
      <c r="U53" s="18"/>
      <c r="V53" s="30"/>
      <c r="W53" s="30"/>
      <c r="X53" s="30"/>
      <c r="Y53" s="30"/>
      <c r="Z53" s="30"/>
    </row>
    <row r="54" spans="1:26" x14ac:dyDescent="0.2">
      <c r="C54" s="64"/>
      <c r="D54" s="64"/>
      <c r="E54" s="64"/>
      <c r="F54" s="64"/>
      <c r="G54" s="64"/>
      <c r="H54" s="64"/>
      <c r="I54" s="64"/>
      <c r="J54" s="64"/>
      <c r="K54" s="64"/>
      <c r="L54" s="64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132" t="s">
        <v>41</v>
      </c>
      <c r="D56" s="132"/>
      <c r="E56" s="132"/>
      <c r="F56" s="132"/>
      <c r="G56" s="132"/>
      <c r="H56" s="132"/>
      <c r="I56" s="132"/>
      <c r="J56" s="132"/>
      <c r="K56" s="132"/>
      <c r="L56" s="132"/>
      <c r="P56" s="4"/>
      <c r="Q56" s="4"/>
      <c r="R56" s="4"/>
      <c r="S56" s="4"/>
      <c r="T56" s="4"/>
      <c r="U56" s="4"/>
    </row>
    <row r="57" spans="1:26" x14ac:dyDescent="0.2">
      <c r="C57" s="24" t="s">
        <v>42</v>
      </c>
      <c r="D57" s="24" t="s">
        <v>43</v>
      </c>
      <c r="E57" s="24"/>
      <c r="F57" s="24" t="s">
        <v>44</v>
      </c>
      <c r="G57" s="24" t="s">
        <v>45</v>
      </c>
      <c r="H57" s="24"/>
      <c r="I57" s="24"/>
      <c r="J57" s="24" t="s">
        <v>0</v>
      </c>
      <c r="K57" s="24" t="s">
        <v>0</v>
      </c>
      <c r="L57" s="24" t="s">
        <v>46</v>
      </c>
      <c r="N57" s="100"/>
      <c r="P57" s="4"/>
      <c r="Q57" s="4"/>
      <c r="R57" s="4"/>
      <c r="S57" s="4"/>
      <c r="T57" s="4"/>
      <c r="U57" s="4"/>
    </row>
    <row r="58" spans="1:26" x14ac:dyDescent="0.2">
      <c r="C58" s="25" t="s">
        <v>47</v>
      </c>
      <c r="D58" s="25" t="s">
        <v>48</v>
      </c>
      <c r="E58" s="25" t="s">
        <v>24</v>
      </c>
      <c r="F58" s="25" t="s">
        <v>22</v>
      </c>
      <c r="G58" s="25" t="s">
        <v>23</v>
      </c>
      <c r="H58" s="25" t="s">
        <v>16</v>
      </c>
      <c r="I58" s="25" t="s">
        <v>1</v>
      </c>
      <c r="J58" s="25" t="s">
        <v>49</v>
      </c>
      <c r="K58" s="25" t="s">
        <v>50</v>
      </c>
      <c r="L58" s="25" t="s">
        <v>51</v>
      </c>
      <c r="M58" s="31" t="s">
        <v>3</v>
      </c>
      <c r="N58" s="31"/>
      <c r="P58" s="4"/>
      <c r="Q58" s="4"/>
      <c r="R58" s="4"/>
      <c r="S58" s="4"/>
      <c r="T58" s="4"/>
      <c r="U58" s="4"/>
    </row>
    <row r="59" spans="1:26" x14ac:dyDescent="0.2">
      <c r="A59" s="3" t="s">
        <v>56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37</v>
      </c>
      <c r="C60" s="2">
        <f t="shared" ref="C60:L60" si="3">+$H9*C28</f>
        <v>194.01360177925821</v>
      </c>
      <c r="D60" s="2">
        <f t="shared" si="3"/>
        <v>10.719056546289147</v>
      </c>
      <c r="E60" s="2">
        <f t="shared" si="3"/>
        <v>150.0800087338018</v>
      </c>
      <c r="F60" s="2">
        <f t="shared" si="3"/>
        <v>5.3088627777552091</v>
      </c>
      <c r="G60" s="2">
        <f t="shared" si="3"/>
        <v>9.2475543323719354</v>
      </c>
      <c r="H60" s="2">
        <f t="shared" si="3"/>
        <v>80.505269326075464</v>
      </c>
      <c r="I60" s="2">
        <f t="shared" si="3"/>
        <v>14.767890482187104</v>
      </c>
      <c r="J60" s="2">
        <f t="shared" si="3"/>
        <v>3.9915598976317179</v>
      </c>
      <c r="K60" s="2">
        <f t="shared" si="3"/>
        <v>4.7801793476053129</v>
      </c>
      <c r="L60" s="2">
        <f t="shared" si="3"/>
        <v>0.41854104886866789</v>
      </c>
      <c r="M60" s="6">
        <f t="shared" ref="M60:M71" si="4">SUM(C60:L60)</f>
        <v>473.83252427184459</v>
      </c>
      <c r="N60" s="2"/>
      <c r="O60" s="6"/>
      <c r="P60" s="80"/>
      <c r="Q60" s="17"/>
      <c r="R60" s="77"/>
      <c r="S60" s="9"/>
      <c r="T60" s="77"/>
      <c r="U60" s="77"/>
      <c r="V60" s="18"/>
      <c r="X60" s="18"/>
    </row>
    <row r="61" spans="1:26" x14ac:dyDescent="0.2">
      <c r="A61" t="s">
        <v>7</v>
      </c>
      <c r="C61" s="2">
        <f t="shared" ref="C61:L61" si="5">+$H10*C29</f>
        <v>165.0943009838455</v>
      </c>
      <c r="D61" s="2">
        <f t="shared" si="5"/>
        <v>10.407468723430098</v>
      </c>
      <c r="E61" s="2">
        <f t="shared" si="5"/>
        <v>155.79532005344345</v>
      </c>
      <c r="F61" s="2">
        <f t="shared" si="5"/>
        <v>4.5263251548645691</v>
      </c>
      <c r="G61" s="2">
        <f t="shared" si="5"/>
        <v>8.1421067654560915</v>
      </c>
      <c r="H61" s="2">
        <f t="shared" si="5"/>
        <v>74.141118061459991</v>
      </c>
      <c r="I61" s="2">
        <f t="shared" si="5"/>
        <v>11.511557755374712</v>
      </c>
      <c r="J61" s="2">
        <f t="shared" si="5"/>
        <v>2.9867587756589336</v>
      </c>
      <c r="K61" s="2">
        <f t="shared" si="5"/>
        <v>3.6597692214259694</v>
      </c>
      <c r="L61" s="2">
        <f t="shared" si="5"/>
        <v>9.6772743835782826E-2</v>
      </c>
      <c r="M61" s="6">
        <f t="shared" si="4"/>
        <v>436.36149823879515</v>
      </c>
      <c r="N61" s="2"/>
      <c r="O61" s="6"/>
      <c r="P61" s="80"/>
      <c r="Q61" s="17"/>
      <c r="R61" s="77"/>
      <c r="S61" s="9"/>
      <c r="T61" s="77"/>
      <c r="U61" s="77"/>
      <c r="V61" s="18"/>
      <c r="X61" s="18"/>
    </row>
    <row r="62" spans="1:26" x14ac:dyDescent="0.2">
      <c r="A62" t="s">
        <v>8</v>
      </c>
      <c r="C62" s="2">
        <f t="shared" ref="C62:L62" si="6">+$H11*C30</f>
        <v>177.59064271071992</v>
      </c>
      <c r="D62" s="2">
        <f t="shared" si="6"/>
        <v>14.478071867840347</v>
      </c>
      <c r="E62" s="2">
        <f t="shared" si="6"/>
        <v>160.86013304393265</v>
      </c>
      <c r="F62" s="2">
        <f t="shared" si="6"/>
        <v>5.62669520479119</v>
      </c>
      <c r="G62" s="2">
        <f t="shared" si="6"/>
        <v>9.1065356324611137</v>
      </c>
      <c r="H62" s="2">
        <f t="shared" si="6"/>
        <v>65.232710317938839</v>
      </c>
      <c r="I62" s="2">
        <f t="shared" si="6"/>
        <v>15.604290767313801</v>
      </c>
      <c r="J62" s="2">
        <f t="shared" si="6"/>
        <v>3.836183126331445</v>
      </c>
      <c r="K62" s="2">
        <f t="shared" si="6"/>
        <v>3.6338156678323084</v>
      </c>
      <c r="L62" s="2">
        <f t="shared" si="6"/>
        <v>1.1746111178102017</v>
      </c>
      <c r="M62" s="6">
        <f t="shared" si="4"/>
        <v>457.1436894569718</v>
      </c>
      <c r="N62" s="2"/>
      <c r="O62" s="6"/>
      <c r="P62" s="80"/>
      <c r="Q62" s="17"/>
      <c r="R62" s="77"/>
      <c r="S62" s="9"/>
      <c r="T62" s="77"/>
      <c r="U62" s="77"/>
      <c r="V62" s="18"/>
    </row>
    <row r="63" spans="1:26" x14ac:dyDescent="0.2">
      <c r="A63" t="s">
        <v>9</v>
      </c>
      <c r="C63" s="2">
        <f t="shared" ref="C63:L63" si="7">+$H12*C31</f>
        <v>172.40329812914911</v>
      </c>
      <c r="D63" s="2">
        <f t="shared" si="7"/>
        <v>14.54742426071213</v>
      </c>
      <c r="E63" s="2">
        <f t="shared" si="7"/>
        <v>158.86598913699459</v>
      </c>
      <c r="F63" s="2">
        <f t="shared" si="7"/>
        <v>5.7078129149064587</v>
      </c>
      <c r="G63" s="2">
        <f t="shared" si="7"/>
        <v>9.7482739891369974</v>
      </c>
      <c r="H63" s="2">
        <f t="shared" si="7"/>
        <v>68.396713337356687</v>
      </c>
      <c r="I63" s="2">
        <f t="shared" si="7"/>
        <v>14.54742426071213</v>
      </c>
      <c r="J63" s="2">
        <f t="shared" si="7"/>
        <v>4.1419136994568504</v>
      </c>
      <c r="K63" s="2">
        <f t="shared" si="7"/>
        <v>3.7890350030175024</v>
      </c>
      <c r="L63" s="2">
        <f t="shared" si="7"/>
        <v>1.2130205190102596</v>
      </c>
      <c r="M63" s="6">
        <f t="shared" si="4"/>
        <v>453.36090525045267</v>
      </c>
      <c r="N63" s="2"/>
      <c r="O63" s="6"/>
      <c r="P63" s="80"/>
      <c r="Q63" s="17"/>
      <c r="R63" s="77"/>
      <c r="S63" s="9"/>
      <c r="T63" s="77"/>
      <c r="U63" s="77"/>
      <c r="V63" s="18"/>
    </row>
    <row r="64" spans="1:26" x14ac:dyDescent="0.2">
      <c r="A64" t="s">
        <v>10</v>
      </c>
      <c r="C64" s="2">
        <f t="shared" ref="C64:L64" si="8">+$H13*C32</f>
        <v>180.17854565204269</v>
      </c>
      <c r="D64" s="2">
        <f t="shared" si="8"/>
        <v>14.072877919256529</v>
      </c>
      <c r="E64" s="2">
        <f t="shared" si="8"/>
        <v>127.4733763804236</v>
      </c>
      <c r="F64" s="2">
        <f t="shared" si="8"/>
        <v>5.168552290145433</v>
      </c>
      <c r="G64" s="2">
        <f t="shared" si="8"/>
        <v>10.482140486391888</v>
      </c>
      <c r="H64" s="2">
        <f t="shared" si="8"/>
        <v>74.293544143383002</v>
      </c>
      <c r="I64" s="2">
        <f t="shared" si="8"/>
        <v>14.024532617222857</v>
      </c>
      <c r="J64" s="2">
        <f t="shared" si="8"/>
        <v>4.7861849013336544</v>
      </c>
      <c r="K64" s="2">
        <f t="shared" si="8"/>
        <v>3.6874280369319887</v>
      </c>
      <c r="L64" s="2">
        <f t="shared" si="8"/>
        <v>1.4371739786373781</v>
      </c>
      <c r="M64" s="6">
        <f t="shared" si="4"/>
        <v>435.60435640576895</v>
      </c>
      <c r="N64" s="2"/>
      <c r="O64" s="6"/>
      <c r="P64" s="80"/>
      <c r="Q64" s="17"/>
      <c r="R64" s="77"/>
      <c r="S64" s="9"/>
      <c r="T64" s="77"/>
      <c r="U64" s="77"/>
      <c r="V64" s="18"/>
    </row>
    <row r="65" spans="1:22" x14ac:dyDescent="0.2">
      <c r="A65" t="s">
        <v>11</v>
      </c>
      <c r="C65" s="2">
        <f t="shared" ref="C65:L65" si="9">+$H14*C33</f>
        <v>184.8370727389765</v>
      </c>
      <c r="D65" s="2">
        <f t="shared" si="9"/>
        <v>16.62848487286772</v>
      </c>
      <c r="E65" s="2">
        <f t="shared" si="9"/>
        <v>129.24628218538783</v>
      </c>
      <c r="F65" s="2">
        <f t="shared" si="9"/>
        <v>4.5062930479562286</v>
      </c>
      <c r="G65" s="2">
        <f t="shared" si="9"/>
        <v>10.927541036369488</v>
      </c>
      <c r="H65" s="2">
        <f t="shared" si="9"/>
        <v>66.276766173157398</v>
      </c>
      <c r="I65" s="2">
        <f t="shared" si="9"/>
        <v>12.170504908271646</v>
      </c>
      <c r="J65" s="2">
        <f t="shared" si="9"/>
        <v>4.1681014644351473</v>
      </c>
      <c r="K65" s="2">
        <f t="shared" si="9"/>
        <v>3.641049645960734</v>
      </c>
      <c r="L65" s="2">
        <f t="shared" si="9"/>
        <v>1.0057905535886709</v>
      </c>
      <c r="M65" s="6">
        <f t="shared" si="4"/>
        <v>433.40788662697133</v>
      </c>
      <c r="N65" s="2"/>
      <c r="O65" s="6"/>
      <c r="P65" s="80"/>
      <c r="Q65" s="17"/>
      <c r="R65" s="77"/>
      <c r="S65" s="9"/>
      <c r="T65" s="77"/>
      <c r="U65" s="77"/>
      <c r="V65" s="18"/>
    </row>
    <row r="66" spans="1:22" x14ac:dyDescent="0.2">
      <c r="A66" t="s">
        <v>12</v>
      </c>
      <c r="C66" s="2">
        <f t="shared" ref="C66:L66" si="10">+$H15*C34</f>
        <v>220.22856591964461</v>
      </c>
      <c r="D66" s="2">
        <f t="shared" si="10"/>
        <v>18.359346456692911</v>
      </c>
      <c r="E66" s="2">
        <f t="shared" si="10"/>
        <v>138.33523379769835</v>
      </c>
      <c r="F66" s="2">
        <f t="shared" si="10"/>
        <v>4.9582994144962642</v>
      </c>
      <c r="G66" s="2">
        <f t="shared" si="10"/>
        <v>11.386050474459921</v>
      </c>
      <c r="H66" s="2">
        <f t="shared" si="10"/>
        <v>70.340098526145752</v>
      </c>
      <c r="I66" s="2">
        <f t="shared" si="10"/>
        <v>11.931595396729254</v>
      </c>
      <c r="J66" s="2">
        <f t="shared" si="10"/>
        <v>4.0299931354734495</v>
      </c>
      <c r="K66" s="2">
        <f t="shared" si="10"/>
        <v>3.106086412275388</v>
      </c>
      <c r="L66" s="2">
        <f t="shared" si="10"/>
        <v>1.4166569755703613</v>
      </c>
      <c r="M66" s="6">
        <f t="shared" si="4"/>
        <v>484.09192650918624</v>
      </c>
      <c r="N66" s="2"/>
      <c r="O66" s="6"/>
      <c r="P66" s="80"/>
      <c r="Q66" s="17"/>
      <c r="R66" s="77"/>
      <c r="S66" s="9"/>
      <c r="T66" s="77"/>
      <c r="U66" s="77"/>
      <c r="V66" s="18"/>
    </row>
    <row r="67" spans="1:22" x14ac:dyDescent="0.2">
      <c r="A67" t="s">
        <v>38</v>
      </c>
      <c r="C67" s="2">
        <f t="shared" ref="C67:L67" si="11">+$H16*C35</f>
        <v>177.50748407900039</v>
      </c>
      <c r="D67" s="2">
        <f t="shared" si="11"/>
        <v>21.767385933091493</v>
      </c>
      <c r="E67" s="2">
        <f t="shared" si="11"/>
        <v>153.76204232164449</v>
      </c>
      <c r="F67" s="2">
        <f t="shared" si="11"/>
        <v>4.9736481257557426</v>
      </c>
      <c r="G67" s="2">
        <f t="shared" si="11"/>
        <v>12.995519750100764</v>
      </c>
      <c r="H67" s="2">
        <f t="shared" si="11"/>
        <v>79.582755945183379</v>
      </c>
      <c r="I67" s="2">
        <f t="shared" si="11"/>
        <v>13.105168077388146</v>
      </c>
      <c r="J67" s="2">
        <f t="shared" si="11"/>
        <v>4.5438266827891978</v>
      </c>
      <c r="K67" s="2">
        <f t="shared" si="11"/>
        <v>3.3157654171704949</v>
      </c>
      <c r="L67" s="2">
        <f t="shared" si="11"/>
        <v>1.4429719871019746</v>
      </c>
      <c r="M67" s="6">
        <f t="shared" si="4"/>
        <v>472.99656831922607</v>
      </c>
      <c r="N67" s="2"/>
      <c r="O67" s="6"/>
      <c r="P67" s="80"/>
      <c r="Q67" s="17"/>
      <c r="R67" s="77"/>
      <c r="S67" s="9"/>
      <c r="T67" s="77"/>
      <c r="U67" s="77"/>
      <c r="V67" s="18"/>
    </row>
    <row r="68" spans="1:22" x14ac:dyDescent="0.2">
      <c r="A68" t="s">
        <v>15</v>
      </c>
      <c r="C68" s="2">
        <f t="shared" ref="C68:L68" si="12">+$H17*C36</f>
        <v>150.10865519874599</v>
      </c>
      <c r="D68" s="2">
        <f t="shared" si="12"/>
        <v>21.007059603713675</v>
      </c>
      <c r="E68" s="2">
        <f t="shared" si="12"/>
        <v>123.65369760057872</v>
      </c>
      <c r="F68" s="2">
        <f t="shared" si="12"/>
        <v>4.1155078172099184</v>
      </c>
      <c r="G68" s="2">
        <f t="shared" si="12"/>
        <v>9.8614404565732876</v>
      </c>
      <c r="H68" s="2">
        <f t="shared" si="12"/>
        <v>57.880081186447477</v>
      </c>
      <c r="I68" s="2">
        <f t="shared" si="12"/>
        <v>12.131763192797715</v>
      </c>
      <c r="J68" s="2">
        <f t="shared" si="12"/>
        <v>4.0716791929584808</v>
      </c>
      <c r="K68" s="2">
        <f t="shared" si="12"/>
        <v>2.6603974920622155</v>
      </c>
      <c r="L68" s="2">
        <f t="shared" si="12"/>
        <v>1.3280073148185358</v>
      </c>
      <c r="M68" s="6">
        <f t="shared" si="4"/>
        <v>386.81828905590601</v>
      </c>
      <c r="N68" s="2"/>
      <c r="O68" s="6"/>
      <c r="P68" s="80"/>
      <c r="Q68" s="17"/>
      <c r="R68" s="77"/>
      <c r="S68" s="9"/>
      <c r="T68" s="77"/>
      <c r="U68" s="77"/>
      <c r="V68" s="18"/>
    </row>
    <row r="69" spans="1:22" x14ac:dyDescent="0.2">
      <c r="A69" t="s">
        <v>13</v>
      </c>
      <c r="C69" s="2">
        <f t="shared" ref="C69:L69" si="13">+$H18*C37</f>
        <v>194.24448153494527</v>
      </c>
      <c r="D69" s="2">
        <f t="shared" si="13"/>
        <v>18.519808131841693</v>
      </c>
      <c r="E69" s="2">
        <f t="shared" si="13"/>
        <v>160.92907674726334</v>
      </c>
      <c r="F69" s="2">
        <f t="shared" si="13"/>
        <v>4.89518104174185</v>
      </c>
      <c r="G69" s="2">
        <f t="shared" si="13"/>
        <v>11.54681643209431</v>
      </c>
      <c r="H69" s="2">
        <f t="shared" si="13"/>
        <v>65.829619872488877</v>
      </c>
      <c r="I69" s="2">
        <f t="shared" si="13"/>
        <v>14.315763262360161</v>
      </c>
      <c r="J69" s="2">
        <f t="shared" si="13"/>
        <v>4.5782268735715146</v>
      </c>
      <c r="K69" s="2">
        <f t="shared" si="13"/>
        <v>3.3544316131360516</v>
      </c>
      <c r="L69" s="2">
        <f t="shared" si="13"/>
        <v>1.9677571273908334</v>
      </c>
      <c r="M69" s="6">
        <f t="shared" si="4"/>
        <v>480.1811626368339</v>
      </c>
      <c r="N69" s="2"/>
      <c r="O69" s="6"/>
      <c r="P69" s="80"/>
      <c r="Q69" s="17"/>
      <c r="R69" s="77"/>
      <c r="S69" s="9"/>
      <c r="T69" s="77"/>
      <c r="U69" s="77"/>
      <c r="V69" s="18"/>
    </row>
    <row r="70" spans="1:22" x14ac:dyDescent="0.2">
      <c r="A70" t="s">
        <v>14</v>
      </c>
      <c r="C70" s="2">
        <f t="shared" ref="C70:L70" si="14">+$H19*C38</f>
        <v>170.63343149731557</v>
      </c>
      <c r="D70" s="2">
        <f t="shared" si="14"/>
        <v>12.467794193676676</v>
      </c>
      <c r="E70" s="2">
        <f t="shared" si="14"/>
        <v>148.80050884867765</v>
      </c>
      <c r="F70" s="2">
        <f t="shared" si="14"/>
        <v>4.8737341419765361</v>
      </c>
      <c r="G70" s="2">
        <f t="shared" si="14"/>
        <v>10.938434877709287</v>
      </c>
      <c r="H70" s="2">
        <f t="shared" si="14"/>
        <v>55.940272221117517</v>
      </c>
      <c r="I70" s="2">
        <f t="shared" si="14"/>
        <v>14.379493338635912</v>
      </c>
      <c r="J70" s="2">
        <f t="shared" si="14"/>
        <v>4.3947106780672103</v>
      </c>
      <c r="K70" s="2">
        <f t="shared" si="14"/>
        <v>3.3927166434678862</v>
      </c>
      <c r="L70" s="2">
        <f t="shared" si="14"/>
        <v>1.7666736925830182</v>
      </c>
      <c r="M70" s="6">
        <f t="shared" si="4"/>
        <v>427.58777013322731</v>
      </c>
      <c r="N70" s="2"/>
      <c r="O70" s="6"/>
      <c r="P70" s="80"/>
      <c r="Q70" s="17"/>
      <c r="R70" s="77"/>
      <c r="S70" s="9"/>
      <c r="T70" s="77"/>
      <c r="U70" s="77"/>
      <c r="V70" s="18"/>
    </row>
    <row r="71" spans="1:22" ht="15" x14ac:dyDescent="0.35">
      <c r="A71" t="s">
        <v>2</v>
      </c>
      <c r="C71" s="12">
        <f t="shared" ref="C71:L71" si="15">+$H20*C39</f>
        <v>194.3158519221642</v>
      </c>
      <c r="D71" s="12">
        <f t="shared" si="15"/>
        <v>18.45609871855719</v>
      </c>
      <c r="E71" s="12">
        <f t="shared" si="15"/>
        <v>154.93640246796392</v>
      </c>
      <c r="F71" s="12">
        <f t="shared" si="15"/>
        <v>5.4700996677740861</v>
      </c>
      <c r="G71" s="12">
        <f t="shared" si="15"/>
        <v>11.532866635026101</v>
      </c>
      <c r="H71" s="12">
        <f t="shared" si="15"/>
        <v>67.866990982439489</v>
      </c>
      <c r="I71" s="12">
        <f t="shared" si="15"/>
        <v>16.414689131466538</v>
      </c>
      <c r="J71" s="12">
        <f t="shared" si="15"/>
        <v>5.0442572377788322</v>
      </c>
      <c r="K71" s="12">
        <f t="shared" si="15"/>
        <v>4.0784290460370185</v>
      </c>
      <c r="L71" s="12">
        <f t="shared" si="15"/>
        <v>1.6111770289511151</v>
      </c>
      <c r="M71" s="7">
        <f t="shared" si="4"/>
        <v>479.72686283815847</v>
      </c>
      <c r="N71" s="12"/>
      <c r="O71" s="7"/>
      <c r="P71" s="80"/>
      <c r="Q71" s="79"/>
      <c r="R71" s="77"/>
      <c r="S71" s="9"/>
      <c r="T71" s="77"/>
      <c r="U71" s="77"/>
      <c r="V71" s="18"/>
    </row>
    <row r="72" spans="1:22" ht="15" x14ac:dyDescent="0.35">
      <c r="C72" s="15">
        <f>SUM(C60:C71)</f>
        <v>2181.1559321458076</v>
      </c>
      <c r="D72" s="15">
        <f t="shared" ref="D72:L72" si="16">SUM(D60:D71)</f>
        <v>191.4308772279696</v>
      </c>
      <c r="E72" s="15">
        <f t="shared" si="16"/>
        <v>1762.7380713178104</v>
      </c>
      <c r="F72" s="15">
        <f t="shared" si="16"/>
        <v>60.131011599373487</v>
      </c>
      <c r="G72" s="15">
        <f t="shared" si="16"/>
        <v>125.91528086815117</v>
      </c>
      <c r="H72" s="15">
        <f t="shared" si="16"/>
        <v>826.28594009319397</v>
      </c>
      <c r="I72" s="15">
        <f t="shared" si="16"/>
        <v>164.90467319045996</v>
      </c>
      <c r="J72" s="15">
        <f t="shared" si="16"/>
        <v>50.57339566548643</v>
      </c>
      <c r="K72" s="15">
        <f t="shared" si="16"/>
        <v>43.099103546922869</v>
      </c>
      <c r="L72" s="15">
        <f t="shared" si="16"/>
        <v>14.879154088166798</v>
      </c>
      <c r="M72" s="8">
        <f>SUM(M60:M71)</f>
        <v>5421.1134397433434</v>
      </c>
      <c r="N72" s="8"/>
      <c r="O72" s="8"/>
      <c r="Q72" s="17"/>
    </row>
    <row r="73" spans="1:22" x14ac:dyDescent="0.2">
      <c r="C73" s="81">
        <f t="shared" ref="C73:M73" si="17">+C72/$M72</f>
        <v>0.40234463941582305</v>
      </c>
      <c r="D73" s="81">
        <f t="shared" si="17"/>
        <v>3.5312095818646562E-2</v>
      </c>
      <c r="E73" s="81">
        <f t="shared" si="17"/>
        <v>0.32516162794063674</v>
      </c>
      <c r="F73" s="81">
        <f t="shared" si="17"/>
        <v>1.1092003933830303E-2</v>
      </c>
      <c r="G73" s="81">
        <f t="shared" si="17"/>
        <v>2.3226830109298081E-2</v>
      </c>
      <c r="H73" s="81">
        <f t="shared" si="17"/>
        <v>0.15241996856872886</v>
      </c>
      <c r="I73" s="81">
        <f t="shared" si="17"/>
        <v>3.0418967436008346E-2</v>
      </c>
      <c r="J73" s="81">
        <f t="shared" si="17"/>
        <v>9.3289683434259162E-3</v>
      </c>
      <c r="K73" s="81">
        <f t="shared" si="17"/>
        <v>7.9502308937042555E-3</v>
      </c>
      <c r="L73" s="81">
        <f t="shared" si="17"/>
        <v>2.7446675398977143E-3</v>
      </c>
      <c r="M73" s="81">
        <f t="shared" si="17"/>
        <v>1</v>
      </c>
    </row>
    <row r="75" spans="1:22" x14ac:dyDescent="0.2">
      <c r="A75" s="3" t="s">
        <v>57</v>
      </c>
      <c r="B75" s="78">
        <v>1.0500000000000001E-2</v>
      </c>
    </row>
    <row r="76" spans="1:22" x14ac:dyDescent="0.2">
      <c r="A76" t="s">
        <v>37</v>
      </c>
      <c r="C76" s="2">
        <f>+$B$75*C60</f>
        <v>2.0371428186822111</v>
      </c>
      <c r="D76" s="2">
        <f t="shared" ref="D76:L76" si="18">+$B$75*D60</f>
        <v>0.11255009373603606</v>
      </c>
      <c r="E76" s="2">
        <f t="shared" si="18"/>
        <v>1.5758400917049191</v>
      </c>
      <c r="F76" s="2">
        <f t="shared" si="18"/>
        <v>5.5743059166429701E-2</v>
      </c>
      <c r="G76" s="2">
        <f t="shared" si="18"/>
        <v>9.7099320489905327E-2</v>
      </c>
      <c r="H76" s="2">
        <f t="shared" si="18"/>
        <v>0.84530532792379243</v>
      </c>
      <c r="I76" s="2">
        <f t="shared" si="18"/>
        <v>0.15506285006296461</v>
      </c>
      <c r="J76" s="2">
        <f t="shared" si="18"/>
        <v>4.1911378925133039E-2</v>
      </c>
      <c r="K76" s="2">
        <f t="shared" si="18"/>
        <v>5.0191883149855787E-2</v>
      </c>
      <c r="L76" s="2">
        <f t="shared" si="18"/>
        <v>4.3946810131210131E-3</v>
      </c>
      <c r="M76" s="6">
        <f t="shared" ref="M76:M87" si="19">SUM(C76:L76)</f>
        <v>4.9752415048543686</v>
      </c>
      <c r="N76" s="2"/>
      <c r="O76" s="6"/>
    </row>
    <row r="77" spans="1:22" x14ac:dyDescent="0.2">
      <c r="A77" t="s">
        <v>7</v>
      </c>
      <c r="C77" s="2">
        <f t="shared" ref="C77:L87" si="20">+$B$75*C61</f>
        <v>1.7334901603303778</v>
      </c>
      <c r="D77" s="2">
        <f t="shared" si="20"/>
        <v>0.10927842159601603</v>
      </c>
      <c r="E77" s="2">
        <f t="shared" si="20"/>
        <v>1.6358508605611564</v>
      </c>
      <c r="F77" s="2">
        <f t="shared" si="20"/>
        <v>4.7526414126077977E-2</v>
      </c>
      <c r="G77" s="2">
        <f t="shared" si="20"/>
        <v>8.5492121037288968E-2</v>
      </c>
      <c r="H77" s="2">
        <f t="shared" si="20"/>
        <v>0.77848173964532996</v>
      </c>
      <c r="I77" s="2">
        <f t="shared" si="20"/>
        <v>0.12087135643143448</v>
      </c>
      <c r="J77" s="2">
        <f t="shared" si="20"/>
        <v>3.1360967144418807E-2</v>
      </c>
      <c r="K77" s="2">
        <f t="shared" si="20"/>
        <v>3.8427576824972678E-2</v>
      </c>
      <c r="L77" s="2">
        <f t="shared" si="20"/>
        <v>1.0161138102757197E-3</v>
      </c>
      <c r="M77" s="6">
        <f t="shared" si="19"/>
        <v>4.5817957315073494</v>
      </c>
      <c r="N77" s="2"/>
      <c r="O77" s="6"/>
    </row>
    <row r="78" spans="1:22" x14ac:dyDescent="0.2">
      <c r="A78" t="s">
        <v>8</v>
      </c>
      <c r="C78" s="2">
        <f t="shared" si="20"/>
        <v>1.8647017484625592</v>
      </c>
      <c r="D78" s="2">
        <f t="shared" si="20"/>
        <v>0.15201975461232364</v>
      </c>
      <c r="E78" s="2">
        <f t="shared" si="20"/>
        <v>1.6890313969612929</v>
      </c>
      <c r="F78" s="2">
        <f t="shared" si="20"/>
        <v>5.9080299650307498E-2</v>
      </c>
      <c r="G78" s="2">
        <f t="shared" si="20"/>
        <v>9.5618624140841699E-2</v>
      </c>
      <c r="H78" s="2">
        <f t="shared" si="20"/>
        <v>0.6849434583383579</v>
      </c>
      <c r="I78" s="2">
        <f t="shared" si="20"/>
        <v>0.16384505305679492</v>
      </c>
      <c r="J78" s="2">
        <f t="shared" si="20"/>
        <v>4.0279922826480172E-2</v>
      </c>
      <c r="K78" s="2">
        <f t="shared" si="20"/>
        <v>3.815506451223924E-2</v>
      </c>
      <c r="L78" s="2">
        <f t="shared" si="20"/>
        <v>1.2333416737007118E-2</v>
      </c>
      <c r="M78" s="6">
        <f t="shared" si="19"/>
        <v>4.800008739298204</v>
      </c>
      <c r="N78" s="2"/>
      <c r="O78" s="6"/>
    </row>
    <row r="79" spans="1:22" x14ac:dyDescent="0.2">
      <c r="A79" t="s">
        <v>9</v>
      </c>
      <c r="C79" s="2">
        <f t="shared" si="20"/>
        <v>1.8102346303560657</v>
      </c>
      <c r="D79" s="2">
        <f t="shared" si="20"/>
        <v>0.15274795473747738</v>
      </c>
      <c r="E79" s="2">
        <f t="shared" si="20"/>
        <v>1.6680928859384432</v>
      </c>
      <c r="F79" s="2">
        <f t="shared" si="20"/>
        <v>5.9932035606517817E-2</v>
      </c>
      <c r="G79" s="2">
        <f t="shared" si="20"/>
        <v>0.10235687688593847</v>
      </c>
      <c r="H79" s="2">
        <f t="shared" si="20"/>
        <v>0.71816549004224528</v>
      </c>
      <c r="I79" s="2">
        <f t="shared" si="20"/>
        <v>0.15274795473747738</v>
      </c>
      <c r="J79" s="2">
        <f t="shared" si="20"/>
        <v>4.3490093844296931E-2</v>
      </c>
      <c r="K79" s="2">
        <f t="shared" si="20"/>
        <v>3.9784867531683775E-2</v>
      </c>
      <c r="L79" s="2">
        <f t="shared" si="20"/>
        <v>1.2736715449607727E-2</v>
      </c>
      <c r="M79" s="6">
        <f t="shared" si="19"/>
        <v>4.7602895051297534</v>
      </c>
      <c r="N79" s="2"/>
      <c r="O79" s="6"/>
    </row>
    <row r="80" spans="1:22" x14ac:dyDescent="0.2">
      <c r="A80" t="s">
        <v>10</v>
      </c>
      <c r="C80" s="2">
        <f t="shared" si="20"/>
        <v>1.8918747293464484</v>
      </c>
      <c r="D80" s="2">
        <f t="shared" si="20"/>
        <v>0.14776521815219357</v>
      </c>
      <c r="E80" s="2">
        <f t="shared" si="20"/>
        <v>1.3384704519944479</v>
      </c>
      <c r="F80" s="2">
        <f t="shared" si="20"/>
        <v>5.4269799046527054E-2</v>
      </c>
      <c r="G80" s="2">
        <f t="shared" si="20"/>
        <v>0.11006247510711482</v>
      </c>
      <c r="H80" s="2">
        <f t="shared" si="20"/>
        <v>0.78008221350552154</v>
      </c>
      <c r="I80" s="2">
        <f t="shared" si="20"/>
        <v>0.14725759248084</v>
      </c>
      <c r="J80" s="2">
        <f t="shared" si="20"/>
        <v>5.0254941464003375E-2</v>
      </c>
      <c r="K80" s="2">
        <f t="shared" si="20"/>
        <v>3.8717994387785885E-2</v>
      </c>
      <c r="L80" s="2">
        <f t="shared" si="20"/>
        <v>1.509032677569247E-2</v>
      </c>
      <c r="M80" s="6">
        <f t="shared" si="19"/>
        <v>4.5738457422605743</v>
      </c>
      <c r="N80" s="2"/>
      <c r="O80" s="6"/>
    </row>
    <row r="81" spans="1:17" x14ac:dyDescent="0.2">
      <c r="A81" t="s">
        <v>11</v>
      </c>
      <c r="C81" s="2">
        <f t="shared" si="20"/>
        <v>1.9407892637592534</v>
      </c>
      <c r="D81" s="2">
        <f t="shared" si="20"/>
        <v>0.17459909116511108</v>
      </c>
      <c r="E81" s="2">
        <f t="shared" si="20"/>
        <v>1.3570859629465724</v>
      </c>
      <c r="F81" s="2">
        <f t="shared" si="20"/>
        <v>4.7316077003540402E-2</v>
      </c>
      <c r="G81" s="2">
        <f t="shared" si="20"/>
        <v>0.11473918088187963</v>
      </c>
      <c r="H81" s="2">
        <f t="shared" si="20"/>
        <v>0.69590604481815277</v>
      </c>
      <c r="I81" s="2">
        <f t="shared" si="20"/>
        <v>0.12779030153685228</v>
      </c>
      <c r="J81" s="2">
        <f t="shared" si="20"/>
        <v>4.3765065376569053E-2</v>
      </c>
      <c r="K81" s="2">
        <f t="shared" si="20"/>
        <v>3.8231021282587707E-2</v>
      </c>
      <c r="L81" s="2">
        <f t="shared" si="20"/>
        <v>1.0560800812681044E-2</v>
      </c>
      <c r="M81" s="6">
        <f t="shared" si="19"/>
        <v>4.5507828095831995</v>
      </c>
      <c r="N81" s="2"/>
      <c r="O81" s="6"/>
    </row>
    <row r="82" spans="1:17" x14ac:dyDescent="0.2">
      <c r="A82" t="s">
        <v>12</v>
      </c>
      <c r="C82" s="2">
        <f t="shared" si="20"/>
        <v>2.3123999421562687</v>
      </c>
      <c r="D82" s="2">
        <f t="shared" si="20"/>
        <v>0.19277313779527558</v>
      </c>
      <c r="E82" s="2">
        <f t="shared" si="20"/>
        <v>1.4525199548758327</v>
      </c>
      <c r="F82" s="2">
        <f t="shared" si="20"/>
        <v>5.2062143852210779E-2</v>
      </c>
      <c r="G82" s="2">
        <f t="shared" si="20"/>
        <v>0.11955352998182918</v>
      </c>
      <c r="H82" s="2">
        <f t="shared" si="20"/>
        <v>0.73857103452453043</v>
      </c>
      <c r="I82" s="2">
        <f t="shared" si="20"/>
        <v>0.12528175166565717</v>
      </c>
      <c r="J82" s="2">
        <f t="shared" si="20"/>
        <v>4.231492792247122E-2</v>
      </c>
      <c r="K82" s="2">
        <f t="shared" si="20"/>
        <v>3.2613907328891578E-2</v>
      </c>
      <c r="L82" s="2">
        <f t="shared" si="20"/>
        <v>1.4874898243488794E-2</v>
      </c>
      <c r="M82" s="6">
        <f t="shared" si="19"/>
        <v>5.0829652283464561</v>
      </c>
      <c r="N82" s="2"/>
      <c r="O82" s="6"/>
    </row>
    <row r="83" spans="1:17" x14ac:dyDescent="0.2">
      <c r="A83" t="s">
        <v>38</v>
      </c>
      <c r="C83" s="2">
        <f t="shared" si="20"/>
        <v>1.8638285828295043</v>
      </c>
      <c r="D83" s="2">
        <f t="shared" si="20"/>
        <v>0.22855755229746069</v>
      </c>
      <c r="E83" s="2">
        <f t="shared" si="20"/>
        <v>1.6145014443772672</v>
      </c>
      <c r="F83" s="2">
        <f t="shared" si="20"/>
        <v>5.2223305320435301E-2</v>
      </c>
      <c r="G83" s="2">
        <f t="shared" si="20"/>
        <v>0.13645295737605803</v>
      </c>
      <c r="H83" s="2">
        <f t="shared" si="20"/>
        <v>0.8356189374244255</v>
      </c>
      <c r="I83" s="2">
        <f t="shared" si="20"/>
        <v>0.13760426481257554</v>
      </c>
      <c r="J83" s="2">
        <f t="shared" si="20"/>
        <v>4.7710180169286583E-2</v>
      </c>
      <c r="K83" s="2">
        <f t="shared" si="20"/>
        <v>3.4815536880290196E-2</v>
      </c>
      <c r="L83" s="2">
        <f t="shared" si="20"/>
        <v>1.5151205864570734E-2</v>
      </c>
      <c r="M83" s="6">
        <f t="shared" si="19"/>
        <v>4.966463967351876</v>
      </c>
      <c r="N83" s="2"/>
      <c r="O83" s="6"/>
    </row>
    <row r="84" spans="1:17" x14ac:dyDescent="0.2">
      <c r="A84" t="s">
        <v>15</v>
      </c>
      <c r="C84" s="2">
        <f t="shared" si="20"/>
        <v>1.576140879586833</v>
      </c>
      <c r="D84" s="2">
        <f t="shared" si="20"/>
        <v>0.22057412583899361</v>
      </c>
      <c r="E84" s="2">
        <f t="shared" si="20"/>
        <v>1.2983638248060767</v>
      </c>
      <c r="F84" s="2">
        <f t="shared" si="20"/>
        <v>4.3212832080704144E-2</v>
      </c>
      <c r="G84" s="2">
        <f t="shared" si="20"/>
        <v>0.10354512479401953</v>
      </c>
      <c r="H84" s="2">
        <f t="shared" si="20"/>
        <v>0.60774085245769849</v>
      </c>
      <c r="I84" s="2">
        <f t="shared" si="20"/>
        <v>0.12738351352437602</v>
      </c>
      <c r="J84" s="2">
        <f t="shared" si="20"/>
        <v>4.2752631526064053E-2</v>
      </c>
      <c r="K84" s="2">
        <f t="shared" si="20"/>
        <v>2.7934173666653263E-2</v>
      </c>
      <c r="L84" s="2">
        <f t="shared" si="20"/>
        <v>1.3944076805594627E-2</v>
      </c>
      <c r="M84" s="6">
        <f t="shared" si="19"/>
        <v>4.0615920350870143</v>
      </c>
      <c r="N84" s="2"/>
      <c r="O84" s="6"/>
    </row>
    <row r="85" spans="1:17" x14ac:dyDescent="0.2">
      <c r="A85" t="s">
        <v>13</v>
      </c>
      <c r="C85" s="2">
        <f t="shared" si="20"/>
        <v>2.0395670561169252</v>
      </c>
      <c r="D85" s="2">
        <f t="shared" si="20"/>
        <v>0.19445798538433778</v>
      </c>
      <c r="E85" s="2">
        <f t="shared" si="20"/>
        <v>1.6897553058462651</v>
      </c>
      <c r="F85" s="2">
        <f t="shared" si="20"/>
        <v>5.139940093828943E-2</v>
      </c>
      <c r="G85" s="2">
        <f t="shared" si="20"/>
        <v>0.12124157253699026</v>
      </c>
      <c r="H85" s="2">
        <f t="shared" si="20"/>
        <v>0.69121100866113327</v>
      </c>
      <c r="I85" s="2">
        <f t="shared" si="20"/>
        <v>0.15031551425478171</v>
      </c>
      <c r="J85" s="2">
        <f t="shared" si="20"/>
        <v>4.8071382172500905E-2</v>
      </c>
      <c r="K85" s="2">
        <f t="shared" si="20"/>
        <v>3.5221531937928548E-2</v>
      </c>
      <c r="L85" s="2">
        <f t="shared" si="20"/>
        <v>2.0661449837603752E-2</v>
      </c>
      <c r="M85" s="6">
        <f t="shared" si="19"/>
        <v>5.0419022076867561</v>
      </c>
      <c r="N85" s="2"/>
      <c r="O85" s="6"/>
    </row>
    <row r="86" spans="1:17" x14ac:dyDescent="0.2">
      <c r="A86" t="s">
        <v>14</v>
      </c>
      <c r="C86" s="2">
        <f t="shared" si="20"/>
        <v>1.7916510307218136</v>
      </c>
      <c r="D86" s="2">
        <f t="shared" si="20"/>
        <v>0.13091183903360512</v>
      </c>
      <c r="E86" s="2">
        <f t="shared" si="20"/>
        <v>1.5624053429111155</v>
      </c>
      <c r="F86" s="2">
        <f t="shared" si="20"/>
        <v>5.1174208490753631E-2</v>
      </c>
      <c r="G86" s="2">
        <f t="shared" si="20"/>
        <v>0.11485356621594753</v>
      </c>
      <c r="H86" s="2">
        <f t="shared" si="20"/>
        <v>0.58737285832173391</v>
      </c>
      <c r="I86" s="2">
        <f t="shared" si="20"/>
        <v>0.15098468005567708</v>
      </c>
      <c r="J86" s="2">
        <f t="shared" si="20"/>
        <v>4.6144462119705708E-2</v>
      </c>
      <c r="K86" s="2">
        <f t="shared" si="20"/>
        <v>3.5623524756412804E-2</v>
      </c>
      <c r="L86" s="2">
        <f t="shared" si="20"/>
        <v>1.8550073772121693E-2</v>
      </c>
      <c r="M86" s="6">
        <f t="shared" si="19"/>
        <v>4.4896715863988872</v>
      </c>
      <c r="N86" s="2"/>
      <c r="O86" s="6"/>
    </row>
    <row r="87" spans="1:17" ht="15" x14ac:dyDescent="0.35">
      <c r="A87" t="s">
        <v>2</v>
      </c>
      <c r="C87" s="12">
        <f t="shared" si="20"/>
        <v>2.0403164451827243</v>
      </c>
      <c r="D87" s="12">
        <f t="shared" si="20"/>
        <v>0.1937890365448505</v>
      </c>
      <c r="E87" s="12">
        <f t="shared" si="20"/>
        <v>1.6268322259136212</v>
      </c>
      <c r="F87" s="12">
        <f t="shared" si="20"/>
        <v>5.7436046511627904E-2</v>
      </c>
      <c r="G87" s="12">
        <f t="shared" si="20"/>
        <v>0.12109509966777407</v>
      </c>
      <c r="H87" s="12">
        <f t="shared" si="20"/>
        <v>0.71260340531561472</v>
      </c>
      <c r="I87" s="12">
        <f t="shared" si="20"/>
        <v>0.17235423588039867</v>
      </c>
      <c r="J87" s="12">
        <f t="shared" si="20"/>
        <v>5.2964700996677744E-2</v>
      </c>
      <c r="K87" s="12">
        <f t="shared" si="20"/>
        <v>4.2823504983388695E-2</v>
      </c>
      <c r="L87" s="12">
        <f t="shared" si="20"/>
        <v>1.6917358803986711E-2</v>
      </c>
      <c r="M87" s="7">
        <f t="shared" si="19"/>
        <v>5.0371320598006646</v>
      </c>
      <c r="N87" s="12"/>
      <c r="O87" s="7"/>
    </row>
    <row r="88" spans="1:17" ht="15" x14ac:dyDescent="0.35">
      <c r="C88" s="15">
        <f>SUM(C76:C87)</f>
        <v>22.902137287530984</v>
      </c>
      <c r="D88" s="15">
        <f t="shared" ref="D88" si="21">SUM(D76:D87)</f>
        <v>2.0100242108936812</v>
      </c>
      <c r="E88" s="15">
        <f t="shared" ref="E88" si="22">SUM(E76:E87)</f>
        <v>18.508749748837008</v>
      </c>
      <c r="F88" s="15">
        <f t="shared" ref="F88" si="23">SUM(F76:F87)</f>
        <v>0.63137562179342166</v>
      </c>
      <c r="G88" s="15">
        <f t="shared" ref="G88" si="24">SUM(G76:G87)</f>
        <v>1.3221104491155875</v>
      </c>
      <c r="H88" s="15">
        <f t="shared" ref="H88" si="25">SUM(H76:H87)</f>
        <v>8.6760023709785372</v>
      </c>
      <c r="I88" s="15">
        <f t="shared" ref="I88" si="26">SUM(I76:I87)</f>
        <v>1.7314990684998297</v>
      </c>
      <c r="J88" s="15">
        <f t="shared" ref="J88" si="27">SUM(J76:J87)</f>
        <v>0.5310206544876076</v>
      </c>
      <c r="K88" s="15">
        <f t="shared" ref="K88" si="28">SUM(K76:K87)</f>
        <v>0.45254058724269014</v>
      </c>
      <c r="L88" s="15">
        <f t="shared" ref="L88" si="29">SUM(L76:L87)</f>
        <v>0.15623111792575139</v>
      </c>
      <c r="M88" s="8">
        <f>SUM(M76:M87)</f>
        <v>56.921691117305102</v>
      </c>
      <c r="N88" s="8"/>
      <c r="O88" s="8"/>
      <c r="P88" s="6"/>
      <c r="Q88" s="6"/>
    </row>
    <row r="89" spans="1:17" x14ac:dyDescent="0.2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1" spans="1:17" x14ac:dyDescent="0.2">
      <c r="A91" s="3" t="s">
        <v>58</v>
      </c>
    </row>
    <row r="92" spans="1:17" x14ac:dyDescent="0.2">
      <c r="A92" t="s">
        <v>37</v>
      </c>
      <c r="C92" s="2">
        <f>+C60-C76</f>
        <v>191.976458960576</v>
      </c>
      <c r="D92" s="2">
        <f t="shared" ref="D92:L92" si="30">+D60-D76</f>
        <v>10.606506452553111</v>
      </c>
      <c r="E92" s="2">
        <f t="shared" si="30"/>
        <v>148.50416864209689</v>
      </c>
      <c r="F92" s="2">
        <f t="shared" si="30"/>
        <v>5.2531197185887795</v>
      </c>
      <c r="G92" s="2">
        <f t="shared" si="30"/>
        <v>9.1504550118820305</v>
      </c>
      <c r="H92" s="2">
        <f t="shared" si="30"/>
        <v>79.659963998151667</v>
      </c>
      <c r="I92" s="2">
        <f t="shared" si="30"/>
        <v>14.612827632124139</v>
      </c>
      <c r="J92" s="2">
        <f t="shared" si="30"/>
        <v>3.9496485187065851</v>
      </c>
      <c r="K92" s="2">
        <f t="shared" si="30"/>
        <v>4.7299874644554567</v>
      </c>
      <c r="L92" s="2">
        <f t="shared" si="30"/>
        <v>0.41414636785554687</v>
      </c>
      <c r="M92" s="6">
        <f t="shared" ref="M92:M103" si="31">SUM(C92:L92)</f>
        <v>468.85728276699024</v>
      </c>
      <c r="N92" s="2"/>
      <c r="O92" s="6"/>
    </row>
    <row r="93" spans="1:17" x14ac:dyDescent="0.2">
      <c r="A93" t="s">
        <v>7</v>
      </c>
      <c r="C93" s="2">
        <f t="shared" ref="C93:L103" si="32">+C61-C77</f>
        <v>163.36081082351512</v>
      </c>
      <c r="D93" s="2">
        <f t="shared" si="32"/>
        <v>10.298190301834081</v>
      </c>
      <c r="E93" s="2">
        <f t="shared" si="32"/>
        <v>154.15946919288228</v>
      </c>
      <c r="F93" s="2">
        <f t="shared" si="32"/>
        <v>4.4787987407384913</v>
      </c>
      <c r="G93" s="2">
        <f t="shared" si="32"/>
        <v>8.0566146444188025</v>
      </c>
      <c r="H93" s="2">
        <f t="shared" si="32"/>
        <v>73.362636321814662</v>
      </c>
      <c r="I93" s="2">
        <f t="shared" si="32"/>
        <v>11.390686398943277</v>
      </c>
      <c r="J93" s="2">
        <f t="shared" si="32"/>
        <v>2.9553978085145149</v>
      </c>
      <c r="K93" s="2">
        <f t="shared" si="32"/>
        <v>3.6213416446009967</v>
      </c>
      <c r="L93" s="2">
        <f t="shared" si="32"/>
        <v>9.5756630025507106E-2</v>
      </c>
      <c r="M93" s="6">
        <f t="shared" si="31"/>
        <v>431.77970250728771</v>
      </c>
      <c r="N93" s="2"/>
      <c r="O93" s="6"/>
    </row>
    <row r="94" spans="1:17" x14ac:dyDescent="0.2">
      <c r="A94" t="s">
        <v>8</v>
      </c>
      <c r="C94" s="2">
        <f t="shared" si="32"/>
        <v>175.72594096225737</v>
      </c>
      <c r="D94" s="2">
        <f t="shared" si="32"/>
        <v>14.326052113228023</v>
      </c>
      <c r="E94" s="2">
        <f t="shared" si="32"/>
        <v>159.17110164697135</v>
      </c>
      <c r="F94" s="2">
        <f t="shared" si="32"/>
        <v>5.5676149051408821</v>
      </c>
      <c r="G94" s="2">
        <f t="shared" si="32"/>
        <v>9.0109170083202716</v>
      </c>
      <c r="H94" s="2">
        <f t="shared" si="32"/>
        <v>64.547766859600486</v>
      </c>
      <c r="I94" s="2">
        <f t="shared" si="32"/>
        <v>15.440445714257006</v>
      </c>
      <c r="J94" s="2">
        <f t="shared" si="32"/>
        <v>3.7959032035049649</v>
      </c>
      <c r="K94" s="2">
        <f t="shared" si="32"/>
        <v>3.5956606033200691</v>
      </c>
      <c r="L94" s="2">
        <f t="shared" si="32"/>
        <v>1.1622777010731946</v>
      </c>
      <c r="M94" s="6">
        <f t="shared" si="31"/>
        <v>452.34368071767364</v>
      </c>
      <c r="N94" s="2"/>
      <c r="O94" s="6"/>
    </row>
    <row r="95" spans="1:17" x14ac:dyDescent="0.2">
      <c r="A95" t="s">
        <v>9</v>
      </c>
      <c r="C95" s="2">
        <f t="shared" si="32"/>
        <v>170.59306349879304</v>
      </c>
      <c r="D95" s="2">
        <f t="shared" si="32"/>
        <v>14.394676305974652</v>
      </c>
      <c r="E95" s="2">
        <f t="shared" si="32"/>
        <v>157.19789625105614</v>
      </c>
      <c r="F95" s="2">
        <f t="shared" si="32"/>
        <v>5.6478808792999411</v>
      </c>
      <c r="G95" s="2">
        <f t="shared" si="32"/>
        <v>9.645917112251059</v>
      </c>
      <c r="H95" s="2">
        <f t="shared" si="32"/>
        <v>67.678547847314448</v>
      </c>
      <c r="I95" s="2">
        <f t="shared" si="32"/>
        <v>14.394676305974652</v>
      </c>
      <c r="J95" s="2">
        <f t="shared" si="32"/>
        <v>4.0984236056125534</v>
      </c>
      <c r="K95" s="2">
        <f t="shared" si="32"/>
        <v>3.7492501354858185</v>
      </c>
      <c r="L95" s="2">
        <f t="shared" si="32"/>
        <v>1.200283803560652</v>
      </c>
      <c r="M95" s="6">
        <f t="shared" si="31"/>
        <v>448.6006157453229</v>
      </c>
      <c r="N95" s="2"/>
      <c r="O95" s="6"/>
    </row>
    <row r="96" spans="1:17" x14ac:dyDescent="0.2">
      <c r="A96" t="s">
        <v>10</v>
      </c>
      <c r="C96" s="2">
        <f t="shared" si="32"/>
        <v>178.28667092269623</v>
      </c>
      <c r="D96" s="2">
        <f t="shared" si="32"/>
        <v>13.925112701104336</v>
      </c>
      <c r="E96" s="2">
        <f t="shared" si="32"/>
        <v>126.13490592842915</v>
      </c>
      <c r="F96" s="2">
        <f t="shared" si="32"/>
        <v>5.1142824910989058</v>
      </c>
      <c r="G96" s="2">
        <f t="shared" si="32"/>
        <v>10.372078011284772</v>
      </c>
      <c r="H96" s="2">
        <f t="shared" si="32"/>
        <v>73.513461929877479</v>
      </c>
      <c r="I96" s="2">
        <f t="shared" si="32"/>
        <v>13.877275024742017</v>
      </c>
      <c r="J96" s="2">
        <f t="shared" si="32"/>
        <v>4.7359299598696509</v>
      </c>
      <c r="K96" s="2">
        <f t="shared" si="32"/>
        <v>3.6487100425442027</v>
      </c>
      <c r="L96" s="2">
        <f t="shared" si="32"/>
        <v>1.4220836518616855</v>
      </c>
      <c r="M96" s="6">
        <f t="shared" si="31"/>
        <v>431.03051066350838</v>
      </c>
      <c r="N96" s="2"/>
      <c r="O96" s="6"/>
    </row>
    <row r="97" spans="1:15" x14ac:dyDescent="0.2">
      <c r="A97" t="s">
        <v>11</v>
      </c>
      <c r="C97" s="2">
        <f t="shared" si="32"/>
        <v>182.89628347521725</v>
      </c>
      <c r="D97" s="2">
        <f t="shared" si="32"/>
        <v>16.45388578170261</v>
      </c>
      <c r="E97" s="2">
        <f t="shared" si="32"/>
        <v>127.88919622244126</v>
      </c>
      <c r="F97" s="2">
        <f t="shared" si="32"/>
        <v>4.4589769709526879</v>
      </c>
      <c r="G97" s="2">
        <f t="shared" si="32"/>
        <v>10.812801855487608</v>
      </c>
      <c r="H97" s="2">
        <f t="shared" si="32"/>
        <v>65.580860128339239</v>
      </c>
      <c r="I97" s="2">
        <f t="shared" si="32"/>
        <v>12.042714606734794</v>
      </c>
      <c r="J97" s="2">
        <f t="shared" si="32"/>
        <v>4.1243363990585786</v>
      </c>
      <c r="K97" s="2">
        <f t="shared" si="32"/>
        <v>3.6028186246781462</v>
      </c>
      <c r="L97" s="2">
        <f t="shared" si="32"/>
        <v>0.9952297527759898</v>
      </c>
      <c r="M97" s="6">
        <f t="shared" si="31"/>
        <v>428.85710381738818</v>
      </c>
      <c r="N97" s="2"/>
      <c r="O97" s="6"/>
    </row>
    <row r="98" spans="1:15" x14ac:dyDescent="0.2">
      <c r="A98" t="s">
        <v>12</v>
      </c>
      <c r="C98" s="2">
        <f t="shared" si="32"/>
        <v>217.91616597748833</v>
      </c>
      <c r="D98" s="2">
        <f t="shared" si="32"/>
        <v>18.166573318897637</v>
      </c>
      <c r="E98" s="2">
        <f t="shared" si="32"/>
        <v>136.88271384282251</v>
      </c>
      <c r="F98" s="2">
        <f t="shared" si="32"/>
        <v>4.9062372706440538</v>
      </c>
      <c r="G98" s="2">
        <f t="shared" si="32"/>
        <v>11.266496944478092</v>
      </c>
      <c r="H98" s="2">
        <f t="shared" si="32"/>
        <v>69.601527491621226</v>
      </c>
      <c r="I98" s="2">
        <f t="shared" si="32"/>
        <v>11.806313645063597</v>
      </c>
      <c r="J98" s="2">
        <f t="shared" si="32"/>
        <v>3.9876782075509785</v>
      </c>
      <c r="K98" s="2">
        <f t="shared" si="32"/>
        <v>3.0734725049464964</v>
      </c>
      <c r="L98" s="2">
        <f t="shared" si="32"/>
        <v>1.4017820773268725</v>
      </c>
      <c r="M98" s="6">
        <f t="shared" si="31"/>
        <v>479.0089612808398</v>
      </c>
      <c r="N98" s="2"/>
      <c r="O98" s="6"/>
    </row>
    <row r="99" spans="1:15" x14ac:dyDescent="0.2">
      <c r="A99" t="s">
        <v>38</v>
      </c>
      <c r="C99" s="2">
        <f t="shared" si="32"/>
        <v>175.64365549617088</v>
      </c>
      <c r="D99" s="2">
        <f t="shared" si="32"/>
        <v>21.538828380794033</v>
      </c>
      <c r="E99" s="2">
        <f t="shared" si="32"/>
        <v>152.14754087726723</v>
      </c>
      <c r="F99" s="2">
        <f t="shared" si="32"/>
        <v>4.9214248204353073</v>
      </c>
      <c r="G99" s="2">
        <f t="shared" si="32"/>
        <v>12.859066792724706</v>
      </c>
      <c r="H99" s="2">
        <f t="shared" si="32"/>
        <v>78.747137007758951</v>
      </c>
      <c r="I99" s="2">
        <f t="shared" si="32"/>
        <v>12.967563812575571</v>
      </c>
      <c r="J99" s="2">
        <f t="shared" si="32"/>
        <v>4.4961165026199108</v>
      </c>
      <c r="K99" s="2">
        <f t="shared" si="32"/>
        <v>3.2809498802902048</v>
      </c>
      <c r="L99" s="2">
        <f t="shared" si="32"/>
        <v>1.427820781237404</v>
      </c>
      <c r="M99" s="6">
        <f t="shared" si="31"/>
        <v>468.03010435187423</v>
      </c>
      <c r="N99" s="2"/>
      <c r="O99" s="6"/>
    </row>
    <row r="100" spans="1:15" x14ac:dyDescent="0.2">
      <c r="A100" t="s">
        <v>15</v>
      </c>
      <c r="C100" s="2">
        <f t="shared" si="32"/>
        <v>148.53251431915916</v>
      </c>
      <c r="D100" s="2">
        <f t="shared" si="32"/>
        <v>20.786485477874681</v>
      </c>
      <c r="E100" s="2">
        <f t="shared" si="32"/>
        <v>122.35533377577265</v>
      </c>
      <c r="F100" s="2">
        <f t="shared" si="32"/>
        <v>4.0722949851292141</v>
      </c>
      <c r="G100" s="2">
        <f t="shared" si="32"/>
        <v>9.7578953317792685</v>
      </c>
      <c r="H100" s="2">
        <f t="shared" si="32"/>
        <v>57.272340333989781</v>
      </c>
      <c r="I100" s="2">
        <f t="shared" si="32"/>
        <v>12.004379679273338</v>
      </c>
      <c r="J100" s="2">
        <f t="shared" si="32"/>
        <v>4.0289265614324163</v>
      </c>
      <c r="K100" s="2">
        <f t="shared" si="32"/>
        <v>2.6324633183955624</v>
      </c>
      <c r="L100" s="2">
        <f t="shared" si="32"/>
        <v>1.3140632380129411</v>
      </c>
      <c r="M100" s="6">
        <f t="shared" si="31"/>
        <v>382.75669702081893</v>
      </c>
      <c r="N100" s="2"/>
      <c r="O100" s="6"/>
    </row>
    <row r="101" spans="1:15" x14ac:dyDescent="0.2">
      <c r="A101" t="s">
        <v>13</v>
      </c>
      <c r="C101" s="2">
        <f t="shared" si="32"/>
        <v>192.20491447882833</v>
      </c>
      <c r="D101" s="2">
        <f t="shared" si="32"/>
        <v>18.325350146457353</v>
      </c>
      <c r="E101" s="2">
        <f t="shared" si="32"/>
        <v>159.23932144141708</v>
      </c>
      <c r="F101" s="2">
        <f t="shared" si="32"/>
        <v>4.8437816408035603</v>
      </c>
      <c r="G101" s="2">
        <f t="shared" si="32"/>
        <v>11.425574859557321</v>
      </c>
      <c r="H101" s="2">
        <f t="shared" si="32"/>
        <v>65.138408863827749</v>
      </c>
      <c r="I101" s="2">
        <f t="shared" si="32"/>
        <v>14.165447748105379</v>
      </c>
      <c r="J101" s="2">
        <f t="shared" si="32"/>
        <v>4.5301554913990136</v>
      </c>
      <c r="K101" s="2">
        <f t="shared" si="32"/>
        <v>3.3192100811981229</v>
      </c>
      <c r="L101" s="2">
        <f t="shared" si="32"/>
        <v>1.9470956775532298</v>
      </c>
      <c r="M101" s="6">
        <f t="shared" si="31"/>
        <v>475.13926042914716</v>
      </c>
      <c r="N101" s="2"/>
      <c r="O101" s="6"/>
    </row>
    <row r="102" spans="1:15" x14ac:dyDescent="0.2">
      <c r="A102" t="s">
        <v>14</v>
      </c>
      <c r="C102" s="2">
        <f t="shared" si="32"/>
        <v>168.84178046659375</v>
      </c>
      <c r="D102" s="2">
        <f t="shared" si="32"/>
        <v>12.336882354643071</v>
      </c>
      <c r="E102" s="2">
        <f t="shared" si="32"/>
        <v>147.23810350576653</v>
      </c>
      <c r="F102" s="2">
        <f t="shared" si="32"/>
        <v>4.822559933485782</v>
      </c>
      <c r="G102" s="2">
        <f t="shared" si="32"/>
        <v>10.82358131149334</v>
      </c>
      <c r="H102" s="2">
        <f t="shared" si="32"/>
        <v>55.352899362795782</v>
      </c>
      <c r="I102" s="2">
        <f t="shared" si="32"/>
        <v>14.228508658580235</v>
      </c>
      <c r="J102" s="2">
        <f t="shared" si="32"/>
        <v>4.3485662159475043</v>
      </c>
      <c r="K102" s="2">
        <f t="shared" si="32"/>
        <v>3.3570931187114734</v>
      </c>
      <c r="L102" s="2">
        <f t="shared" si="32"/>
        <v>1.7481236188108966</v>
      </c>
      <c r="M102" s="6">
        <f t="shared" si="31"/>
        <v>423.09809854682834</v>
      </c>
      <c r="N102" s="2"/>
      <c r="O102" s="6"/>
    </row>
    <row r="103" spans="1:15" ht="15" x14ac:dyDescent="0.35">
      <c r="A103" t="s">
        <v>2</v>
      </c>
      <c r="C103" s="12">
        <f t="shared" si="32"/>
        <v>192.27553547698147</v>
      </c>
      <c r="D103" s="12">
        <f t="shared" si="32"/>
        <v>18.26230968201234</v>
      </c>
      <c r="E103" s="12">
        <f t="shared" si="32"/>
        <v>153.30957024205028</v>
      </c>
      <c r="F103" s="12">
        <f t="shared" si="32"/>
        <v>5.4126636212624586</v>
      </c>
      <c r="G103" s="12">
        <f t="shared" si="32"/>
        <v>11.411771535358326</v>
      </c>
      <c r="H103" s="12">
        <f t="shared" si="32"/>
        <v>67.15438757712387</v>
      </c>
      <c r="I103" s="12">
        <f t="shared" si="32"/>
        <v>16.24233489558614</v>
      </c>
      <c r="J103" s="12">
        <f t="shared" si="32"/>
        <v>4.9912925367821543</v>
      </c>
      <c r="K103" s="12">
        <f t="shared" si="32"/>
        <v>4.0356055410536298</v>
      </c>
      <c r="L103" s="12">
        <f t="shared" si="32"/>
        <v>1.5942596701471283</v>
      </c>
      <c r="M103" s="7">
        <f t="shared" si="31"/>
        <v>474.68973077835795</v>
      </c>
      <c r="N103" s="12"/>
      <c r="O103" s="7"/>
    </row>
    <row r="104" spans="1:15" ht="15" x14ac:dyDescent="0.35">
      <c r="C104" s="15">
        <f>SUM(C92:C103)</f>
        <v>2158.2537948582767</v>
      </c>
      <c r="D104" s="15">
        <f t="shared" ref="D104" si="33">SUM(D92:D103)</f>
        <v>189.42085301707593</v>
      </c>
      <c r="E104" s="15">
        <f t="shared" ref="E104" si="34">SUM(E92:E103)</f>
        <v>1744.2293215689731</v>
      </c>
      <c r="F104" s="15">
        <f t="shared" ref="F104" si="35">SUM(F92:F103)</f>
        <v>59.499635977580063</v>
      </c>
      <c r="G104" s="15">
        <f t="shared" ref="G104" si="36">SUM(G92:G103)</f>
        <v>124.59317041903559</v>
      </c>
      <c r="H104" s="15">
        <f t="shared" ref="H104" si="37">SUM(H92:H103)</f>
        <v>817.60993772221536</v>
      </c>
      <c r="I104" s="15">
        <f t="shared" ref="I104" si="38">SUM(I92:I103)</f>
        <v>163.17317412196016</v>
      </c>
      <c r="J104" s="15">
        <f t="shared" ref="J104" si="39">SUM(J92:J103)</f>
        <v>50.042375010998825</v>
      </c>
      <c r="K104" s="15">
        <f t="shared" ref="K104" si="40">SUM(K92:K103)</f>
        <v>42.646562959680182</v>
      </c>
      <c r="L104" s="15">
        <f t="shared" ref="L104" si="41">SUM(L92:L103)</f>
        <v>14.722922970241051</v>
      </c>
      <c r="M104" s="8">
        <f>SUM(M92:M103)</f>
        <v>5364.1917486260381</v>
      </c>
      <c r="N104" s="8"/>
      <c r="O104" s="8"/>
    </row>
    <row r="105" spans="1:15" x14ac:dyDescent="0.2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1:15" x14ac:dyDescent="0.2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</row>
    <row r="107" spans="1:15" x14ac:dyDescent="0.2">
      <c r="C107" s="132" t="s">
        <v>41</v>
      </c>
      <c r="D107" s="132"/>
      <c r="E107" s="132"/>
      <c r="F107" s="132"/>
      <c r="G107" s="132"/>
      <c r="H107" s="132"/>
      <c r="I107" s="132"/>
      <c r="J107" s="132"/>
      <c r="K107" s="132"/>
      <c r="L107" s="132"/>
    </row>
    <row r="108" spans="1:15" x14ac:dyDescent="0.2">
      <c r="C108" s="24" t="s">
        <v>42</v>
      </c>
      <c r="D108" s="24" t="s">
        <v>43</v>
      </c>
      <c r="E108" s="24"/>
      <c r="F108" s="24" t="s">
        <v>44</v>
      </c>
      <c r="G108" s="24" t="s">
        <v>45</v>
      </c>
      <c r="H108" s="24"/>
      <c r="I108" s="24"/>
      <c r="J108" s="24" t="s">
        <v>0</v>
      </c>
      <c r="K108" s="24" t="s">
        <v>0</v>
      </c>
      <c r="L108" s="24" t="s">
        <v>46</v>
      </c>
    </row>
    <row r="109" spans="1:15" x14ac:dyDescent="0.2">
      <c r="C109" s="25" t="s">
        <v>47</v>
      </c>
      <c r="D109" s="25" t="s">
        <v>48</v>
      </c>
      <c r="E109" s="25" t="s">
        <v>24</v>
      </c>
      <c r="F109" s="25" t="s">
        <v>22</v>
      </c>
      <c r="G109" s="25" t="s">
        <v>23</v>
      </c>
      <c r="H109" s="25" t="s">
        <v>16</v>
      </c>
      <c r="I109" s="25" t="s">
        <v>1</v>
      </c>
      <c r="J109" s="25" t="s">
        <v>49</v>
      </c>
      <c r="K109" s="25" t="s">
        <v>50</v>
      </c>
      <c r="L109" s="25" t="s">
        <v>51</v>
      </c>
      <c r="M109" s="31" t="s">
        <v>3</v>
      </c>
    </row>
    <row r="110" spans="1:15" x14ac:dyDescent="0.2">
      <c r="A110" s="3" t="s">
        <v>59</v>
      </c>
    </row>
    <row r="111" spans="1:15" x14ac:dyDescent="0.2">
      <c r="A111" t="s">
        <v>37</v>
      </c>
      <c r="C111" s="9">
        <f t="shared" ref="C111:L111" si="42">+C76*C42</f>
        <v>169.02173966606307</v>
      </c>
      <c r="D111" s="9">
        <f t="shared" si="42"/>
        <v>5.1773043118576583</v>
      </c>
      <c r="E111" s="9">
        <f t="shared" si="42"/>
        <v>162.34304624744075</v>
      </c>
      <c r="F111" s="9">
        <f t="shared" si="42"/>
        <v>60.867518595599584</v>
      </c>
      <c r="G111" s="9">
        <f t="shared" si="42"/>
        <v>7.3300277037829531</v>
      </c>
      <c r="H111" s="9">
        <f t="shared" si="42"/>
        <v>-45.088586191455093</v>
      </c>
      <c r="I111" s="9">
        <f t="shared" si="42"/>
        <v>23.693603489620994</v>
      </c>
      <c r="J111" s="9">
        <f t="shared" si="42"/>
        <v>27.95572797064224</v>
      </c>
      <c r="K111" s="9">
        <f t="shared" si="42"/>
        <v>23.439609430982653</v>
      </c>
      <c r="L111" s="9">
        <f t="shared" si="42"/>
        <v>-0.20593475227485067</v>
      </c>
      <c r="M111" s="9">
        <f t="shared" ref="M111:M122" si="43">SUM(C111:L111)</f>
        <v>434.53405647225992</v>
      </c>
    </row>
    <row r="112" spans="1:15" x14ac:dyDescent="0.2">
      <c r="A112" t="s">
        <v>7</v>
      </c>
      <c r="C112" s="9">
        <f t="shared" ref="C112:L112" si="44">+C77*C43</f>
        <v>158.57967986702297</v>
      </c>
      <c r="D112" s="9">
        <f t="shared" si="44"/>
        <v>5.5731995013968172</v>
      </c>
      <c r="E112" s="9">
        <f t="shared" si="44"/>
        <v>189.77505833369975</v>
      </c>
      <c r="F112" s="9">
        <f t="shared" si="44"/>
        <v>52.12316890035224</v>
      </c>
      <c r="G112" s="9">
        <f t="shared" si="44"/>
        <v>6.3563391991224343</v>
      </c>
      <c r="H112" s="9">
        <f t="shared" si="44"/>
        <v>-41.524215992681903</v>
      </c>
      <c r="I112" s="9">
        <f t="shared" si="44"/>
        <v>19.016690507357588</v>
      </c>
      <c r="J112" s="9">
        <f t="shared" si="44"/>
        <v>20.604155413883156</v>
      </c>
      <c r="K112" s="9">
        <f t="shared" si="44"/>
        <v>17.753540493137379</v>
      </c>
      <c r="L112" s="9">
        <f t="shared" si="44"/>
        <v>-4.7615093149520227E-2</v>
      </c>
      <c r="M112" s="9">
        <f t="shared" si="43"/>
        <v>428.21000113014094</v>
      </c>
    </row>
    <row r="113" spans="1:13" x14ac:dyDescent="0.2">
      <c r="A113" t="s">
        <v>8</v>
      </c>
      <c r="C113" s="9">
        <f t="shared" ref="C113:L113" si="45">+C78*C44</f>
        <v>189.49099167876528</v>
      </c>
      <c r="D113" s="9">
        <f t="shared" si="45"/>
        <v>9.2732050313517416</v>
      </c>
      <c r="E113" s="9">
        <f t="shared" si="45"/>
        <v>212.02411126055111</v>
      </c>
      <c r="F113" s="9">
        <f t="shared" si="45"/>
        <v>65.704973650096491</v>
      </c>
      <c r="G113" s="9">
        <f t="shared" si="45"/>
        <v>8.7538850400940564</v>
      </c>
      <c r="H113" s="9">
        <f t="shared" si="45"/>
        <v>-36.534884067768012</v>
      </c>
      <c r="I113" s="9">
        <f t="shared" si="45"/>
        <v>27.362123860484751</v>
      </c>
      <c r="J113" s="9">
        <f t="shared" si="45"/>
        <v>24.449913155673464</v>
      </c>
      <c r="K113" s="9">
        <f t="shared" si="45"/>
        <v>15.338335933920174</v>
      </c>
      <c r="L113" s="9">
        <f t="shared" si="45"/>
        <v>-0.57794390829615361</v>
      </c>
      <c r="M113" s="9">
        <f t="shared" si="43"/>
        <v>515.28471163487291</v>
      </c>
    </row>
    <row r="114" spans="1:13" x14ac:dyDescent="0.2">
      <c r="A114" t="s">
        <v>9</v>
      </c>
      <c r="C114" s="9">
        <f t="shared" ref="C114:L114" si="46">+C79*C45</f>
        <v>188.86177898504832</v>
      </c>
      <c r="D114" s="9">
        <f t="shared" si="46"/>
        <v>6.4154140989740496</v>
      </c>
      <c r="E114" s="9">
        <f t="shared" si="46"/>
        <v>211.51417793699463</v>
      </c>
      <c r="F114" s="9">
        <f t="shared" si="46"/>
        <v>65.067012417284261</v>
      </c>
      <c r="G114" s="9">
        <f t="shared" si="46"/>
        <v>10.82935757453229</v>
      </c>
      <c r="H114" s="9">
        <f t="shared" si="46"/>
        <v>-38.306947238853368</v>
      </c>
      <c r="I114" s="9">
        <f t="shared" si="46"/>
        <v>23.126040347254076</v>
      </c>
      <c r="J114" s="9">
        <f t="shared" si="46"/>
        <v>21.614576640615574</v>
      </c>
      <c r="K114" s="9">
        <f t="shared" si="46"/>
        <v>15.396743734761621</v>
      </c>
      <c r="L114" s="9">
        <f t="shared" si="46"/>
        <v>-0.66179973476161746</v>
      </c>
      <c r="M114" s="9">
        <f t="shared" si="43"/>
        <v>503.85635476184984</v>
      </c>
    </row>
    <row r="115" spans="1:13" x14ac:dyDescent="0.2">
      <c r="A115" t="s">
        <v>10</v>
      </c>
      <c r="C115" s="9">
        <f t="shared" ref="C115:L115" si="47">+C80*C46</f>
        <v>192.44149746912072</v>
      </c>
      <c r="D115" s="9">
        <f t="shared" si="47"/>
        <v>5.8367261170116462</v>
      </c>
      <c r="E115" s="9">
        <f t="shared" si="47"/>
        <v>154.39256663755955</v>
      </c>
      <c r="F115" s="9">
        <f t="shared" si="47"/>
        <v>63.567301019178068</v>
      </c>
      <c r="G115" s="9">
        <f t="shared" si="47"/>
        <v>8.8490229986120319</v>
      </c>
      <c r="H115" s="9">
        <f t="shared" si="47"/>
        <v>-41.609585268384521</v>
      </c>
      <c r="I115" s="9">
        <f t="shared" si="47"/>
        <v>18.84897183754752</v>
      </c>
      <c r="J115" s="9">
        <f t="shared" si="47"/>
        <v>23.971607078329608</v>
      </c>
      <c r="K115" s="9">
        <f t="shared" si="47"/>
        <v>18.468483322973867</v>
      </c>
      <c r="L115" s="9">
        <f t="shared" si="47"/>
        <v>-1.0288584795667126</v>
      </c>
      <c r="M115" s="9">
        <f t="shared" si="43"/>
        <v>443.73773273238174</v>
      </c>
    </row>
    <row r="116" spans="1:13" x14ac:dyDescent="0.2">
      <c r="A116" t="s">
        <v>11</v>
      </c>
      <c r="C116" s="9">
        <f t="shared" ref="C116:L116" si="48">+C81*C47</f>
        <v>208.7318853173077</v>
      </c>
      <c r="D116" s="9">
        <f t="shared" si="48"/>
        <v>8.6426550126729982</v>
      </c>
      <c r="E116" s="9">
        <f t="shared" si="48"/>
        <v>172.53990932902718</v>
      </c>
      <c r="F116" s="9">
        <f t="shared" si="48"/>
        <v>58.067709181054887</v>
      </c>
      <c r="G116" s="9">
        <f t="shared" si="48"/>
        <v>10.482571565368524</v>
      </c>
      <c r="H116" s="9">
        <f t="shared" si="48"/>
        <v>-37.119628430600272</v>
      </c>
      <c r="I116" s="9">
        <f t="shared" si="48"/>
        <v>18.222896999155136</v>
      </c>
      <c r="J116" s="9">
        <f t="shared" si="48"/>
        <v>21.751237492154818</v>
      </c>
      <c r="K116" s="9">
        <f t="shared" si="48"/>
        <v>17.471576726142583</v>
      </c>
      <c r="L116" s="9">
        <f t="shared" si="48"/>
        <v>-0.720088203412657</v>
      </c>
      <c r="M116" s="9">
        <f t="shared" si="43"/>
        <v>478.07072498887095</v>
      </c>
    </row>
    <row r="117" spans="1:13" x14ac:dyDescent="0.2">
      <c r="A117" t="s">
        <v>12</v>
      </c>
      <c r="C117" s="9">
        <f t="shared" ref="C117:L117" si="49">+C82*C48</f>
        <v>257.74009755273767</v>
      </c>
      <c r="D117" s="9">
        <f t="shared" si="49"/>
        <v>12.048321112204723</v>
      </c>
      <c r="E117" s="9">
        <f t="shared" si="49"/>
        <v>190.42536608422165</v>
      </c>
      <c r="F117" s="9">
        <f t="shared" si="49"/>
        <v>63.953137508055725</v>
      </c>
      <c r="G117" s="9">
        <f t="shared" si="49"/>
        <v>13.166430256898847</v>
      </c>
      <c r="H117" s="9">
        <f t="shared" si="49"/>
        <v>-39.395378981538457</v>
      </c>
      <c r="I117" s="9">
        <f t="shared" si="49"/>
        <v>16.612360270866141</v>
      </c>
      <c r="J117" s="9">
        <f t="shared" si="49"/>
        <v>21.538298312537851</v>
      </c>
      <c r="K117" s="9">
        <f t="shared" si="49"/>
        <v>10.403836437916414</v>
      </c>
      <c r="L117" s="9">
        <f t="shared" si="49"/>
        <v>-1.0143193112235009</v>
      </c>
      <c r="M117" s="9">
        <f t="shared" si="43"/>
        <v>545.47814924267709</v>
      </c>
    </row>
    <row r="118" spans="1:13" x14ac:dyDescent="0.2">
      <c r="A118" t="s">
        <v>38</v>
      </c>
      <c r="C118" s="9">
        <f t="shared" ref="C118:L118" si="50">+C83*C49</f>
        <v>220.75185735032647</v>
      </c>
      <c r="D118" s="9">
        <f t="shared" si="50"/>
        <v>16.113307436970977</v>
      </c>
      <c r="E118" s="9">
        <f t="shared" si="50"/>
        <v>228.09676406162032</v>
      </c>
      <c r="F118" s="9">
        <f t="shared" si="50"/>
        <v>67.341952210701322</v>
      </c>
      <c r="G118" s="9">
        <f t="shared" si="50"/>
        <v>16.921531244204957</v>
      </c>
      <c r="H118" s="9">
        <f t="shared" si="50"/>
        <v>-44.571914122218857</v>
      </c>
      <c r="I118" s="9">
        <f t="shared" si="50"/>
        <v>19.95674652576783</v>
      </c>
      <c r="J118" s="9">
        <f t="shared" si="50"/>
        <v>24.761583507859736</v>
      </c>
      <c r="K118" s="9">
        <f t="shared" si="50"/>
        <v>10.340214453446189</v>
      </c>
      <c r="L118" s="9">
        <f t="shared" si="50"/>
        <v>-0.98391930884522338</v>
      </c>
      <c r="M118" s="9">
        <f t="shared" si="43"/>
        <v>558.72812335983372</v>
      </c>
    </row>
    <row r="119" spans="1:13" x14ac:dyDescent="0.2">
      <c r="A119" t="s">
        <v>15</v>
      </c>
      <c r="C119" s="9">
        <f t="shared" ref="C119:L119" si="51">+C84*C50</f>
        <v>196.40291500531526</v>
      </c>
      <c r="D119" s="9">
        <f t="shared" si="51"/>
        <v>17.756217130038987</v>
      </c>
      <c r="E119" s="9">
        <f t="shared" si="51"/>
        <v>209.34818311173183</v>
      </c>
      <c r="F119" s="9">
        <f t="shared" si="51"/>
        <v>57.752653690898669</v>
      </c>
      <c r="G119" s="9">
        <f t="shared" si="51"/>
        <v>12.894474390599253</v>
      </c>
      <c r="H119" s="9">
        <f t="shared" si="51"/>
        <v>-32.41689707009364</v>
      </c>
      <c r="I119" s="9">
        <f t="shared" si="51"/>
        <v>22.661527055986493</v>
      </c>
      <c r="J119" s="9">
        <f t="shared" si="51"/>
        <v>25.694331547164495</v>
      </c>
      <c r="K119" s="9">
        <f t="shared" si="51"/>
        <v>8.5757913156625527</v>
      </c>
      <c r="L119" s="9">
        <f t="shared" si="51"/>
        <v>-0.73513172919094871</v>
      </c>
      <c r="M119" s="9">
        <f t="shared" si="43"/>
        <v>517.93406444811296</v>
      </c>
    </row>
    <row r="120" spans="1:13" x14ac:dyDescent="0.2">
      <c r="A120" t="s">
        <v>13</v>
      </c>
      <c r="C120" s="9">
        <f t="shared" ref="C120:L120" si="52">+C85*C51</f>
        <v>254.80311232068749</v>
      </c>
      <c r="D120" s="9">
        <f t="shared" si="52"/>
        <v>15.653867823439192</v>
      </c>
      <c r="E120" s="9">
        <f t="shared" si="52"/>
        <v>323.19949734921516</v>
      </c>
      <c r="F120" s="9">
        <f t="shared" si="52"/>
        <v>68.733334910718156</v>
      </c>
      <c r="G120" s="9">
        <f t="shared" si="52"/>
        <v>17.54001829892638</v>
      </c>
      <c r="H120" s="9">
        <f t="shared" si="52"/>
        <v>-36.869195201984851</v>
      </c>
      <c r="I120" s="9">
        <f t="shared" si="52"/>
        <v>28.99135323431975</v>
      </c>
      <c r="J120" s="9">
        <f t="shared" si="52"/>
        <v>31.150255647780586</v>
      </c>
      <c r="K120" s="9">
        <f t="shared" si="52"/>
        <v>13.34896060447492</v>
      </c>
      <c r="L120" s="9">
        <f t="shared" si="52"/>
        <v>-1.5663445121887405</v>
      </c>
      <c r="M120" s="9">
        <f t="shared" si="43"/>
        <v>714.9848604753879</v>
      </c>
    </row>
    <row r="121" spans="1:13" x14ac:dyDescent="0.2">
      <c r="A121" t="s">
        <v>14</v>
      </c>
      <c r="C121" s="9">
        <f t="shared" ref="C121:L121" si="53">+C86*C52</f>
        <v>153.36532822978722</v>
      </c>
      <c r="D121" s="9">
        <f t="shared" si="53"/>
        <v>5.0401058027937973</v>
      </c>
      <c r="E121" s="9">
        <f t="shared" si="53"/>
        <v>240.29794173972959</v>
      </c>
      <c r="F121" s="9">
        <f t="shared" si="53"/>
        <v>66.124753501327305</v>
      </c>
      <c r="G121" s="9">
        <f t="shared" si="53"/>
        <v>15.531647759382583</v>
      </c>
      <c r="H121" s="9">
        <f t="shared" si="53"/>
        <v>-31.33046826288129</v>
      </c>
      <c r="I121" s="9">
        <f t="shared" si="53"/>
        <v>27.74192511343011</v>
      </c>
      <c r="J121" s="9">
        <f t="shared" si="53"/>
        <v>29.266663654802148</v>
      </c>
      <c r="K121" s="9">
        <f t="shared" si="53"/>
        <v>14.855009823424139</v>
      </c>
      <c r="L121" s="9">
        <f t="shared" si="53"/>
        <v>-0.61215243448001588</v>
      </c>
      <c r="M121" s="9">
        <f t="shared" si="43"/>
        <v>520.28075492731557</v>
      </c>
    </row>
    <row r="122" spans="1:13" ht="15" x14ac:dyDescent="0.35">
      <c r="A122" t="s">
        <v>2</v>
      </c>
      <c r="C122" s="10">
        <f t="shared" ref="C122:L122" si="54">+C87*C53</f>
        <v>174.89592568106312</v>
      </c>
      <c r="D122" s="10">
        <f t="shared" si="54"/>
        <v>-0.58136710963455152</v>
      </c>
      <c r="E122" s="10">
        <f t="shared" si="54"/>
        <v>253.42792415282392</v>
      </c>
      <c r="F122" s="10">
        <f t="shared" si="54"/>
        <v>72.249377267441858</v>
      </c>
      <c r="G122" s="10">
        <f t="shared" si="54"/>
        <v>14.393363546511626</v>
      </c>
      <c r="H122" s="10">
        <f t="shared" si="54"/>
        <v>-38.010265639534893</v>
      </c>
      <c r="I122" s="10">
        <f t="shared" si="54"/>
        <v>26.645964867109633</v>
      </c>
      <c r="J122" s="10">
        <f t="shared" si="54"/>
        <v>32.402215128737545</v>
      </c>
      <c r="K122" s="10">
        <f t="shared" si="54"/>
        <v>13.397761769102988</v>
      </c>
      <c r="L122" s="10">
        <f t="shared" si="54"/>
        <v>-1.5327127076411959</v>
      </c>
      <c r="M122" s="10">
        <f t="shared" si="43"/>
        <v>547.28818695598</v>
      </c>
    </row>
    <row r="123" spans="1:13" ht="15" x14ac:dyDescent="0.35">
      <c r="C123" s="11">
        <f>SUM(C111:C122)</f>
        <v>2365.0868091232451</v>
      </c>
      <c r="D123" s="11">
        <f t="shared" ref="D123" si="55">SUM(D111:D122)</f>
        <v>106.94895626907804</v>
      </c>
      <c r="E123" s="11">
        <f t="shared" ref="E123" si="56">SUM(E111:E122)</f>
        <v>2547.3845462446152</v>
      </c>
      <c r="F123" s="11">
        <f t="shared" ref="F123" si="57">SUM(F111:F122)</f>
        <v>761.55289285270851</v>
      </c>
      <c r="G123" s="11">
        <f t="shared" ref="G123" si="58">SUM(G111:G122)</f>
        <v>143.04866957803594</v>
      </c>
      <c r="H123" s="11">
        <f t="shared" ref="H123" si="59">SUM(H111:H122)</f>
        <v>-462.77796646799521</v>
      </c>
      <c r="I123" s="11">
        <f t="shared" ref="I123" si="60">SUM(I111:I122)</f>
        <v>272.88020410890005</v>
      </c>
      <c r="J123" s="11">
        <f t="shared" ref="J123" si="61">SUM(J111:J122)</f>
        <v>305.16056555018127</v>
      </c>
      <c r="K123" s="11">
        <f t="shared" ref="K123" si="62">SUM(K111:K122)</f>
        <v>178.78986404594548</v>
      </c>
      <c r="L123" s="11">
        <f t="shared" ref="L123" si="63">SUM(L111:L122)</f>
        <v>-9.6868201750311353</v>
      </c>
      <c r="M123" s="11">
        <f>SUM(M111:M122)</f>
        <v>6208.3877211296831</v>
      </c>
    </row>
    <row r="124" spans="1:13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3" x14ac:dyDescent="0.2">
      <c r="A126" s="3" t="s">
        <v>60</v>
      </c>
    </row>
    <row r="127" spans="1:13" x14ac:dyDescent="0.2">
      <c r="A127" t="s">
        <v>37</v>
      </c>
      <c r="C127" s="9">
        <f t="shared" ref="C127:L127" si="64">+C92*C42</f>
        <v>15928.286799958991</v>
      </c>
      <c r="D127" s="9">
        <f t="shared" si="64"/>
        <v>487.89929681744309</v>
      </c>
      <c r="E127" s="9">
        <f t="shared" si="64"/>
        <v>15298.89945350882</v>
      </c>
      <c r="F127" s="9">
        <f t="shared" si="64"/>
        <v>5736.039014318646</v>
      </c>
      <c r="G127" s="9">
        <f t="shared" si="64"/>
        <v>690.7678488469744</v>
      </c>
      <c r="H127" s="9">
        <f t="shared" si="64"/>
        <v>-4249.0624796614102</v>
      </c>
      <c r="I127" s="9">
        <f t="shared" si="64"/>
        <v>2232.8400621885685</v>
      </c>
      <c r="J127" s="9">
        <f t="shared" si="64"/>
        <v>2634.4945549476661</v>
      </c>
      <c r="K127" s="9">
        <f t="shared" si="64"/>
        <v>2208.9041459006985</v>
      </c>
      <c r="L127" s="9">
        <f t="shared" si="64"/>
        <v>-19.406898797710927</v>
      </c>
      <c r="M127" s="9">
        <f t="shared" ref="M127:M138" si="65">SUM(C127:L127)</f>
        <v>40949.661798028697</v>
      </c>
    </row>
    <row r="128" spans="1:13" x14ac:dyDescent="0.2">
      <c r="A128" t="s">
        <v>7</v>
      </c>
      <c r="C128" s="9">
        <f t="shared" ref="C128:L128" si="66">+C93*C43</f>
        <v>14944.246974135163</v>
      </c>
      <c r="D128" s="9">
        <f t="shared" si="66"/>
        <v>525.20770539353816</v>
      </c>
      <c r="E128" s="9">
        <f t="shared" si="66"/>
        <v>17884.040021066274</v>
      </c>
      <c r="F128" s="9">
        <f t="shared" si="66"/>
        <v>4911.9881549427182</v>
      </c>
      <c r="G128" s="9">
        <f t="shared" si="66"/>
        <v>599.00929881253796</v>
      </c>
      <c r="H128" s="9">
        <f t="shared" si="66"/>
        <v>-3913.1630214055945</v>
      </c>
      <c r="I128" s="9">
        <f t="shared" si="66"/>
        <v>1792.096691145746</v>
      </c>
      <c r="J128" s="9">
        <f t="shared" si="66"/>
        <v>1941.6963601940363</v>
      </c>
      <c r="K128" s="9">
        <f t="shared" si="66"/>
        <v>1673.0598398056604</v>
      </c>
      <c r="L128" s="9">
        <f t="shared" si="66"/>
        <v>-4.4871556829952626</v>
      </c>
      <c r="M128" s="9">
        <f t="shared" si="65"/>
        <v>40353.694868407089</v>
      </c>
    </row>
    <row r="129" spans="1:25" x14ac:dyDescent="0.2">
      <c r="A129" t="s">
        <v>8</v>
      </c>
      <c r="C129" s="9">
        <f t="shared" ref="C129:L129" si="67">+C94*C44</f>
        <v>17857.270120584595</v>
      </c>
      <c r="D129" s="9">
        <f t="shared" si="67"/>
        <v>873.88917890690936</v>
      </c>
      <c r="E129" s="9">
        <f t="shared" si="67"/>
        <v>19980.748389744313</v>
      </c>
      <c r="F129" s="9">
        <f t="shared" si="67"/>
        <v>6191.9115644543299</v>
      </c>
      <c r="G129" s="9">
        <f t="shared" si="67"/>
        <v>824.9494521117208</v>
      </c>
      <c r="H129" s="9">
        <f t="shared" si="67"/>
        <v>-3442.97788429109</v>
      </c>
      <c r="I129" s="9">
        <f t="shared" si="67"/>
        <v>2578.5544342809198</v>
      </c>
      <c r="J129" s="9">
        <f t="shared" si="67"/>
        <v>2304.1132445275139</v>
      </c>
      <c r="K129" s="9">
        <f t="shared" si="67"/>
        <v>1445.4555625346677</v>
      </c>
      <c r="L129" s="9">
        <f t="shared" si="67"/>
        <v>-54.464333072289897</v>
      </c>
      <c r="M129" s="9">
        <f t="shared" si="65"/>
        <v>48559.449729781591</v>
      </c>
    </row>
    <row r="130" spans="1:25" x14ac:dyDescent="0.2">
      <c r="A130" t="s">
        <v>9</v>
      </c>
      <c r="C130" s="9">
        <f t="shared" ref="C130:L130" si="68">+C95*C45</f>
        <v>17797.974314829076</v>
      </c>
      <c r="D130" s="9">
        <f t="shared" si="68"/>
        <v>604.57640485093543</v>
      </c>
      <c r="E130" s="9">
        <f t="shared" si="68"/>
        <v>19932.69324463392</v>
      </c>
      <c r="F130" s="9">
        <f t="shared" si="68"/>
        <v>6131.7913130383604</v>
      </c>
      <c r="G130" s="9">
        <f t="shared" si="68"/>
        <v>1020.538030476162</v>
      </c>
      <c r="H130" s="9">
        <f t="shared" si="68"/>
        <v>-3609.9737421757527</v>
      </c>
      <c r="I130" s="9">
        <f t="shared" si="68"/>
        <v>2179.3539927245624</v>
      </c>
      <c r="J130" s="9">
        <f t="shared" si="68"/>
        <v>2036.9165319894391</v>
      </c>
      <c r="K130" s="9">
        <f t="shared" si="68"/>
        <v>1450.9598024330119</v>
      </c>
      <c r="L130" s="9">
        <f t="shared" si="68"/>
        <v>-62.366746433011478</v>
      </c>
      <c r="M130" s="9">
        <f t="shared" si="65"/>
        <v>47482.463146366703</v>
      </c>
    </row>
    <row r="131" spans="1:25" x14ac:dyDescent="0.2">
      <c r="A131" t="s">
        <v>10</v>
      </c>
      <c r="C131" s="9">
        <f t="shared" ref="C131:L131" si="69">+C96*C46</f>
        <v>18135.320166256661</v>
      </c>
      <c r="D131" s="9">
        <f t="shared" si="69"/>
        <v>550.04195169362129</v>
      </c>
      <c r="E131" s="9">
        <f t="shared" si="69"/>
        <v>14549.661398844302</v>
      </c>
      <c r="F131" s="9">
        <f t="shared" si="69"/>
        <v>5990.4613674739703</v>
      </c>
      <c r="G131" s="9">
        <f t="shared" si="69"/>
        <v>833.91507210729571</v>
      </c>
      <c r="H131" s="9">
        <f t="shared" si="69"/>
        <v>-3921.2080593396649</v>
      </c>
      <c r="I131" s="9">
        <f t="shared" si="69"/>
        <v>1776.2912031669782</v>
      </c>
      <c r="J131" s="9">
        <f t="shared" si="69"/>
        <v>2259.0385908578237</v>
      </c>
      <c r="K131" s="9">
        <f t="shared" si="69"/>
        <v>1740.4346902935847</v>
      </c>
      <c r="L131" s="9">
        <f t="shared" si="69"/>
        <v>-96.957663383929727</v>
      </c>
      <c r="M131" s="9">
        <f t="shared" si="65"/>
        <v>41816.99871797063</v>
      </c>
    </row>
    <row r="132" spans="1:25" x14ac:dyDescent="0.2">
      <c r="A132" t="s">
        <v>11</v>
      </c>
      <c r="C132" s="9">
        <f t="shared" ref="C132:L132" si="70">+C97*C47</f>
        <v>19670.495287759615</v>
      </c>
      <c r="D132" s="9">
        <f t="shared" si="70"/>
        <v>814.46734619427923</v>
      </c>
      <c r="E132" s="9">
        <f t="shared" si="70"/>
        <v>16259.83240772118</v>
      </c>
      <c r="F132" s="9">
        <f t="shared" si="70"/>
        <v>5472.1903080622669</v>
      </c>
      <c r="G132" s="9">
        <f t="shared" si="70"/>
        <v>987.85757751734786</v>
      </c>
      <c r="H132" s="9">
        <f t="shared" si="70"/>
        <v>-3498.0830792456154</v>
      </c>
      <c r="I132" s="9">
        <f t="shared" si="70"/>
        <v>1717.2911029203815</v>
      </c>
      <c r="J132" s="9">
        <f t="shared" si="70"/>
        <v>2049.7951903321136</v>
      </c>
      <c r="K132" s="9">
        <f t="shared" si="70"/>
        <v>1646.4881114779128</v>
      </c>
      <c r="L132" s="9">
        <f t="shared" si="70"/>
        <v>-67.859740693030872</v>
      </c>
      <c r="M132" s="9">
        <f t="shared" si="65"/>
        <v>45052.47451204645</v>
      </c>
    </row>
    <row r="133" spans="1:25" x14ac:dyDescent="0.2">
      <c r="A133" t="s">
        <v>12</v>
      </c>
      <c r="C133" s="9">
        <f t="shared" ref="C133:L133" si="71">+C98*C48</f>
        <v>24288.935859850848</v>
      </c>
      <c r="D133" s="9">
        <f t="shared" si="71"/>
        <v>1135.4108324311023</v>
      </c>
      <c r="E133" s="9">
        <f t="shared" si="71"/>
        <v>17945.323784794029</v>
      </c>
      <c r="F133" s="9">
        <f t="shared" si="71"/>
        <v>6026.8218632591561</v>
      </c>
      <c r="G133" s="9">
        <f t="shared" si="71"/>
        <v>1240.7793084953723</v>
      </c>
      <c r="H133" s="9">
        <f t="shared" si="71"/>
        <v>-3712.5454764030765</v>
      </c>
      <c r="I133" s="9">
        <f t="shared" si="71"/>
        <v>1565.5171893354329</v>
      </c>
      <c r="J133" s="9">
        <f t="shared" si="71"/>
        <v>2029.7282076434481</v>
      </c>
      <c r="K133" s="9">
        <f t="shared" si="71"/>
        <v>980.43772907793232</v>
      </c>
      <c r="L133" s="9">
        <f t="shared" si="71"/>
        <v>-95.587519852919442</v>
      </c>
      <c r="M133" s="9">
        <f t="shared" si="65"/>
        <v>51404.82177863134</v>
      </c>
    </row>
    <row r="134" spans="1:25" x14ac:dyDescent="0.2">
      <c r="A134" t="s">
        <v>38</v>
      </c>
      <c r="C134" s="9">
        <f t="shared" ref="C134:L134" si="72">+C99*C49</f>
        <v>20803.234556966479</v>
      </c>
      <c r="D134" s="9">
        <f t="shared" si="72"/>
        <v>1518.4874008459794</v>
      </c>
      <c r="E134" s="9">
        <f t="shared" si="72"/>
        <v>21495.404575140314</v>
      </c>
      <c r="F134" s="9">
        <f t="shared" si="72"/>
        <v>6346.1773059513289</v>
      </c>
      <c r="G134" s="9">
        <f t="shared" si="72"/>
        <v>1594.6528729657907</v>
      </c>
      <c r="H134" s="9">
        <f t="shared" si="72"/>
        <v>-4200.3722879938623</v>
      </c>
      <c r="I134" s="9">
        <f t="shared" si="72"/>
        <v>1880.6857797378352</v>
      </c>
      <c r="J134" s="9">
        <f t="shared" si="72"/>
        <v>2333.4844648597336</v>
      </c>
      <c r="K134" s="9">
        <f t="shared" si="72"/>
        <v>974.44211444619089</v>
      </c>
      <c r="L134" s="9">
        <f t="shared" si="72"/>
        <v>-92.722681533557008</v>
      </c>
      <c r="M134" s="9">
        <f t="shared" si="65"/>
        <v>52653.474101386222</v>
      </c>
    </row>
    <row r="135" spans="1:25" x14ac:dyDescent="0.2">
      <c r="A135" t="s">
        <v>15</v>
      </c>
      <c r="C135" s="9">
        <f t="shared" ref="C135:L135" si="73">+C100*C50</f>
        <v>18508.636609310423</v>
      </c>
      <c r="D135" s="9">
        <f t="shared" si="73"/>
        <v>1673.3120809689119</v>
      </c>
      <c r="E135" s="9">
        <f t="shared" si="73"/>
        <v>19728.574018005584</v>
      </c>
      <c r="F135" s="9">
        <f t="shared" si="73"/>
        <v>5442.5000787756408</v>
      </c>
      <c r="G135" s="9">
        <f t="shared" si="73"/>
        <v>1215.1507056664723</v>
      </c>
      <c r="H135" s="9">
        <f t="shared" si="73"/>
        <v>-3054.9066334150152</v>
      </c>
      <c r="I135" s="9">
        <f t="shared" si="73"/>
        <v>2135.579144942727</v>
      </c>
      <c r="J135" s="9">
        <f t="shared" si="73"/>
        <v>2421.3848634208821</v>
      </c>
      <c r="K135" s="9">
        <f t="shared" si="73"/>
        <v>808.16623874743766</v>
      </c>
      <c r="L135" s="9">
        <f t="shared" si="73"/>
        <v>-69.277413908042249</v>
      </c>
      <c r="M135" s="9">
        <f t="shared" si="65"/>
        <v>48809.119692515022</v>
      </c>
    </row>
    <row r="136" spans="1:25" x14ac:dyDescent="0.2">
      <c r="A136" t="s">
        <v>13</v>
      </c>
      <c r="C136" s="9">
        <f t="shared" ref="C136:L136" si="74">+C101*C51</f>
        <v>24012.159965840023</v>
      </c>
      <c r="D136" s="9">
        <f t="shared" si="74"/>
        <v>1475.1906867898169</v>
      </c>
      <c r="E136" s="9">
        <f t="shared" si="74"/>
        <v>30457.705012099846</v>
      </c>
      <c r="F136" s="9">
        <f t="shared" si="74"/>
        <v>6477.2985613481533</v>
      </c>
      <c r="G136" s="9">
        <f t="shared" si="74"/>
        <v>1652.9379149321574</v>
      </c>
      <c r="H136" s="9">
        <f t="shared" si="74"/>
        <v>-3474.4827287965722</v>
      </c>
      <c r="I136" s="9">
        <f t="shared" si="74"/>
        <v>2732.0899071770846</v>
      </c>
      <c r="J136" s="9">
        <f t="shared" si="74"/>
        <v>2935.5407584265608</v>
      </c>
      <c r="K136" s="9">
        <f t="shared" si="74"/>
        <v>1257.9806207740885</v>
      </c>
      <c r="L136" s="9">
        <f t="shared" si="74"/>
        <v>-147.60932331531035</v>
      </c>
      <c r="M136" s="9">
        <f t="shared" si="65"/>
        <v>67378.811375275851</v>
      </c>
    </row>
    <row r="137" spans="1:25" x14ac:dyDescent="0.2">
      <c r="A137" t="s">
        <v>14</v>
      </c>
      <c r="C137" s="9">
        <f t="shared" ref="C137:L137" si="75">+C102*C52</f>
        <v>14452.856407940424</v>
      </c>
      <c r="D137" s="9">
        <f t="shared" si="75"/>
        <v>474.96997065375825</v>
      </c>
      <c r="E137" s="9">
        <f t="shared" si="75"/>
        <v>22645.220319186894</v>
      </c>
      <c r="F137" s="9">
        <f t="shared" si="75"/>
        <v>6231.4708180536536</v>
      </c>
      <c r="G137" s="9">
        <f t="shared" si="75"/>
        <v>1463.6729007532442</v>
      </c>
      <c r="H137" s="9">
        <f t="shared" si="75"/>
        <v>-2952.5236520115272</v>
      </c>
      <c r="I137" s="9">
        <f t="shared" si="75"/>
        <v>2614.3461809275327</v>
      </c>
      <c r="J137" s="9">
        <f t="shared" si="75"/>
        <v>2758.0346368025453</v>
      </c>
      <c r="K137" s="9">
        <f t="shared" si="75"/>
        <v>1399.9078305026844</v>
      </c>
      <c r="L137" s="9">
        <f t="shared" si="75"/>
        <v>-57.688079420759586</v>
      </c>
      <c r="M137" s="9">
        <f t="shared" si="65"/>
        <v>49030.267333388438</v>
      </c>
    </row>
    <row r="138" spans="1:25" ht="15" x14ac:dyDescent="0.35">
      <c r="A138" t="s">
        <v>2</v>
      </c>
      <c r="C138" s="10">
        <f t="shared" ref="C138:L138" si="76">+C103*C53</f>
        <v>16481.858901086853</v>
      </c>
      <c r="D138" s="10">
        <f t="shared" si="76"/>
        <v>-54.786929046037017</v>
      </c>
      <c r="E138" s="10">
        <f t="shared" si="76"/>
        <v>23882.564852306594</v>
      </c>
      <c r="F138" s="10">
        <f t="shared" si="76"/>
        <v>6808.6436958222594</v>
      </c>
      <c r="G138" s="10">
        <f t="shared" si="76"/>
        <v>1356.4031646926908</v>
      </c>
      <c r="H138" s="10">
        <f t="shared" si="76"/>
        <v>-3582.0150333637876</v>
      </c>
      <c r="I138" s="10">
        <f t="shared" si="76"/>
        <v>2511.064974857617</v>
      </c>
      <c r="J138" s="10">
        <f t="shared" si="76"/>
        <v>3053.5230352272183</v>
      </c>
      <c r="K138" s="10">
        <f t="shared" si="76"/>
        <v>1262.5795495740388</v>
      </c>
      <c r="L138" s="10">
        <f t="shared" si="76"/>
        <v>-144.43992611532983</v>
      </c>
      <c r="M138" s="10">
        <f t="shared" si="65"/>
        <v>51575.396285042123</v>
      </c>
    </row>
    <row r="139" spans="1:25" ht="15" x14ac:dyDescent="0.35">
      <c r="C139" s="11">
        <f>SUM(C127:C138)</f>
        <v>222881.27596451915</v>
      </c>
      <c r="D139" s="11">
        <f t="shared" ref="D139" si="77">SUM(D127:D138)</f>
        <v>10078.665926500256</v>
      </c>
      <c r="E139" s="11">
        <f t="shared" ref="E139" si="78">SUM(E127:E138)</f>
        <v>240060.66747705205</v>
      </c>
      <c r="F139" s="11">
        <f t="shared" ref="F139" si="79">SUM(F127:F138)</f>
        <v>71767.294045500486</v>
      </c>
      <c r="G139" s="11">
        <f t="shared" ref="G139" si="80">SUM(G127:G138)</f>
        <v>13480.634147377767</v>
      </c>
      <c r="H139" s="11">
        <f t="shared" ref="H139" si="81">SUM(H127:H138)</f>
        <v>-43611.314078102965</v>
      </c>
      <c r="I139" s="11">
        <f t="shared" ref="I139" si="82">SUM(I127:I138)</f>
        <v>25715.710663405385</v>
      </c>
      <c r="J139" s="11">
        <f t="shared" ref="J139" si="83">SUM(J127:J138)</f>
        <v>28757.750439228981</v>
      </c>
      <c r="K139" s="11">
        <f t="shared" ref="K139" si="84">SUM(K127:K138)</f>
        <v>16848.816235567909</v>
      </c>
      <c r="L139" s="11">
        <f t="shared" ref="L139" si="85">SUM(L127:L138)</f>
        <v>-912.8674822088866</v>
      </c>
      <c r="M139" s="11">
        <f>SUM(M127:M138)</f>
        <v>585066.6333388401</v>
      </c>
    </row>
    <row r="140" spans="1:25" ht="15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25" ht="15" x14ac:dyDescent="0.35">
      <c r="A141" s="142" t="s">
        <v>107</v>
      </c>
      <c r="B141" s="143"/>
      <c r="C141" s="82">
        <f>+C139/C104</f>
        <v>103.2692617038372</v>
      </c>
      <c r="D141" s="82">
        <f t="shared" ref="D141:M141" si="86">+D139/D104</f>
        <v>53.207795055128827</v>
      </c>
      <c r="E141" s="82">
        <f t="shared" si="86"/>
        <v>137.63136791044892</v>
      </c>
      <c r="F141" s="82">
        <f t="shared" si="86"/>
        <v>1206.1803886084779</v>
      </c>
      <c r="G141" s="82">
        <f t="shared" si="86"/>
        <v>108.19721580275454</v>
      </c>
      <c r="H141" s="82">
        <f t="shared" si="86"/>
        <v>-53.339999999999996</v>
      </c>
      <c r="I141" s="82">
        <f t="shared" si="86"/>
        <v>157.59766151380219</v>
      </c>
      <c r="J141" s="82">
        <f t="shared" si="86"/>
        <v>574.66797754719494</v>
      </c>
      <c r="K141" s="82">
        <f t="shared" si="86"/>
        <v>395.08028469955417</v>
      </c>
      <c r="L141" s="82">
        <f t="shared" si="86"/>
        <v>-62.003141906945714</v>
      </c>
      <c r="M141" s="82">
        <f t="shared" si="86"/>
        <v>109.06892608540637</v>
      </c>
    </row>
    <row r="142" spans="1:25" x14ac:dyDescent="0.2">
      <c r="A142" s="143"/>
      <c r="B142" s="143"/>
    </row>
    <row r="143" spans="1:25" s="1" customFormat="1" ht="15" x14ac:dyDescent="0.35">
      <c r="A143" s="142" t="s">
        <v>108</v>
      </c>
      <c r="B143" s="142"/>
      <c r="C143" s="144">
        <v>78.52</v>
      </c>
      <c r="D143" s="144">
        <v>30.14</v>
      </c>
      <c r="E143" s="144">
        <v>103.42</v>
      </c>
      <c r="F143" s="144">
        <v>1056.3900000000001</v>
      </c>
      <c r="G143" s="144">
        <v>84.66</v>
      </c>
      <c r="H143" s="144">
        <v>-53.34</v>
      </c>
      <c r="I143" s="144">
        <v>134.58000000000001</v>
      </c>
      <c r="J143" s="144">
        <v>542.22</v>
      </c>
      <c r="K143" s="144">
        <v>414.07</v>
      </c>
      <c r="L143" s="144">
        <v>-50.49</v>
      </c>
      <c r="M143" s="144">
        <v>82.64</v>
      </c>
      <c r="N143" s="141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</row>
    <row r="144" spans="1:25" x14ac:dyDescent="0.2">
      <c r="N144" s="124"/>
    </row>
    <row r="145" spans="1:13" ht="15" x14ac:dyDescent="0.35">
      <c r="A145" s="1" t="s">
        <v>109</v>
      </c>
      <c r="C145" s="145">
        <f>+C141-C143</f>
        <v>24.749261703837206</v>
      </c>
      <c r="D145" s="145">
        <f t="shared" ref="D145:M145" si="87">+D141-D143</f>
        <v>23.067795055128826</v>
      </c>
      <c r="E145" s="145">
        <f t="shared" si="87"/>
        <v>34.211367910448914</v>
      </c>
      <c r="F145" s="145">
        <f t="shared" si="87"/>
        <v>149.79038860847777</v>
      </c>
      <c r="G145" s="145">
        <f t="shared" si="87"/>
        <v>23.537215802754545</v>
      </c>
      <c r="H145" s="145">
        <f t="shared" si="87"/>
        <v>0</v>
      </c>
      <c r="I145" s="145">
        <f t="shared" si="87"/>
        <v>23.017661513802182</v>
      </c>
      <c r="J145" s="145">
        <f t="shared" si="87"/>
        <v>32.44797754719491</v>
      </c>
      <c r="K145" s="145">
        <f t="shared" si="87"/>
        <v>-18.989715300445823</v>
      </c>
      <c r="L145" s="145">
        <f t="shared" si="87"/>
        <v>-11.513141906945712</v>
      </c>
      <c r="M145" s="145">
        <f t="shared" si="87"/>
        <v>26.428926085406374</v>
      </c>
    </row>
    <row r="146" spans="1:13" x14ac:dyDescent="0.2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31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AA20"/>
    </sheetView>
  </sheetViews>
  <sheetFormatPr defaultRowHeight="12.75" x14ac:dyDescent="0.2"/>
  <cols>
    <col min="1" max="1" width="16.85546875" style="85" customWidth="1"/>
    <col min="2" max="2" width="9" style="85" bestFit="1" customWidth="1"/>
    <col min="3" max="3" width="6.7109375" style="85" bestFit="1" customWidth="1"/>
    <col min="4" max="4" width="9" style="85" bestFit="1" customWidth="1"/>
    <col min="5" max="5" width="6.7109375" style="85" bestFit="1" customWidth="1"/>
    <col min="6" max="6" width="9" style="85" bestFit="1" customWidth="1"/>
    <col min="7" max="7" width="6.7109375" style="85" bestFit="1" customWidth="1"/>
    <col min="8" max="8" width="9" style="85" bestFit="1" customWidth="1"/>
    <col min="9" max="9" width="6.7109375" style="85" bestFit="1" customWidth="1"/>
    <col min="10" max="10" width="9" style="85" bestFit="1" customWidth="1"/>
    <col min="11" max="11" width="6.7109375" style="85" bestFit="1" customWidth="1"/>
    <col min="12" max="12" width="9" style="85" bestFit="1" customWidth="1"/>
    <col min="13" max="13" width="6.7109375" style="85" bestFit="1" customWidth="1"/>
    <col min="14" max="14" width="9" style="85" bestFit="1" customWidth="1"/>
    <col min="15" max="15" width="6.7109375" style="85" bestFit="1" customWidth="1"/>
    <col min="16" max="16" width="9" style="85" bestFit="1" customWidth="1"/>
    <col min="17" max="17" width="6.7109375" style="85" bestFit="1" customWidth="1"/>
    <col min="18" max="18" width="9" style="85" bestFit="1" customWidth="1"/>
    <col min="19" max="19" width="6.7109375" style="85" bestFit="1" customWidth="1"/>
    <col min="20" max="20" width="9" style="85" bestFit="1" customWidth="1"/>
    <col min="21" max="21" width="6.7109375" style="85" bestFit="1" customWidth="1"/>
    <col min="22" max="22" width="9" style="85" bestFit="1" customWidth="1"/>
    <col min="23" max="23" width="6.7109375" style="85" bestFit="1" customWidth="1"/>
    <col min="24" max="24" width="9" style="85" bestFit="1" customWidth="1"/>
    <col min="25" max="25" width="6.7109375" style="85" bestFit="1" customWidth="1"/>
    <col min="26" max="26" width="10" bestFit="1" customWidth="1"/>
    <col min="27" max="27" width="6.7109375" bestFit="1" customWidth="1"/>
    <col min="29" max="29" width="10" style="85" bestFit="1" customWidth="1"/>
    <col min="30" max="172" width="9.140625" style="85"/>
    <col min="173" max="173" width="18.42578125" style="85" customWidth="1"/>
    <col min="174" max="183" width="9.140625" style="85"/>
    <col min="184" max="184" width="10.28515625" style="85" bestFit="1" customWidth="1"/>
    <col min="185" max="428" width="9.140625" style="85"/>
    <col min="429" max="429" width="18.42578125" style="85" customWidth="1"/>
    <col min="430" max="439" width="9.140625" style="85"/>
    <col min="440" max="440" width="10.28515625" style="85" bestFit="1" customWidth="1"/>
    <col min="441" max="684" width="9.140625" style="85"/>
    <col min="685" max="685" width="18.42578125" style="85" customWidth="1"/>
    <col min="686" max="695" width="9.140625" style="85"/>
    <col min="696" max="696" width="10.28515625" style="85" bestFit="1" customWidth="1"/>
    <col min="697" max="940" width="9.140625" style="85"/>
    <col min="941" max="941" width="18.42578125" style="85" customWidth="1"/>
    <col min="942" max="951" width="9.140625" style="85"/>
    <col min="952" max="952" width="10.28515625" style="85" bestFit="1" customWidth="1"/>
    <col min="953" max="1196" width="9.140625" style="85"/>
    <col min="1197" max="1197" width="18.42578125" style="85" customWidth="1"/>
    <col min="1198" max="1207" width="9.140625" style="85"/>
    <col min="1208" max="1208" width="10.28515625" style="85" bestFit="1" customWidth="1"/>
    <col min="1209" max="1452" width="9.140625" style="85"/>
    <col min="1453" max="1453" width="18.42578125" style="85" customWidth="1"/>
    <col min="1454" max="1463" width="9.140625" style="85"/>
    <col min="1464" max="1464" width="10.28515625" style="85" bestFit="1" customWidth="1"/>
    <col min="1465" max="1708" width="9.140625" style="85"/>
    <col min="1709" max="1709" width="18.42578125" style="85" customWidth="1"/>
    <col min="1710" max="1719" width="9.140625" style="85"/>
    <col min="1720" max="1720" width="10.28515625" style="85" bestFit="1" customWidth="1"/>
    <col min="1721" max="1964" width="9.140625" style="85"/>
    <col min="1965" max="1965" width="18.42578125" style="85" customWidth="1"/>
    <col min="1966" max="1975" width="9.140625" style="85"/>
    <col min="1976" max="1976" width="10.28515625" style="85" bestFit="1" customWidth="1"/>
    <col min="1977" max="2220" width="9.140625" style="85"/>
    <col min="2221" max="2221" width="18.42578125" style="85" customWidth="1"/>
    <col min="2222" max="2231" width="9.140625" style="85"/>
    <col min="2232" max="2232" width="10.28515625" style="85" bestFit="1" customWidth="1"/>
    <col min="2233" max="2476" width="9.140625" style="85"/>
    <col min="2477" max="2477" width="18.42578125" style="85" customWidth="1"/>
    <col min="2478" max="2487" width="9.140625" style="85"/>
    <col min="2488" max="2488" width="10.28515625" style="85" bestFit="1" customWidth="1"/>
    <col min="2489" max="2732" width="9.140625" style="85"/>
    <col min="2733" max="2733" width="18.42578125" style="85" customWidth="1"/>
    <col min="2734" max="2743" width="9.140625" style="85"/>
    <col min="2744" max="2744" width="10.28515625" style="85" bestFit="1" customWidth="1"/>
    <col min="2745" max="2988" width="9.140625" style="85"/>
    <col min="2989" max="2989" width="18.42578125" style="85" customWidth="1"/>
    <col min="2990" max="2999" width="9.140625" style="85"/>
    <col min="3000" max="3000" width="10.28515625" style="85" bestFit="1" customWidth="1"/>
    <col min="3001" max="3244" width="9.140625" style="85"/>
    <col min="3245" max="3245" width="18.42578125" style="85" customWidth="1"/>
    <col min="3246" max="3255" width="9.140625" style="85"/>
    <col min="3256" max="3256" width="10.28515625" style="85" bestFit="1" customWidth="1"/>
    <col min="3257" max="3500" width="9.140625" style="85"/>
    <col min="3501" max="3501" width="18.42578125" style="85" customWidth="1"/>
    <col min="3502" max="3511" width="9.140625" style="85"/>
    <col min="3512" max="3512" width="10.28515625" style="85" bestFit="1" customWidth="1"/>
    <col min="3513" max="3756" width="9.140625" style="85"/>
    <col min="3757" max="3757" width="18.42578125" style="85" customWidth="1"/>
    <col min="3758" max="3767" width="9.140625" style="85"/>
    <col min="3768" max="3768" width="10.28515625" style="85" bestFit="1" customWidth="1"/>
    <col min="3769" max="4012" width="9.140625" style="85"/>
    <col min="4013" max="4013" width="18.42578125" style="85" customWidth="1"/>
    <col min="4014" max="4023" width="9.140625" style="85"/>
    <col min="4024" max="4024" width="10.28515625" style="85" bestFit="1" customWidth="1"/>
    <col min="4025" max="4268" width="9.140625" style="85"/>
    <col min="4269" max="4269" width="18.42578125" style="85" customWidth="1"/>
    <col min="4270" max="4279" width="9.140625" style="85"/>
    <col min="4280" max="4280" width="10.28515625" style="85" bestFit="1" customWidth="1"/>
    <col min="4281" max="4524" width="9.140625" style="85"/>
    <col min="4525" max="4525" width="18.42578125" style="85" customWidth="1"/>
    <col min="4526" max="4535" width="9.140625" style="85"/>
    <col min="4536" max="4536" width="10.28515625" style="85" bestFit="1" customWidth="1"/>
    <col min="4537" max="4780" width="9.140625" style="85"/>
    <col min="4781" max="4781" width="18.42578125" style="85" customWidth="1"/>
    <col min="4782" max="4791" width="9.140625" style="85"/>
    <col min="4792" max="4792" width="10.28515625" style="85" bestFit="1" customWidth="1"/>
    <col min="4793" max="5036" width="9.140625" style="85"/>
    <col min="5037" max="5037" width="18.42578125" style="85" customWidth="1"/>
    <col min="5038" max="5047" width="9.140625" style="85"/>
    <col min="5048" max="5048" width="10.28515625" style="85" bestFit="1" customWidth="1"/>
    <col min="5049" max="5292" width="9.140625" style="85"/>
    <col min="5293" max="5293" width="18.42578125" style="85" customWidth="1"/>
    <col min="5294" max="5303" width="9.140625" style="85"/>
    <col min="5304" max="5304" width="10.28515625" style="85" bestFit="1" customWidth="1"/>
    <col min="5305" max="5548" width="9.140625" style="85"/>
    <col min="5549" max="5549" width="18.42578125" style="85" customWidth="1"/>
    <col min="5550" max="5559" width="9.140625" style="85"/>
    <col min="5560" max="5560" width="10.28515625" style="85" bestFit="1" customWidth="1"/>
    <col min="5561" max="5804" width="9.140625" style="85"/>
    <col min="5805" max="5805" width="18.42578125" style="85" customWidth="1"/>
    <col min="5806" max="5815" width="9.140625" style="85"/>
    <col min="5816" max="5816" width="10.28515625" style="85" bestFit="1" customWidth="1"/>
    <col min="5817" max="6060" width="9.140625" style="85"/>
    <col min="6061" max="6061" width="18.42578125" style="85" customWidth="1"/>
    <col min="6062" max="6071" width="9.140625" style="85"/>
    <col min="6072" max="6072" width="10.28515625" style="85" bestFit="1" customWidth="1"/>
    <col min="6073" max="6316" width="9.140625" style="85"/>
    <col min="6317" max="6317" width="18.42578125" style="85" customWidth="1"/>
    <col min="6318" max="6327" width="9.140625" style="85"/>
    <col min="6328" max="6328" width="10.28515625" style="85" bestFit="1" customWidth="1"/>
    <col min="6329" max="6572" width="9.140625" style="85"/>
    <col min="6573" max="6573" width="18.42578125" style="85" customWidth="1"/>
    <col min="6574" max="6583" width="9.140625" style="85"/>
    <col min="6584" max="6584" width="10.28515625" style="85" bestFit="1" customWidth="1"/>
    <col min="6585" max="6828" width="9.140625" style="85"/>
    <col min="6829" max="6829" width="18.42578125" style="85" customWidth="1"/>
    <col min="6830" max="6839" width="9.140625" style="85"/>
    <col min="6840" max="6840" width="10.28515625" style="85" bestFit="1" customWidth="1"/>
    <col min="6841" max="7084" width="9.140625" style="85"/>
    <col min="7085" max="7085" width="18.42578125" style="85" customWidth="1"/>
    <col min="7086" max="7095" width="9.140625" style="85"/>
    <col min="7096" max="7096" width="10.28515625" style="85" bestFit="1" customWidth="1"/>
    <col min="7097" max="7340" width="9.140625" style="85"/>
    <col min="7341" max="7341" width="18.42578125" style="85" customWidth="1"/>
    <col min="7342" max="7351" width="9.140625" style="85"/>
    <col min="7352" max="7352" width="10.28515625" style="85" bestFit="1" customWidth="1"/>
    <col min="7353" max="7596" width="9.140625" style="85"/>
    <col min="7597" max="7597" width="18.42578125" style="85" customWidth="1"/>
    <col min="7598" max="7607" width="9.140625" style="85"/>
    <col min="7608" max="7608" width="10.28515625" style="85" bestFit="1" customWidth="1"/>
    <col min="7609" max="7852" width="9.140625" style="85"/>
    <col min="7853" max="7853" width="18.42578125" style="85" customWidth="1"/>
    <col min="7854" max="7863" width="9.140625" style="85"/>
    <col min="7864" max="7864" width="10.28515625" style="85" bestFit="1" customWidth="1"/>
    <col min="7865" max="8108" width="9.140625" style="85"/>
    <col min="8109" max="8109" width="18.42578125" style="85" customWidth="1"/>
    <col min="8110" max="8119" width="9.140625" style="85"/>
    <col min="8120" max="8120" width="10.28515625" style="85" bestFit="1" customWidth="1"/>
    <col min="8121" max="8364" width="9.140625" style="85"/>
    <col min="8365" max="8365" width="18.42578125" style="85" customWidth="1"/>
    <col min="8366" max="8375" width="9.140625" style="85"/>
    <col min="8376" max="8376" width="10.28515625" style="85" bestFit="1" customWidth="1"/>
    <col min="8377" max="8620" width="9.140625" style="85"/>
    <col min="8621" max="8621" width="18.42578125" style="85" customWidth="1"/>
    <col min="8622" max="8631" width="9.140625" style="85"/>
    <col min="8632" max="8632" width="10.28515625" style="85" bestFit="1" customWidth="1"/>
    <col min="8633" max="8876" width="9.140625" style="85"/>
    <col min="8877" max="8877" width="18.42578125" style="85" customWidth="1"/>
    <col min="8878" max="8887" width="9.140625" style="85"/>
    <col min="8888" max="8888" width="10.28515625" style="85" bestFit="1" customWidth="1"/>
    <col min="8889" max="9132" width="9.140625" style="85"/>
    <col min="9133" max="9133" width="18.42578125" style="85" customWidth="1"/>
    <col min="9134" max="9143" width="9.140625" style="85"/>
    <col min="9144" max="9144" width="10.28515625" style="85" bestFit="1" customWidth="1"/>
    <col min="9145" max="9388" width="9.140625" style="85"/>
    <col min="9389" max="9389" width="18.42578125" style="85" customWidth="1"/>
    <col min="9390" max="9399" width="9.140625" style="85"/>
    <col min="9400" max="9400" width="10.28515625" style="85" bestFit="1" customWidth="1"/>
    <col min="9401" max="9644" width="9.140625" style="85"/>
    <col min="9645" max="9645" width="18.42578125" style="85" customWidth="1"/>
    <col min="9646" max="9655" width="9.140625" style="85"/>
    <col min="9656" max="9656" width="10.28515625" style="85" bestFit="1" customWidth="1"/>
    <col min="9657" max="9900" width="9.140625" style="85"/>
    <col min="9901" max="9901" width="18.42578125" style="85" customWidth="1"/>
    <col min="9902" max="9911" width="9.140625" style="85"/>
    <col min="9912" max="9912" width="10.28515625" style="85" bestFit="1" customWidth="1"/>
    <col min="9913" max="10156" width="9.140625" style="85"/>
    <col min="10157" max="10157" width="18.42578125" style="85" customWidth="1"/>
    <col min="10158" max="10167" width="9.140625" style="85"/>
    <col min="10168" max="10168" width="10.28515625" style="85" bestFit="1" customWidth="1"/>
    <col min="10169" max="10412" width="9.140625" style="85"/>
    <col min="10413" max="10413" width="18.42578125" style="85" customWidth="1"/>
    <col min="10414" max="10423" width="9.140625" style="85"/>
    <col min="10424" max="10424" width="10.28515625" style="85" bestFit="1" customWidth="1"/>
    <col min="10425" max="10668" width="9.140625" style="85"/>
    <col min="10669" max="10669" width="18.42578125" style="85" customWidth="1"/>
    <col min="10670" max="10679" width="9.140625" style="85"/>
    <col min="10680" max="10680" width="10.28515625" style="85" bestFit="1" customWidth="1"/>
    <col min="10681" max="10924" width="9.140625" style="85"/>
    <col min="10925" max="10925" width="18.42578125" style="85" customWidth="1"/>
    <col min="10926" max="10935" width="9.140625" style="85"/>
    <col min="10936" max="10936" width="10.28515625" style="85" bestFit="1" customWidth="1"/>
    <col min="10937" max="11180" width="9.140625" style="85"/>
    <col min="11181" max="11181" width="18.42578125" style="85" customWidth="1"/>
    <col min="11182" max="11191" width="9.140625" style="85"/>
    <col min="11192" max="11192" width="10.28515625" style="85" bestFit="1" customWidth="1"/>
    <col min="11193" max="11436" width="9.140625" style="85"/>
    <col min="11437" max="11437" width="18.42578125" style="85" customWidth="1"/>
    <col min="11438" max="11447" width="9.140625" style="85"/>
    <col min="11448" max="11448" width="10.28515625" style="85" bestFit="1" customWidth="1"/>
    <col min="11449" max="11692" width="9.140625" style="85"/>
    <col min="11693" max="11693" width="18.42578125" style="85" customWidth="1"/>
    <col min="11694" max="11703" width="9.140625" style="85"/>
    <col min="11704" max="11704" width="10.28515625" style="85" bestFit="1" customWidth="1"/>
    <col min="11705" max="11948" width="9.140625" style="85"/>
    <col min="11949" max="11949" width="18.42578125" style="85" customWidth="1"/>
    <col min="11950" max="11959" width="9.140625" style="85"/>
    <col min="11960" max="11960" width="10.28515625" style="85" bestFit="1" customWidth="1"/>
    <col min="11961" max="12204" width="9.140625" style="85"/>
    <col min="12205" max="12205" width="18.42578125" style="85" customWidth="1"/>
    <col min="12206" max="12215" width="9.140625" style="85"/>
    <col min="12216" max="12216" width="10.28515625" style="85" bestFit="1" customWidth="1"/>
    <col min="12217" max="12460" width="9.140625" style="85"/>
    <col min="12461" max="12461" width="18.42578125" style="85" customWidth="1"/>
    <col min="12462" max="12471" width="9.140625" style="85"/>
    <col min="12472" max="12472" width="10.28515625" style="85" bestFit="1" customWidth="1"/>
    <col min="12473" max="12716" width="9.140625" style="85"/>
    <col min="12717" max="12717" width="18.42578125" style="85" customWidth="1"/>
    <col min="12718" max="12727" width="9.140625" style="85"/>
    <col min="12728" max="12728" width="10.28515625" style="85" bestFit="1" customWidth="1"/>
    <col min="12729" max="12972" width="9.140625" style="85"/>
    <col min="12973" max="12973" width="18.42578125" style="85" customWidth="1"/>
    <col min="12974" max="12983" width="9.140625" style="85"/>
    <col min="12984" max="12984" width="10.28515625" style="85" bestFit="1" customWidth="1"/>
    <col min="12985" max="13228" width="9.140625" style="85"/>
    <col min="13229" max="13229" width="18.42578125" style="85" customWidth="1"/>
    <col min="13230" max="13239" width="9.140625" style="85"/>
    <col min="13240" max="13240" width="10.28515625" style="85" bestFit="1" customWidth="1"/>
    <col min="13241" max="13484" width="9.140625" style="85"/>
    <col min="13485" max="13485" width="18.42578125" style="85" customWidth="1"/>
    <col min="13486" max="13495" width="9.140625" style="85"/>
    <col min="13496" max="13496" width="10.28515625" style="85" bestFit="1" customWidth="1"/>
    <col min="13497" max="13740" width="9.140625" style="85"/>
    <col min="13741" max="13741" width="18.42578125" style="85" customWidth="1"/>
    <col min="13742" max="13751" width="9.140625" style="85"/>
    <col min="13752" max="13752" width="10.28515625" style="85" bestFit="1" customWidth="1"/>
    <col min="13753" max="13996" width="9.140625" style="85"/>
    <col min="13997" max="13997" width="18.42578125" style="85" customWidth="1"/>
    <col min="13998" max="14007" width="9.140625" style="85"/>
    <col min="14008" max="14008" width="10.28515625" style="85" bestFit="1" customWidth="1"/>
    <col min="14009" max="14252" width="9.140625" style="85"/>
    <col min="14253" max="14253" width="18.42578125" style="85" customWidth="1"/>
    <col min="14254" max="14263" width="9.140625" style="85"/>
    <col min="14264" max="14264" width="10.28515625" style="85" bestFit="1" customWidth="1"/>
    <col min="14265" max="14508" width="9.140625" style="85"/>
    <col min="14509" max="14509" width="18.42578125" style="85" customWidth="1"/>
    <col min="14510" max="14519" width="9.140625" style="85"/>
    <col min="14520" max="14520" width="10.28515625" style="85" bestFit="1" customWidth="1"/>
    <col min="14521" max="14764" width="9.140625" style="85"/>
    <col min="14765" max="14765" width="18.42578125" style="85" customWidth="1"/>
    <col min="14766" max="14775" width="9.140625" style="85"/>
    <col min="14776" max="14776" width="10.28515625" style="85" bestFit="1" customWidth="1"/>
    <col min="14777" max="15020" width="9.140625" style="85"/>
    <col min="15021" max="15021" width="18.42578125" style="85" customWidth="1"/>
    <col min="15022" max="15031" width="9.140625" style="85"/>
    <col min="15032" max="15032" width="10.28515625" style="85" bestFit="1" customWidth="1"/>
    <col min="15033" max="15276" width="9.140625" style="85"/>
    <col min="15277" max="15277" width="18.42578125" style="85" customWidth="1"/>
    <col min="15278" max="15287" width="9.140625" style="85"/>
    <col min="15288" max="15288" width="10.28515625" style="85" bestFit="1" customWidth="1"/>
    <col min="15289" max="15532" width="9.140625" style="85"/>
    <col min="15533" max="15533" width="18.42578125" style="85" customWidth="1"/>
    <col min="15534" max="15543" width="9.140625" style="85"/>
    <col min="15544" max="15544" width="10.28515625" style="85" bestFit="1" customWidth="1"/>
    <col min="15545" max="15788" width="9.140625" style="85"/>
    <col min="15789" max="15789" width="18.42578125" style="85" customWidth="1"/>
    <col min="15790" max="15799" width="9.140625" style="85"/>
    <col min="15800" max="15800" width="10.28515625" style="85" bestFit="1" customWidth="1"/>
    <col min="15801" max="16044" width="9.140625" style="85"/>
    <col min="16045" max="16045" width="18.42578125" style="85" customWidth="1"/>
    <col min="16046" max="16055" width="9.140625" style="85"/>
    <col min="16056" max="16056" width="10.28515625" style="85" bestFit="1" customWidth="1"/>
    <col min="16057" max="16384" width="9.140625" style="85"/>
  </cols>
  <sheetData>
    <row r="1" spans="1:53" ht="12" x14ac:dyDescent="0.2">
      <c r="A1" s="84" t="s">
        <v>71</v>
      </c>
      <c r="Z1" s="85"/>
      <c r="AA1" s="85"/>
      <c r="AB1" s="85"/>
    </row>
    <row r="2" spans="1:53" s="86" customFormat="1" ht="12" x14ac:dyDescent="0.2"/>
    <row r="3" spans="1:53" ht="12" x14ac:dyDescent="0.2">
      <c r="A3" s="87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5"/>
      <c r="AA3" s="85"/>
      <c r="AB3" s="85"/>
    </row>
    <row r="4" spans="1:53" x14ac:dyDescent="0.2">
      <c r="A4" s="86"/>
      <c r="B4" s="127">
        <v>42522</v>
      </c>
      <c r="C4" s="127"/>
      <c r="D4" s="127">
        <v>42552</v>
      </c>
      <c r="E4" s="127"/>
      <c r="F4" s="127">
        <v>42583</v>
      </c>
      <c r="G4" s="127"/>
      <c r="H4" s="127">
        <v>42614</v>
      </c>
      <c r="I4" s="127"/>
      <c r="J4" s="127">
        <v>42644</v>
      </c>
      <c r="K4" s="127"/>
      <c r="L4" s="127">
        <v>42675</v>
      </c>
      <c r="M4" s="127"/>
      <c r="N4" s="127">
        <v>42705</v>
      </c>
      <c r="O4" s="127"/>
      <c r="P4" s="133">
        <v>42736</v>
      </c>
      <c r="Q4" s="133"/>
      <c r="R4" s="133">
        <v>42767</v>
      </c>
      <c r="S4" s="133"/>
      <c r="T4" s="133">
        <v>42795</v>
      </c>
      <c r="U4" s="133"/>
      <c r="V4" s="133">
        <v>42826</v>
      </c>
      <c r="W4" s="133"/>
      <c r="X4" s="133">
        <v>42856</v>
      </c>
      <c r="Y4" s="133"/>
      <c r="Z4" s="133" t="s">
        <v>3</v>
      </c>
      <c r="AA4" s="133"/>
    </row>
    <row r="5" spans="1:53" x14ac:dyDescent="0.2">
      <c r="A5" s="86"/>
      <c r="B5" s="88" t="s">
        <v>17</v>
      </c>
      <c r="C5" s="88" t="s">
        <v>4</v>
      </c>
      <c r="D5" s="88" t="s">
        <v>17</v>
      </c>
      <c r="E5" s="88" t="s">
        <v>4</v>
      </c>
      <c r="F5" s="88" t="s">
        <v>17</v>
      </c>
      <c r="G5" s="88" t="s">
        <v>4</v>
      </c>
      <c r="H5" s="88" t="s">
        <v>17</v>
      </c>
      <c r="I5" s="88" t="s">
        <v>4</v>
      </c>
      <c r="J5" s="88" t="s">
        <v>17</v>
      </c>
      <c r="K5" s="88" t="s">
        <v>4</v>
      </c>
      <c r="L5" s="88" t="s">
        <v>17</v>
      </c>
      <c r="M5" s="88" t="s">
        <v>4</v>
      </c>
      <c r="N5" s="88" t="s">
        <v>17</v>
      </c>
      <c r="O5" s="88" t="s">
        <v>4</v>
      </c>
      <c r="P5" s="88" t="s">
        <v>17</v>
      </c>
      <c r="Q5" s="88" t="s">
        <v>4</v>
      </c>
      <c r="R5" s="88" t="s">
        <v>17</v>
      </c>
      <c r="S5" s="88" t="s">
        <v>4</v>
      </c>
      <c r="T5" s="88" t="s">
        <v>17</v>
      </c>
      <c r="U5" s="88" t="s">
        <v>4</v>
      </c>
      <c r="V5" s="88" t="s">
        <v>17</v>
      </c>
      <c r="W5" s="88" t="s">
        <v>4</v>
      </c>
      <c r="X5" s="88" t="s">
        <v>17</v>
      </c>
      <c r="Y5" s="88" t="s">
        <v>4</v>
      </c>
      <c r="Z5" s="88" t="s">
        <v>17</v>
      </c>
      <c r="AA5" s="88" t="s">
        <v>4</v>
      </c>
    </row>
    <row r="6" spans="1:53" ht="12" x14ac:dyDescent="0.2">
      <c r="A6" s="86" t="s">
        <v>42</v>
      </c>
      <c r="B6" s="89">
        <v>440.37</v>
      </c>
      <c r="C6" s="90">
        <f>+B6/B$16</f>
        <v>0.40945606694560677</v>
      </c>
      <c r="D6" s="89">
        <v>375.32</v>
      </c>
      <c r="E6" s="90">
        <f>+D6/D$16</f>
        <v>0.37834296025241682</v>
      </c>
      <c r="F6" s="89">
        <v>403.68</v>
      </c>
      <c r="G6" s="90">
        <f>+F6/F$16</f>
        <v>0.38847882363130692</v>
      </c>
      <c r="H6" s="89">
        <v>390.85</v>
      </c>
      <c r="I6" s="90">
        <f>+H6/H$16</f>
        <v>0.38027826425374589</v>
      </c>
      <c r="J6" s="89">
        <v>409.96</v>
      </c>
      <c r="K6" s="90">
        <f>+J6/J$16</f>
        <v>0.41362888823867711</v>
      </c>
      <c r="L6" s="89">
        <v>420.84</v>
      </c>
      <c r="M6" s="90">
        <f>+L6/L$16</f>
        <v>0.42647371781230048</v>
      </c>
      <c r="N6" s="89">
        <v>500.57</v>
      </c>
      <c r="O6" s="90">
        <f>+N6/N$16</f>
        <v>0.4549312927148465</v>
      </c>
      <c r="P6" s="89">
        <v>404.72</v>
      </c>
      <c r="Q6" s="90">
        <f>+P6/P$16</f>
        <v>0.37528281591929086</v>
      </c>
      <c r="R6" s="89">
        <v>342.49</v>
      </c>
      <c r="S6" s="90">
        <f>+R6/R$16</f>
        <v>0.3880598706051645</v>
      </c>
      <c r="T6" s="89">
        <v>441.25</v>
      </c>
      <c r="U6" s="90">
        <f>+T6/T$16</f>
        <v>0.40452332712987837</v>
      </c>
      <c r="V6" s="89">
        <v>388.27</v>
      </c>
      <c r="W6" s="90">
        <f>+V6/V$16</f>
        <v>0.39906059858575887</v>
      </c>
      <c r="X6" s="89">
        <v>442.62</v>
      </c>
      <c r="Y6" s="90">
        <f>+X6/X$16</f>
        <v>0.40505518238556282</v>
      </c>
      <c r="Z6" s="89">
        <v>4960.92</v>
      </c>
      <c r="AA6" s="90">
        <f>+Z6/Z$16</f>
        <v>0.40233799369517026</v>
      </c>
      <c r="AB6" s="85"/>
      <c r="AC6" s="89"/>
      <c r="AD6" s="90"/>
      <c r="AE6" s="89"/>
      <c r="AF6" s="90"/>
      <c r="AG6" s="89"/>
      <c r="AH6" s="90"/>
      <c r="AI6" s="89"/>
      <c r="AJ6" s="90"/>
      <c r="AK6" s="89"/>
      <c r="AL6" s="90"/>
      <c r="AM6" s="89"/>
      <c r="AN6" s="125"/>
      <c r="AO6" s="89"/>
      <c r="AP6" s="90"/>
      <c r="AQ6" s="89"/>
      <c r="AR6" s="90"/>
      <c r="AS6" s="89"/>
      <c r="AT6" s="90"/>
      <c r="AU6" s="89"/>
      <c r="AV6" s="90"/>
      <c r="AW6" s="89"/>
      <c r="AX6" s="90"/>
      <c r="AY6" s="89"/>
      <c r="AZ6" s="90"/>
      <c r="BA6" s="89"/>
    </row>
    <row r="7" spans="1:53" ht="12" x14ac:dyDescent="0.2">
      <c r="A7" s="86" t="s">
        <v>72</v>
      </c>
      <c r="B7" s="89">
        <v>24.33</v>
      </c>
      <c r="C7" s="90">
        <f t="shared" ref="C7:AA15" si="0">+B7/B$16</f>
        <v>2.2622036262203628E-2</v>
      </c>
      <c r="D7" s="89">
        <v>23.66</v>
      </c>
      <c r="E7" s="90">
        <f t="shared" si="0"/>
        <v>2.3850566022519934E-2</v>
      </c>
      <c r="F7" s="89">
        <v>32.909999999999997</v>
      </c>
      <c r="G7" s="90">
        <f t="shared" si="0"/>
        <v>3.1670724548420306E-2</v>
      </c>
      <c r="H7" s="89">
        <v>32.979999999999997</v>
      </c>
      <c r="I7" s="90">
        <f t="shared" si="0"/>
        <v>3.208795485503016E-2</v>
      </c>
      <c r="J7" s="89">
        <v>32.020000000000003</v>
      </c>
      <c r="K7" s="90">
        <f t="shared" si="0"/>
        <v>3.2306559179925948E-2</v>
      </c>
      <c r="L7" s="89">
        <v>37.86</v>
      </c>
      <c r="M7" s="90">
        <f t="shared" si="0"/>
        <v>3.8366825768400573E-2</v>
      </c>
      <c r="N7" s="89">
        <v>41.73</v>
      </c>
      <c r="O7" s="90">
        <f t="shared" si="0"/>
        <v>3.7925330812854437E-2</v>
      </c>
      <c r="P7" s="89">
        <v>49.63</v>
      </c>
      <c r="Q7" s="90">
        <f t="shared" si="0"/>
        <v>4.6020177293127108E-2</v>
      </c>
      <c r="R7" s="89">
        <v>47.93</v>
      </c>
      <c r="S7" s="90">
        <f t="shared" si="0"/>
        <v>5.4307307069127668E-2</v>
      </c>
      <c r="T7" s="89">
        <v>42.07</v>
      </c>
      <c r="U7" s="90">
        <f t="shared" si="0"/>
        <v>3.8568377047827722E-2</v>
      </c>
      <c r="V7" s="89">
        <v>28.37</v>
      </c>
      <c r="W7" s="90">
        <f t="shared" si="0"/>
        <v>2.9158444334813353E-2</v>
      </c>
      <c r="X7" s="89">
        <v>42.04</v>
      </c>
      <c r="Y7" s="90">
        <f t="shared" si="0"/>
        <v>3.8472097662756E-2</v>
      </c>
      <c r="Z7" s="89">
        <v>435.54</v>
      </c>
      <c r="AA7" s="90">
        <f t="shared" si="0"/>
        <v>3.5322942070018154E-2</v>
      </c>
      <c r="AB7" s="85"/>
      <c r="AC7" s="89"/>
      <c r="AD7" s="90"/>
      <c r="AE7" s="89"/>
      <c r="AF7" s="90"/>
      <c r="AG7" s="89"/>
      <c r="AH7" s="90"/>
      <c r="AI7" s="89"/>
      <c r="AJ7" s="90"/>
      <c r="AK7" s="89"/>
      <c r="AL7" s="90"/>
      <c r="AM7" s="89"/>
      <c r="AN7" s="125"/>
      <c r="AO7" s="89"/>
      <c r="AP7" s="90"/>
      <c r="AQ7" s="89"/>
      <c r="AR7" s="90"/>
      <c r="AS7" s="89"/>
      <c r="AT7" s="90"/>
      <c r="AU7" s="89"/>
      <c r="AV7" s="90"/>
      <c r="AW7" s="89"/>
      <c r="AX7" s="90"/>
      <c r="AY7" s="89"/>
      <c r="AZ7" s="90"/>
      <c r="BA7" s="89"/>
    </row>
    <row r="8" spans="1:53" ht="12" x14ac:dyDescent="0.2">
      <c r="A8" s="86" t="s">
        <v>24</v>
      </c>
      <c r="B8" s="89">
        <v>340.65</v>
      </c>
      <c r="C8" s="90">
        <f t="shared" si="0"/>
        <v>0.3167364016736402</v>
      </c>
      <c r="D8" s="89">
        <v>354.18</v>
      </c>
      <c r="E8" s="90">
        <f t="shared" si="0"/>
        <v>0.35703269120270964</v>
      </c>
      <c r="F8" s="89">
        <v>365.65</v>
      </c>
      <c r="G8" s="90">
        <f t="shared" si="0"/>
        <v>0.3518809003685775</v>
      </c>
      <c r="H8" s="89">
        <v>360.16</v>
      </c>
      <c r="I8" s="90">
        <f t="shared" si="0"/>
        <v>0.35041836933255499</v>
      </c>
      <c r="J8" s="89">
        <v>290.04000000000002</v>
      </c>
      <c r="K8" s="90">
        <f t="shared" si="0"/>
        <v>0.29263567846801131</v>
      </c>
      <c r="L8" s="89">
        <v>294.27</v>
      </c>
      <c r="M8" s="90">
        <f t="shared" si="0"/>
        <v>0.29820934545343991</v>
      </c>
      <c r="N8" s="89">
        <v>314.43</v>
      </c>
      <c r="O8" s="90">
        <f t="shared" si="0"/>
        <v>0.28576232368765447</v>
      </c>
      <c r="P8" s="89">
        <v>350.58</v>
      </c>
      <c r="Q8" s="90">
        <f t="shared" si="0"/>
        <v>0.32508067208189606</v>
      </c>
      <c r="R8" s="89">
        <v>282.13</v>
      </c>
      <c r="S8" s="90">
        <f t="shared" si="0"/>
        <v>0.31966869483440408</v>
      </c>
      <c r="T8" s="89">
        <v>365.57</v>
      </c>
      <c r="U8" s="90">
        <f t="shared" si="0"/>
        <v>0.33514241971415215</v>
      </c>
      <c r="V8" s="89">
        <v>338.59</v>
      </c>
      <c r="W8" s="90">
        <f t="shared" si="0"/>
        <v>0.34799991777668143</v>
      </c>
      <c r="X8" s="89">
        <v>352.92</v>
      </c>
      <c r="Y8" s="90">
        <f t="shared" si="0"/>
        <v>0.32296795212035795</v>
      </c>
      <c r="Z8" s="89">
        <v>4009.18</v>
      </c>
      <c r="AA8" s="90">
        <f t="shared" si="0"/>
        <v>0.32515046353555443</v>
      </c>
      <c r="AB8" s="85"/>
      <c r="AC8" s="89"/>
      <c r="AD8" s="90"/>
      <c r="AE8" s="89"/>
      <c r="AF8" s="90"/>
      <c r="AG8" s="89"/>
      <c r="AH8" s="90"/>
      <c r="AI8" s="89"/>
      <c r="AJ8" s="90"/>
      <c r="AK8" s="89"/>
      <c r="AL8" s="90"/>
      <c r="AM8" s="89"/>
      <c r="AN8" s="125"/>
      <c r="AO8" s="89"/>
      <c r="AP8" s="90"/>
      <c r="AQ8" s="89"/>
      <c r="AR8" s="90"/>
      <c r="AS8" s="89"/>
      <c r="AT8" s="90"/>
      <c r="AU8" s="89"/>
      <c r="AV8" s="90"/>
      <c r="AW8" s="89"/>
      <c r="AX8" s="90"/>
      <c r="AY8" s="89"/>
      <c r="AZ8" s="90"/>
      <c r="BA8" s="89"/>
    </row>
    <row r="9" spans="1:53" ht="12" x14ac:dyDescent="0.2">
      <c r="A9" s="86" t="s">
        <v>22</v>
      </c>
      <c r="B9" s="89">
        <v>12.05</v>
      </c>
      <c r="C9" s="90">
        <f t="shared" si="0"/>
        <v>1.1204091120409114E-2</v>
      </c>
      <c r="D9" s="89">
        <v>10.29</v>
      </c>
      <c r="E9" s="90">
        <f t="shared" si="0"/>
        <v>1.037287930565216E-2</v>
      </c>
      <c r="F9" s="89">
        <v>12.79</v>
      </c>
      <c r="G9" s="90">
        <f t="shared" si="0"/>
        <v>1.2308373350783827E-2</v>
      </c>
      <c r="H9" s="89">
        <v>12.94</v>
      </c>
      <c r="I9" s="90">
        <f t="shared" si="0"/>
        <v>1.2589998054096128E-2</v>
      </c>
      <c r="J9" s="89">
        <v>11.76</v>
      </c>
      <c r="K9" s="90">
        <f t="shared" si="0"/>
        <v>1.1865244720672364E-2</v>
      </c>
      <c r="L9" s="89">
        <v>10.26</v>
      </c>
      <c r="M9" s="90">
        <f t="shared" si="0"/>
        <v>1.0397348980026146E-2</v>
      </c>
      <c r="N9" s="89">
        <v>11.27</v>
      </c>
      <c r="O9" s="90">
        <f t="shared" si="0"/>
        <v>1.0242474916387958E-2</v>
      </c>
      <c r="P9" s="89">
        <v>11.34</v>
      </c>
      <c r="Q9" s="90">
        <f t="shared" si="0"/>
        <v>1.051518860576388E-2</v>
      </c>
      <c r="R9" s="89">
        <v>9.39</v>
      </c>
      <c r="S9" s="90">
        <f t="shared" si="0"/>
        <v>1.0639382711852885E-2</v>
      </c>
      <c r="T9" s="89">
        <v>11.12</v>
      </c>
      <c r="U9" s="90">
        <f t="shared" si="0"/>
        <v>1.0194446227046452E-2</v>
      </c>
      <c r="V9" s="89">
        <v>11.09</v>
      </c>
      <c r="W9" s="90">
        <f t="shared" si="0"/>
        <v>1.1398207531655977E-2</v>
      </c>
      <c r="X9" s="89">
        <v>12.46</v>
      </c>
      <c r="Y9" s="90">
        <f t="shared" si="0"/>
        <v>1.1402529421454324E-2</v>
      </c>
      <c r="Z9" s="89">
        <v>136.77000000000001</v>
      </c>
      <c r="AA9" s="90">
        <f t="shared" si="0"/>
        <v>1.1092250509520098E-2</v>
      </c>
      <c r="AB9" s="85"/>
      <c r="AC9" s="89"/>
      <c r="AD9" s="90"/>
      <c r="AE9" s="89"/>
      <c r="AF9" s="90"/>
      <c r="AG9" s="89"/>
      <c r="AH9" s="90"/>
      <c r="AI9" s="89"/>
      <c r="AJ9" s="90"/>
      <c r="AK9" s="89"/>
      <c r="AL9" s="90"/>
      <c r="AM9" s="89"/>
      <c r="AN9" s="125"/>
      <c r="AO9" s="89"/>
      <c r="AP9" s="90"/>
      <c r="AQ9" s="89"/>
      <c r="AR9" s="90"/>
      <c r="AS9" s="126"/>
      <c r="AT9" s="90"/>
      <c r="AU9" s="126"/>
      <c r="AV9" s="90"/>
      <c r="AW9" s="89"/>
      <c r="AX9" s="90"/>
      <c r="AY9" s="89"/>
      <c r="AZ9" s="90"/>
      <c r="BA9" s="89"/>
    </row>
    <row r="10" spans="1:53" ht="12" x14ac:dyDescent="0.2">
      <c r="A10" s="86" t="s">
        <v>16</v>
      </c>
      <c r="B10" s="89">
        <v>182.73</v>
      </c>
      <c r="C10" s="90">
        <f t="shared" si="0"/>
        <v>0.16990237099023714</v>
      </c>
      <c r="D10" s="89">
        <v>168.55</v>
      </c>
      <c r="E10" s="90">
        <f t="shared" si="0"/>
        <v>0.16990756141571156</v>
      </c>
      <c r="F10" s="89">
        <v>148.28</v>
      </c>
      <c r="G10" s="90">
        <f t="shared" si="0"/>
        <v>0.14269629401518577</v>
      </c>
      <c r="H10" s="89">
        <v>155.06</v>
      </c>
      <c r="I10" s="90">
        <f t="shared" si="0"/>
        <v>0.1508659272231952</v>
      </c>
      <c r="J10" s="89">
        <v>169.04</v>
      </c>
      <c r="K10" s="90">
        <f t="shared" si="0"/>
        <v>0.17055280336585515</v>
      </c>
      <c r="L10" s="89">
        <v>150.9</v>
      </c>
      <c r="M10" s="90">
        <f t="shared" si="0"/>
        <v>0.15292007417991671</v>
      </c>
      <c r="N10" s="89">
        <v>159.88</v>
      </c>
      <c r="O10" s="90">
        <f t="shared" si="0"/>
        <v>0.14530318452813723</v>
      </c>
      <c r="P10" s="89">
        <v>181.45</v>
      </c>
      <c r="Q10" s="90">
        <f t="shared" si="0"/>
        <v>0.16825229034531358</v>
      </c>
      <c r="R10" s="89">
        <v>132.06</v>
      </c>
      <c r="S10" s="90">
        <f t="shared" si="0"/>
        <v>0.14963119072708114</v>
      </c>
      <c r="T10" s="89">
        <v>149.54</v>
      </c>
      <c r="U10" s="90">
        <f t="shared" si="0"/>
        <v>0.13709329935184592</v>
      </c>
      <c r="V10" s="89">
        <v>127.29</v>
      </c>
      <c r="W10" s="90">
        <f t="shared" si="0"/>
        <v>0.13082757770103601</v>
      </c>
      <c r="X10" s="89">
        <v>154.59</v>
      </c>
      <c r="Y10" s="90">
        <f t="shared" si="0"/>
        <v>0.14147006607244172</v>
      </c>
      <c r="Z10" s="89">
        <v>1879.36</v>
      </c>
      <c r="AA10" s="90">
        <f t="shared" si="0"/>
        <v>0.15241889242941939</v>
      </c>
      <c r="AB10" s="85"/>
      <c r="AC10" s="89"/>
      <c r="AD10" s="90"/>
      <c r="AE10" s="89"/>
      <c r="AF10" s="90"/>
      <c r="AG10" s="89"/>
      <c r="AH10" s="90"/>
      <c r="AI10" s="89"/>
      <c r="AJ10" s="90"/>
      <c r="AK10" s="89"/>
      <c r="AL10" s="90"/>
      <c r="AM10" s="89"/>
      <c r="AN10" s="125"/>
      <c r="AO10" s="89"/>
      <c r="AP10" s="90"/>
      <c r="AQ10" s="89"/>
      <c r="AR10" s="90"/>
      <c r="AS10" s="126"/>
      <c r="AT10" s="90"/>
      <c r="AU10" s="126"/>
      <c r="AV10" s="90"/>
      <c r="AW10" s="89"/>
      <c r="AX10" s="90"/>
      <c r="AY10" s="89"/>
      <c r="AZ10" s="90"/>
      <c r="BA10" s="89"/>
    </row>
    <row r="11" spans="1:53" ht="12" x14ac:dyDescent="0.2">
      <c r="A11" s="86" t="s">
        <v>103</v>
      </c>
      <c r="B11" s="89">
        <v>20.99</v>
      </c>
      <c r="C11" s="90">
        <f t="shared" si="0"/>
        <v>1.9516503951650398E-2</v>
      </c>
      <c r="D11" s="89">
        <v>18.510000000000002</v>
      </c>
      <c r="E11" s="90">
        <f t="shared" si="0"/>
        <v>1.8659086097922401E-2</v>
      </c>
      <c r="F11" s="89">
        <v>20.7</v>
      </c>
      <c r="G11" s="90">
        <f t="shared" si="0"/>
        <v>1.9920510426991809E-2</v>
      </c>
      <c r="H11" s="89">
        <v>22.1</v>
      </c>
      <c r="I11" s="90">
        <f t="shared" si="0"/>
        <v>2.1502237789453205E-2</v>
      </c>
      <c r="J11" s="89">
        <v>23.85</v>
      </c>
      <c r="K11" s="90">
        <f t="shared" si="0"/>
        <v>2.4063442737077886E-2</v>
      </c>
      <c r="L11" s="89">
        <v>24.88</v>
      </c>
      <c r="M11" s="90">
        <f t="shared" si="0"/>
        <v>2.5213064583143322E-2</v>
      </c>
      <c r="N11" s="89">
        <v>25.88</v>
      </c>
      <c r="O11" s="90">
        <f t="shared" si="0"/>
        <v>2.3520430420241378E-2</v>
      </c>
      <c r="P11" s="89">
        <v>29.63</v>
      </c>
      <c r="Q11" s="90">
        <f t="shared" si="0"/>
        <v>2.7474871110122027E-2</v>
      </c>
      <c r="R11" s="89">
        <v>22.5</v>
      </c>
      <c r="S11" s="90">
        <f t="shared" si="0"/>
        <v>2.5493728542778479E-2</v>
      </c>
      <c r="T11" s="89">
        <v>26.23</v>
      </c>
      <c r="U11" s="90">
        <f t="shared" si="0"/>
        <v>2.4046791774768747E-2</v>
      </c>
      <c r="V11" s="89">
        <v>24.89</v>
      </c>
      <c r="W11" s="90">
        <f t="shared" si="0"/>
        <v>2.5581729978621938E-2</v>
      </c>
      <c r="X11" s="89">
        <v>26.27</v>
      </c>
      <c r="Y11" s="90">
        <f t="shared" si="0"/>
        <v>2.4040485385361562E-2</v>
      </c>
      <c r="Z11" s="89">
        <v>286.45</v>
      </c>
      <c r="AA11" s="90">
        <f t="shared" si="0"/>
        <v>2.3231521228719978E-2</v>
      </c>
      <c r="AB11" s="85"/>
      <c r="AC11" s="89"/>
      <c r="AD11" s="90"/>
      <c r="AE11" s="89"/>
      <c r="AF11" s="90"/>
      <c r="AG11" s="89"/>
      <c r="AH11" s="90"/>
      <c r="AI11" s="89"/>
      <c r="AJ11" s="90"/>
      <c r="AK11" s="89"/>
      <c r="AL11" s="90"/>
      <c r="AM11" s="89"/>
      <c r="AN11" s="125"/>
      <c r="AO11" s="89"/>
      <c r="AP11" s="90"/>
      <c r="AQ11" s="89"/>
      <c r="AR11" s="90"/>
      <c r="AS11" s="126"/>
      <c r="AT11" s="90"/>
      <c r="AU11" s="126"/>
      <c r="AV11" s="90"/>
      <c r="AW11" s="89"/>
      <c r="AX11" s="90"/>
      <c r="AY11" s="89"/>
      <c r="AZ11" s="90"/>
      <c r="BA11" s="89"/>
    </row>
    <row r="12" spans="1:53" ht="12" x14ac:dyDescent="0.2">
      <c r="A12" s="86" t="s">
        <v>1</v>
      </c>
      <c r="B12" s="89">
        <v>33.520000000000003</v>
      </c>
      <c r="C12" s="90">
        <f t="shared" si="0"/>
        <v>3.116689911668992E-2</v>
      </c>
      <c r="D12" s="89">
        <v>26.17</v>
      </c>
      <c r="E12" s="90">
        <f t="shared" si="0"/>
        <v>2.6380782451789802E-2</v>
      </c>
      <c r="F12" s="89">
        <v>35.47</v>
      </c>
      <c r="G12" s="90">
        <f t="shared" si="0"/>
        <v>3.4134323905574852E-2</v>
      </c>
      <c r="H12" s="89">
        <v>32.979999999999997</v>
      </c>
      <c r="I12" s="90">
        <f t="shared" si="0"/>
        <v>3.208795485503016E-2</v>
      </c>
      <c r="J12" s="89">
        <v>31.91</v>
      </c>
      <c r="K12" s="90">
        <f t="shared" si="0"/>
        <v>3.2195574748014898E-2</v>
      </c>
      <c r="L12" s="89">
        <v>27.71</v>
      </c>
      <c r="M12" s="90">
        <f t="shared" si="0"/>
        <v>2.8080949340791861E-2</v>
      </c>
      <c r="N12" s="89">
        <v>27.12</v>
      </c>
      <c r="O12" s="90">
        <f t="shared" si="0"/>
        <v>2.4647375309001015E-2</v>
      </c>
      <c r="P12" s="89">
        <v>29.88</v>
      </c>
      <c r="Q12" s="90">
        <f t="shared" si="0"/>
        <v>2.7706687437409588E-2</v>
      </c>
      <c r="R12" s="89">
        <v>27.68</v>
      </c>
      <c r="S12" s="90">
        <f t="shared" si="0"/>
        <v>3.1362951380627037E-2</v>
      </c>
      <c r="T12" s="89">
        <v>32.520000000000003</v>
      </c>
      <c r="U12" s="90">
        <f t="shared" si="0"/>
        <v>2.9813254613628659E-2</v>
      </c>
      <c r="V12" s="89">
        <v>32.72</v>
      </c>
      <c r="W12" s="90">
        <f t="shared" si="0"/>
        <v>3.3629337280052622E-2</v>
      </c>
      <c r="X12" s="89">
        <v>37.39</v>
      </c>
      <c r="Y12" s="90">
        <f t="shared" si="0"/>
        <v>3.4216739572084841E-2</v>
      </c>
      <c r="Z12" s="89">
        <v>375.08</v>
      </c>
      <c r="AA12" s="90">
        <f t="shared" si="0"/>
        <v>3.0419546107412428E-2</v>
      </c>
      <c r="AB12" s="85"/>
      <c r="AC12" s="89"/>
      <c r="AD12" s="90"/>
      <c r="AE12" s="89"/>
      <c r="AF12" s="90"/>
      <c r="AG12" s="89"/>
      <c r="AH12" s="90"/>
      <c r="AI12" s="89"/>
      <c r="AJ12" s="90"/>
      <c r="AK12" s="89"/>
      <c r="AL12" s="90"/>
      <c r="AM12" s="89"/>
      <c r="AN12" s="125"/>
      <c r="AO12" s="89"/>
      <c r="AP12" s="90"/>
      <c r="AQ12" s="89"/>
      <c r="AR12" s="90"/>
      <c r="AS12" s="126"/>
      <c r="AT12" s="90"/>
      <c r="AU12" s="126"/>
      <c r="AV12" s="90"/>
      <c r="AW12" s="89"/>
      <c r="AX12" s="90"/>
      <c r="AY12" s="89"/>
      <c r="AZ12" s="90"/>
      <c r="BA12" s="89"/>
    </row>
    <row r="13" spans="1:53" ht="12" x14ac:dyDescent="0.2">
      <c r="A13" s="86" t="s">
        <v>73</v>
      </c>
      <c r="B13" s="89">
        <v>9.06</v>
      </c>
      <c r="C13" s="90">
        <f t="shared" si="0"/>
        <v>8.4239888423988871E-3</v>
      </c>
      <c r="D13" s="89">
        <v>6.79</v>
      </c>
      <c r="E13" s="90">
        <f t="shared" si="0"/>
        <v>6.8446890656344191E-3</v>
      </c>
      <c r="F13" s="89">
        <v>8.7200000000000006</v>
      </c>
      <c r="G13" s="90">
        <f t="shared" si="0"/>
        <v>8.3916353103076612E-3</v>
      </c>
      <c r="H13" s="89">
        <v>9.39</v>
      </c>
      <c r="I13" s="90">
        <f t="shared" si="0"/>
        <v>9.1360186806771753E-3</v>
      </c>
      <c r="J13" s="89">
        <v>10.89</v>
      </c>
      <c r="K13" s="90">
        <f t="shared" si="0"/>
        <v>1.0987458759194053E-2</v>
      </c>
      <c r="L13" s="89">
        <v>9.49</v>
      </c>
      <c r="M13" s="90">
        <f t="shared" si="0"/>
        <v>9.6170411131041057E-3</v>
      </c>
      <c r="N13" s="89">
        <v>9.16</v>
      </c>
      <c r="O13" s="90">
        <f t="shared" si="0"/>
        <v>8.3248509524501951E-3</v>
      </c>
      <c r="P13" s="89">
        <v>10.36</v>
      </c>
      <c r="Q13" s="90">
        <f t="shared" si="0"/>
        <v>9.606468602796632E-3</v>
      </c>
      <c r="R13" s="89">
        <v>9.2899999999999991</v>
      </c>
      <c r="S13" s="90">
        <f t="shared" si="0"/>
        <v>1.0526077251662757E-2</v>
      </c>
      <c r="T13" s="89">
        <v>10.4</v>
      </c>
      <c r="U13" s="90">
        <f t="shared" si="0"/>
        <v>9.5343741691801369E-3</v>
      </c>
      <c r="V13" s="89">
        <v>10</v>
      </c>
      <c r="W13" s="90">
        <f t="shared" si="0"/>
        <v>1.0277914816642E-2</v>
      </c>
      <c r="X13" s="89">
        <v>11.49</v>
      </c>
      <c r="Y13" s="90">
        <f t="shared" si="0"/>
        <v>1.0514852572432598E-2</v>
      </c>
      <c r="Z13" s="89">
        <v>115.06</v>
      </c>
      <c r="AA13" s="90">
        <f t="shared" si="0"/>
        <v>9.3315372057131123E-3</v>
      </c>
      <c r="AB13" s="85"/>
      <c r="AC13" s="89"/>
      <c r="AD13" s="90"/>
      <c r="AE13" s="89"/>
      <c r="AF13" s="90"/>
      <c r="AG13" s="89"/>
      <c r="AH13" s="90"/>
      <c r="AI13" s="89"/>
      <c r="AJ13" s="90"/>
      <c r="AK13" s="89"/>
      <c r="AL13" s="90"/>
      <c r="AM13" s="89"/>
      <c r="AN13" s="125"/>
      <c r="AO13" s="89"/>
      <c r="AP13" s="90"/>
      <c r="AQ13" s="89"/>
      <c r="AR13" s="90"/>
      <c r="AS13" s="126"/>
      <c r="AT13" s="90"/>
      <c r="AU13" s="126"/>
      <c r="AV13" s="90"/>
      <c r="AW13" s="89"/>
      <c r="AX13" s="90"/>
      <c r="AY13" s="89"/>
      <c r="AZ13" s="90"/>
      <c r="BA13" s="89"/>
    </row>
    <row r="14" spans="1:53" ht="12" x14ac:dyDescent="0.2">
      <c r="A14" s="86" t="s">
        <v>74</v>
      </c>
      <c r="B14" s="89">
        <v>10.85</v>
      </c>
      <c r="C14" s="90">
        <f t="shared" si="0"/>
        <v>1.0088331008833103E-2</v>
      </c>
      <c r="D14" s="89">
        <v>8.32</v>
      </c>
      <c r="E14" s="90">
        <f t="shared" si="0"/>
        <v>8.3870122276993187E-3</v>
      </c>
      <c r="F14" s="89">
        <v>8.26</v>
      </c>
      <c r="G14" s="90">
        <f t="shared" si="0"/>
        <v>7.9489573008189526E-3</v>
      </c>
      <c r="H14" s="89">
        <v>8.59</v>
      </c>
      <c r="I14" s="90">
        <f t="shared" si="0"/>
        <v>8.3576571317376929E-3</v>
      </c>
      <c r="J14" s="89">
        <v>8.39</v>
      </c>
      <c r="K14" s="90">
        <f t="shared" si="0"/>
        <v>8.4650853066701656E-3</v>
      </c>
      <c r="L14" s="89">
        <v>8.2899999999999991</v>
      </c>
      <c r="M14" s="90">
        <f t="shared" si="0"/>
        <v>8.4009769049139121E-3</v>
      </c>
      <c r="N14" s="89">
        <v>7.06</v>
      </c>
      <c r="O14" s="90">
        <f t="shared" si="0"/>
        <v>6.4163152537443638E-3</v>
      </c>
      <c r="P14" s="89">
        <v>7.56</v>
      </c>
      <c r="Q14" s="90">
        <f t="shared" si="0"/>
        <v>7.01012573717592E-3</v>
      </c>
      <c r="R14" s="89">
        <v>6.07</v>
      </c>
      <c r="S14" s="90">
        <f t="shared" si="0"/>
        <v>6.8776414335406828E-3</v>
      </c>
      <c r="T14" s="89">
        <v>7.62</v>
      </c>
      <c r="U14" s="90">
        <f t="shared" si="0"/>
        <v>6.9857626124185225E-3</v>
      </c>
      <c r="V14" s="89">
        <v>7.72</v>
      </c>
      <c r="W14" s="90">
        <f t="shared" si="0"/>
        <v>7.934550238447623E-3</v>
      </c>
      <c r="X14" s="89">
        <v>9.2899999999999991</v>
      </c>
      <c r="Y14" s="90">
        <f t="shared" si="0"/>
        <v>8.5015648736204378E-3</v>
      </c>
      <c r="Z14" s="89">
        <v>98.01</v>
      </c>
      <c r="AA14" s="90">
        <f t="shared" si="0"/>
        <v>7.9487568358416662E-3</v>
      </c>
      <c r="AB14" s="85"/>
      <c r="AC14" s="89"/>
      <c r="AD14" s="90"/>
      <c r="AE14" s="89"/>
      <c r="AF14" s="90"/>
      <c r="AG14" s="89"/>
      <c r="AH14" s="90"/>
      <c r="AI14" s="89"/>
      <c r="AJ14" s="90"/>
      <c r="AK14" s="89"/>
      <c r="AL14" s="90"/>
      <c r="AM14" s="89"/>
      <c r="AN14" s="125"/>
      <c r="AO14" s="89"/>
      <c r="AP14" s="90"/>
      <c r="AQ14" s="89"/>
      <c r="AR14" s="90"/>
      <c r="AS14" s="126"/>
      <c r="AT14" s="90"/>
      <c r="AU14" s="126"/>
      <c r="AV14" s="90"/>
      <c r="AW14" s="89"/>
      <c r="AX14" s="90"/>
      <c r="AY14" s="89"/>
      <c r="AZ14" s="90"/>
      <c r="BA14" s="89"/>
    </row>
    <row r="15" spans="1:53" ht="12" x14ac:dyDescent="0.2">
      <c r="A15" s="86" t="s">
        <v>75</v>
      </c>
      <c r="B15" s="89">
        <v>0.95</v>
      </c>
      <c r="C15" s="90">
        <f t="shared" si="0"/>
        <v>8.8331008833100895E-4</v>
      </c>
      <c r="D15" s="89">
        <v>0.22</v>
      </c>
      <c r="E15" s="90">
        <f t="shared" si="0"/>
        <v>2.2177195794397233E-4</v>
      </c>
      <c r="F15" s="89">
        <v>2.67</v>
      </c>
      <c r="G15" s="90">
        <f t="shared" si="0"/>
        <v>2.5694571420322768E-3</v>
      </c>
      <c r="H15" s="89">
        <v>2.75</v>
      </c>
      <c r="I15" s="90">
        <f t="shared" si="0"/>
        <v>2.6756178244794707E-3</v>
      </c>
      <c r="J15" s="89">
        <v>3.27</v>
      </c>
      <c r="K15" s="90">
        <f t="shared" si="0"/>
        <v>3.2992644759012443E-3</v>
      </c>
      <c r="L15" s="89">
        <v>2.29</v>
      </c>
      <c r="M15" s="139">
        <f t="shared" si="0"/>
        <v>2.3206558639629507E-3</v>
      </c>
      <c r="N15" s="89">
        <v>3.22</v>
      </c>
      <c r="O15" s="90">
        <f t="shared" si="0"/>
        <v>2.926421404682274E-3</v>
      </c>
      <c r="P15" s="89">
        <v>3.29</v>
      </c>
      <c r="Q15" s="90">
        <f t="shared" si="0"/>
        <v>3.0507028671043356E-3</v>
      </c>
      <c r="R15" s="89">
        <v>3.03</v>
      </c>
      <c r="S15" s="90">
        <f t="shared" si="0"/>
        <v>3.4331554437608347E-3</v>
      </c>
      <c r="T15" s="89">
        <v>4.47</v>
      </c>
      <c r="U15" s="90">
        <f t="shared" si="0"/>
        <v>4.0979473592533851E-3</v>
      </c>
      <c r="V15" s="89">
        <v>4.0199999999999996</v>
      </c>
      <c r="W15" s="90">
        <f t="shared" si="0"/>
        <v>4.1317217562900832E-3</v>
      </c>
      <c r="X15" s="89">
        <v>3.67</v>
      </c>
      <c r="Y15" s="90">
        <f t="shared" si="0"/>
        <v>3.3585299339275575E-3</v>
      </c>
      <c r="Z15" s="89">
        <v>33.86</v>
      </c>
      <c r="AA15" s="90">
        <f t="shared" si="0"/>
        <v>2.7460963826303319E-3</v>
      </c>
      <c r="AB15" s="85"/>
      <c r="AC15" s="89"/>
      <c r="AD15" s="90"/>
      <c r="AE15" s="89"/>
      <c r="AF15" s="90"/>
      <c r="AG15" s="89"/>
      <c r="AH15" s="90"/>
      <c r="AI15" s="89"/>
      <c r="AJ15" s="90"/>
      <c r="AK15" s="89"/>
      <c r="AL15" s="90"/>
      <c r="AM15" s="89"/>
      <c r="AN15" s="125"/>
      <c r="AO15" s="89"/>
      <c r="AP15" s="90"/>
      <c r="AQ15" s="89"/>
      <c r="AR15" s="90"/>
      <c r="AS15" s="126"/>
      <c r="AT15" s="90"/>
      <c r="AU15" s="126"/>
      <c r="AV15" s="90"/>
      <c r="AW15" s="89"/>
      <c r="AX15" s="90"/>
      <c r="AY15" s="89"/>
      <c r="AZ15" s="90"/>
      <c r="BA15" s="89"/>
    </row>
    <row r="16" spans="1:53" s="128" customFormat="1" ht="13.5" thickBot="1" x14ac:dyDescent="0.25">
      <c r="A16" s="91"/>
      <c r="B16" s="92">
        <f>SUM(B6:B15)</f>
        <v>1075.4999999999998</v>
      </c>
      <c r="C16" s="103">
        <f t="shared" ref="C16:E16" si="1">SUM(C6:C15)</f>
        <v>1</v>
      </c>
      <c r="D16" s="92">
        <f>SUM(D6:D15)</f>
        <v>992.01</v>
      </c>
      <c r="E16" s="103">
        <f t="shared" si="1"/>
        <v>1</v>
      </c>
      <c r="F16" s="92">
        <f>SUM(F6:F15)</f>
        <v>1039.1300000000001</v>
      </c>
      <c r="G16" s="103">
        <f t="shared" ref="G16" si="2">SUM(G6:G15)</f>
        <v>0.99999999999999978</v>
      </c>
      <c r="H16" s="92">
        <f>SUM(H6:H15)</f>
        <v>1027.8</v>
      </c>
      <c r="I16" s="103">
        <f t="shared" ref="I16" si="3">SUM(I6:I15)</f>
        <v>0.99999999999999978</v>
      </c>
      <c r="J16" s="92">
        <f>SUM(J6:J15)</f>
        <v>991.12999999999988</v>
      </c>
      <c r="K16" s="103">
        <f t="shared" ref="K16" si="4">SUM(K6:K15)</f>
        <v>1.0000000000000002</v>
      </c>
      <c r="L16" s="92">
        <f>SUM(L6:L15)</f>
        <v>986.79</v>
      </c>
      <c r="M16" s="140">
        <v>0.9998999999999999</v>
      </c>
      <c r="N16" s="92">
        <f>SUM(N6:N15)</f>
        <v>1100.3200000000002</v>
      </c>
      <c r="O16" s="103">
        <f t="shared" ref="O16" si="5">SUM(O6:O15)</f>
        <v>0.99999999999999967</v>
      </c>
      <c r="P16" s="92">
        <f>SUM(P6:P15)</f>
        <v>1078.44</v>
      </c>
      <c r="Q16" s="103">
        <f t="shared" ref="Q16" si="6">SUM(Q6:Q15)</f>
        <v>1</v>
      </c>
      <c r="R16" s="92">
        <f>SUM(R6:R15)</f>
        <v>882.56999999999994</v>
      </c>
      <c r="S16" s="103">
        <f t="shared" ref="S16" si="7">SUM(S6:S15)</f>
        <v>1</v>
      </c>
      <c r="T16" s="92">
        <f>SUM(T6:T15)</f>
        <v>1090.79</v>
      </c>
      <c r="U16" s="103">
        <f t="shared" ref="U16" si="8">SUM(U6:U15)</f>
        <v>1</v>
      </c>
      <c r="V16" s="92">
        <f>SUM(V6:V15)</f>
        <v>972.96</v>
      </c>
      <c r="W16" s="103">
        <f t="shared" ref="W16" si="9">SUM(W6:W15)</f>
        <v>0.99999999999999978</v>
      </c>
      <c r="X16" s="92">
        <f>SUM(X6:X15)</f>
        <v>1092.7400000000002</v>
      </c>
      <c r="Y16" s="103">
        <f t="shared" ref="Y16:Z16" si="10">SUM(Y6:Y15)</f>
        <v>0.99999999999999978</v>
      </c>
      <c r="Z16" s="92">
        <f t="shared" si="10"/>
        <v>12330.230000000001</v>
      </c>
      <c r="AA16" s="103">
        <f t="shared" ref="AA16" si="11">SUM(AA6:AA15)</f>
        <v>0.99999999999999978</v>
      </c>
      <c r="AB16" s="1"/>
    </row>
    <row r="17" spans="1:27" ht="13.5" thickTop="1" x14ac:dyDescent="0.2">
      <c r="Z17" s="86"/>
      <c r="AA17" s="85"/>
    </row>
    <row r="18" spans="1:27" ht="15" x14ac:dyDescent="0.35">
      <c r="A18" s="86" t="s">
        <v>76</v>
      </c>
      <c r="B18" s="136">
        <v>97.33</v>
      </c>
      <c r="C18" s="137">
        <f>+B18/B20</f>
        <v>8.2987304212886803E-2</v>
      </c>
      <c r="D18" s="136">
        <v>86.41</v>
      </c>
      <c r="E18" s="137">
        <f>+D18/D20</f>
        <v>8.0126481333803151E-2</v>
      </c>
      <c r="F18" s="136">
        <v>108.28</v>
      </c>
      <c r="G18" s="137">
        <f>+F18/F20</f>
        <v>9.4369057268108167E-2</v>
      </c>
      <c r="H18" s="136">
        <v>101.92</v>
      </c>
      <c r="I18" s="137">
        <f>+H18/H20</f>
        <v>9.0217044931487453E-2</v>
      </c>
      <c r="J18" s="136">
        <v>81.36</v>
      </c>
      <c r="K18" s="137">
        <f>+J18/J20</f>
        <v>7.5860847187386379E-2</v>
      </c>
      <c r="L18" s="136">
        <v>89.03</v>
      </c>
      <c r="M18" s="137">
        <f>+L18/L20</f>
        <v>8.2755479541187199E-2</v>
      </c>
      <c r="N18" s="136">
        <v>124.21</v>
      </c>
      <c r="O18" s="137">
        <f>+N18/N20</f>
        <v>0.10143483622287733</v>
      </c>
      <c r="P18" s="136">
        <v>129.62</v>
      </c>
      <c r="Q18" s="137">
        <f>+P18/P20</f>
        <v>0.1072959952320249</v>
      </c>
      <c r="R18" s="138">
        <v>86.67</v>
      </c>
      <c r="S18" s="137">
        <f>+R18/R20</f>
        <v>8.9420576946886238E-2</v>
      </c>
      <c r="T18" s="138">
        <v>105.66</v>
      </c>
      <c r="U18" s="137">
        <f>+T18/T20</f>
        <v>8.8311254126791749E-2</v>
      </c>
      <c r="V18" s="136">
        <v>101.85</v>
      </c>
      <c r="W18" s="137">
        <f>+V18/V20</f>
        <v>9.4760934490747198E-2</v>
      </c>
      <c r="X18" s="136">
        <v>105.34</v>
      </c>
      <c r="Y18" s="137">
        <f>+X18/X20</f>
        <v>8.7924011752136738E-2</v>
      </c>
      <c r="Z18" s="136">
        <f t="shared" ref="Z18" si="12">+X18+V18+T18+R18+P18+N18+L18+J18+H18+F18+D18+B18</f>
        <v>1217.68</v>
      </c>
      <c r="AA18" s="137">
        <f>+Z18/Z20</f>
        <v>8.9879545996393528E-2</v>
      </c>
    </row>
    <row r="20" spans="1:27" ht="15" x14ac:dyDescent="0.35">
      <c r="A20" s="87" t="s">
        <v>101</v>
      </c>
      <c r="B20" s="135">
        <f>+B18+B16</f>
        <v>1172.8299999999997</v>
      </c>
      <c r="C20" s="135"/>
      <c r="D20" s="135">
        <f t="shared" ref="D20:X20" si="13">+D18+D16</f>
        <v>1078.42</v>
      </c>
      <c r="E20" s="135"/>
      <c r="F20" s="135">
        <f t="shared" si="13"/>
        <v>1147.4100000000001</v>
      </c>
      <c r="G20" s="135"/>
      <c r="H20" s="135">
        <f t="shared" si="13"/>
        <v>1129.72</v>
      </c>
      <c r="I20" s="135"/>
      <c r="J20" s="135">
        <f t="shared" si="13"/>
        <v>1072.4899999999998</v>
      </c>
      <c r="K20" s="135"/>
      <c r="L20" s="135">
        <f t="shared" si="13"/>
        <v>1075.82</v>
      </c>
      <c r="M20" s="135"/>
      <c r="N20" s="135">
        <f t="shared" si="13"/>
        <v>1224.5300000000002</v>
      </c>
      <c r="O20" s="135"/>
      <c r="P20" s="135">
        <f t="shared" si="13"/>
        <v>1208.06</v>
      </c>
      <c r="Q20" s="135"/>
      <c r="R20" s="135">
        <f t="shared" si="13"/>
        <v>969.2399999999999</v>
      </c>
      <c r="S20" s="135"/>
      <c r="T20" s="135">
        <f t="shared" si="13"/>
        <v>1196.45</v>
      </c>
      <c r="U20" s="135"/>
      <c r="V20" s="135">
        <f t="shared" si="13"/>
        <v>1074.81</v>
      </c>
      <c r="W20" s="135"/>
      <c r="X20" s="135">
        <f t="shared" si="13"/>
        <v>1198.0800000000002</v>
      </c>
      <c r="Y20" s="135"/>
      <c r="Z20" s="135">
        <f t="shared" ref="Z20" si="14">+Z18+Z16</f>
        <v>13547.910000000002</v>
      </c>
      <c r="AA20" s="85"/>
    </row>
  </sheetData>
  <mergeCells count="6">
    <mergeCell ref="V4:W4"/>
    <mergeCell ref="X4:Y4"/>
    <mergeCell ref="Z4:AA4"/>
    <mergeCell ref="P4:Q4"/>
    <mergeCell ref="R4:S4"/>
    <mergeCell ref="T4:U4"/>
  </mergeCells>
  <pageMargins left="0.2" right="0.2" top="0.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K18"/>
    </sheetView>
  </sheetViews>
  <sheetFormatPr defaultRowHeight="12" x14ac:dyDescent="0.2"/>
  <cols>
    <col min="1" max="1" width="9.140625" style="86" customWidth="1"/>
    <col min="2" max="2" width="8.5703125" style="86" bestFit="1" customWidth="1"/>
    <col min="3" max="3" width="11.140625" style="86" bestFit="1" customWidth="1"/>
    <col min="4" max="4" width="8.5703125" style="86" bestFit="1" customWidth="1"/>
    <col min="5" max="5" width="10" style="86" bestFit="1" customWidth="1"/>
    <col min="6" max="6" width="8.5703125" style="86" bestFit="1" customWidth="1"/>
    <col min="7" max="7" width="8.140625" style="86" bestFit="1" customWidth="1"/>
    <col min="8" max="8" width="8.5703125" style="86" bestFit="1" customWidth="1"/>
    <col min="9" max="9" width="11.7109375" style="86" bestFit="1" customWidth="1"/>
    <col min="10" max="10" width="12.140625" style="86" bestFit="1" customWidth="1"/>
    <col min="11" max="11" width="10.5703125" style="86" bestFit="1" customWidth="1"/>
    <col min="12" max="221" width="9.140625" style="86"/>
    <col min="222" max="222" width="12.140625" style="86" customWidth="1"/>
    <col min="223" max="223" width="13.5703125" style="86" customWidth="1"/>
    <col min="224" max="224" width="10.7109375" style="86" customWidth="1"/>
    <col min="225" max="226" width="12.140625" style="86" customWidth="1"/>
    <col min="227" max="227" width="10" style="86" customWidth="1"/>
    <col min="228" max="228" width="10.85546875" style="86" customWidth="1"/>
    <col min="229" max="229" width="9.5703125" style="86" customWidth="1"/>
    <col min="230" max="230" width="10.140625" style="86" customWidth="1"/>
    <col min="231" max="231" width="11.5703125" style="86" customWidth="1"/>
    <col min="232" max="232" width="13.42578125" style="86" customWidth="1"/>
    <col min="233" max="233" width="15.140625" style="86" customWidth="1"/>
    <col min="234" max="234" width="9.140625" style="86"/>
    <col min="235" max="235" width="17.28515625" style="86" customWidth="1"/>
    <col min="236" max="236" width="10.42578125" style="86" bestFit="1" customWidth="1"/>
    <col min="237" max="477" width="9.140625" style="86"/>
    <col min="478" max="478" width="12.140625" style="86" customWidth="1"/>
    <col min="479" max="479" width="13.5703125" style="86" customWidth="1"/>
    <col min="480" max="480" width="10.7109375" style="86" customWidth="1"/>
    <col min="481" max="482" width="12.140625" style="86" customWidth="1"/>
    <col min="483" max="483" width="10" style="86" customWidth="1"/>
    <col min="484" max="484" width="10.85546875" style="86" customWidth="1"/>
    <col min="485" max="485" width="9.5703125" style="86" customWidth="1"/>
    <col min="486" max="486" width="10.140625" style="86" customWidth="1"/>
    <col min="487" max="487" width="11.5703125" style="86" customWidth="1"/>
    <col min="488" max="488" width="13.42578125" style="86" customWidth="1"/>
    <col min="489" max="489" width="15.140625" style="86" customWidth="1"/>
    <col min="490" max="490" width="9.140625" style="86"/>
    <col min="491" max="491" width="17.28515625" style="86" customWidth="1"/>
    <col min="492" max="492" width="10.42578125" style="86" bestFit="1" customWidth="1"/>
    <col min="493" max="733" width="9.140625" style="86"/>
    <col min="734" max="734" width="12.140625" style="86" customWidth="1"/>
    <col min="735" max="735" width="13.5703125" style="86" customWidth="1"/>
    <col min="736" max="736" width="10.7109375" style="86" customWidth="1"/>
    <col min="737" max="738" width="12.140625" style="86" customWidth="1"/>
    <col min="739" max="739" width="10" style="86" customWidth="1"/>
    <col min="740" max="740" width="10.85546875" style="86" customWidth="1"/>
    <col min="741" max="741" width="9.5703125" style="86" customWidth="1"/>
    <col min="742" max="742" width="10.140625" style="86" customWidth="1"/>
    <col min="743" max="743" width="11.5703125" style="86" customWidth="1"/>
    <col min="744" max="744" width="13.42578125" style="86" customWidth="1"/>
    <col min="745" max="745" width="15.140625" style="86" customWidth="1"/>
    <col min="746" max="746" width="9.140625" style="86"/>
    <col min="747" max="747" width="17.28515625" style="86" customWidth="1"/>
    <col min="748" max="748" width="10.42578125" style="86" bestFit="1" customWidth="1"/>
    <col min="749" max="989" width="9.140625" style="86"/>
    <col min="990" max="990" width="12.140625" style="86" customWidth="1"/>
    <col min="991" max="991" width="13.5703125" style="86" customWidth="1"/>
    <col min="992" max="992" width="10.7109375" style="86" customWidth="1"/>
    <col min="993" max="994" width="12.140625" style="86" customWidth="1"/>
    <col min="995" max="995" width="10" style="86" customWidth="1"/>
    <col min="996" max="996" width="10.85546875" style="86" customWidth="1"/>
    <col min="997" max="997" width="9.5703125" style="86" customWidth="1"/>
    <col min="998" max="998" width="10.140625" style="86" customWidth="1"/>
    <col min="999" max="999" width="11.5703125" style="86" customWidth="1"/>
    <col min="1000" max="1000" width="13.42578125" style="86" customWidth="1"/>
    <col min="1001" max="1001" width="15.140625" style="86" customWidth="1"/>
    <col min="1002" max="1002" width="9.140625" style="86"/>
    <col min="1003" max="1003" width="17.28515625" style="86" customWidth="1"/>
    <col min="1004" max="1004" width="10.42578125" style="86" bestFit="1" customWidth="1"/>
    <col min="1005" max="1245" width="9.140625" style="86"/>
    <col min="1246" max="1246" width="12.140625" style="86" customWidth="1"/>
    <col min="1247" max="1247" width="13.5703125" style="86" customWidth="1"/>
    <col min="1248" max="1248" width="10.7109375" style="86" customWidth="1"/>
    <col min="1249" max="1250" width="12.140625" style="86" customWidth="1"/>
    <col min="1251" max="1251" width="10" style="86" customWidth="1"/>
    <col min="1252" max="1252" width="10.85546875" style="86" customWidth="1"/>
    <col min="1253" max="1253" width="9.5703125" style="86" customWidth="1"/>
    <col min="1254" max="1254" width="10.140625" style="86" customWidth="1"/>
    <col min="1255" max="1255" width="11.5703125" style="86" customWidth="1"/>
    <col min="1256" max="1256" width="13.42578125" style="86" customWidth="1"/>
    <col min="1257" max="1257" width="15.140625" style="86" customWidth="1"/>
    <col min="1258" max="1258" width="9.140625" style="86"/>
    <col min="1259" max="1259" width="17.28515625" style="86" customWidth="1"/>
    <col min="1260" max="1260" width="10.42578125" style="86" bestFit="1" customWidth="1"/>
    <col min="1261" max="1501" width="9.140625" style="86"/>
    <col min="1502" max="1502" width="12.140625" style="86" customWidth="1"/>
    <col min="1503" max="1503" width="13.5703125" style="86" customWidth="1"/>
    <col min="1504" max="1504" width="10.7109375" style="86" customWidth="1"/>
    <col min="1505" max="1506" width="12.140625" style="86" customWidth="1"/>
    <col min="1507" max="1507" width="10" style="86" customWidth="1"/>
    <col min="1508" max="1508" width="10.85546875" style="86" customWidth="1"/>
    <col min="1509" max="1509" width="9.5703125" style="86" customWidth="1"/>
    <col min="1510" max="1510" width="10.140625" style="86" customWidth="1"/>
    <col min="1511" max="1511" width="11.5703125" style="86" customWidth="1"/>
    <col min="1512" max="1512" width="13.42578125" style="86" customWidth="1"/>
    <col min="1513" max="1513" width="15.140625" style="86" customWidth="1"/>
    <col min="1514" max="1514" width="9.140625" style="86"/>
    <col min="1515" max="1515" width="17.28515625" style="86" customWidth="1"/>
    <col min="1516" max="1516" width="10.42578125" style="86" bestFit="1" customWidth="1"/>
    <col min="1517" max="1757" width="9.140625" style="86"/>
    <col min="1758" max="1758" width="12.140625" style="86" customWidth="1"/>
    <col min="1759" max="1759" width="13.5703125" style="86" customWidth="1"/>
    <col min="1760" max="1760" width="10.7109375" style="86" customWidth="1"/>
    <col min="1761" max="1762" width="12.140625" style="86" customWidth="1"/>
    <col min="1763" max="1763" width="10" style="86" customWidth="1"/>
    <col min="1764" max="1764" width="10.85546875" style="86" customWidth="1"/>
    <col min="1765" max="1765" width="9.5703125" style="86" customWidth="1"/>
    <col min="1766" max="1766" width="10.140625" style="86" customWidth="1"/>
    <col min="1767" max="1767" width="11.5703125" style="86" customWidth="1"/>
    <col min="1768" max="1768" width="13.42578125" style="86" customWidth="1"/>
    <col min="1769" max="1769" width="15.140625" style="86" customWidth="1"/>
    <col min="1770" max="1770" width="9.140625" style="86"/>
    <col min="1771" max="1771" width="17.28515625" style="86" customWidth="1"/>
    <col min="1772" max="1772" width="10.42578125" style="86" bestFit="1" customWidth="1"/>
    <col min="1773" max="2013" width="9.140625" style="86"/>
    <col min="2014" max="2014" width="12.140625" style="86" customWidth="1"/>
    <col min="2015" max="2015" width="13.5703125" style="86" customWidth="1"/>
    <col min="2016" max="2016" width="10.7109375" style="86" customWidth="1"/>
    <col min="2017" max="2018" width="12.140625" style="86" customWidth="1"/>
    <col min="2019" max="2019" width="10" style="86" customWidth="1"/>
    <col min="2020" max="2020" width="10.85546875" style="86" customWidth="1"/>
    <col min="2021" max="2021" width="9.5703125" style="86" customWidth="1"/>
    <col min="2022" max="2022" width="10.140625" style="86" customWidth="1"/>
    <col min="2023" max="2023" width="11.5703125" style="86" customWidth="1"/>
    <col min="2024" max="2024" width="13.42578125" style="86" customWidth="1"/>
    <col min="2025" max="2025" width="15.140625" style="86" customWidth="1"/>
    <col min="2026" max="2026" width="9.140625" style="86"/>
    <col min="2027" max="2027" width="17.28515625" style="86" customWidth="1"/>
    <col min="2028" max="2028" width="10.42578125" style="86" bestFit="1" customWidth="1"/>
    <col min="2029" max="2269" width="9.140625" style="86"/>
    <col min="2270" max="2270" width="12.140625" style="86" customWidth="1"/>
    <col min="2271" max="2271" width="13.5703125" style="86" customWidth="1"/>
    <col min="2272" max="2272" width="10.7109375" style="86" customWidth="1"/>
    <col min="2273" max="2274" width="12.140625" style="86" customWidth="1"/>
    <col min="2275" max="2275" width="10" style="86" customWidth="1"/>
    <col min="2276" max="2276" width="10.85546875" style="86" customWidth="1"/>
    <col min="2277" max="2277" width="9.5703125" style="86" customWidth="1"/>
    <col min="2278" max="2278" width="10.140625" style="86" customWidth="1"/>
    <col min="2279" max="2279" width="11.5703125" style="86" customWidth="1"/>
    <col min="2280" max="2280" width="13.42578125" style="86" customWidth="1"/>
    <col min="2281" max="2281" width="15.140625" style="86" customWidth="1"/>
    <col min="2282" max="2282" width="9.140625" style="86"/>
    <col min="2283" max="2283" width="17.28515625" style="86" customWidth="1"/>
    <col min="2284" max="2284" width="10.42578125" style="86" bestFit="1" customWidth="1"/>
    <col min="2285" max="2525" width="9.140625" style="86"/>
    <col min="2526" max="2526" width="12.140625" style="86" customWidth="1"/>
    <col min="2527" max="2527" width="13.5703125" style="86" customWidth="1"/>
    <col min="2528" max="2528" width="10.7109375" style="86" customWidth="1"/>
    <col min="2529" max="2530" width="12.140625" style="86" customWidth="1"/>
    <col min="2531" max="2531" width="10" style="86" customWidth="1"/>
    <col min="2532" max="2532" width="10.85546875" style="86" customWidth="1"/>
    <col min="2533" max="2533" width="9.5703125" style="86" customWidth="1"/>
    <col min="2534" max="2534" width="10.140625" style="86" customWidth="1"/>
    <col min="2535" max="2535" width="11.5703125" style="86" customWidth="1"/>
    <col min="2536" max="2536" width="13.42578125" style="86" customWidth="1"/>
    <col min="2537" max="2537" width="15.140625" style="86" customWidth="1"/>
    <col min="2538" max="2538" width="9.140625" style="86"/>
    <col min="2539" max="2539" width="17.28515625" style="86" customWidth="1"/>
    <col min="2540" max="2540" width="10.42578125" style="86" bestFit="1" customWidth="1"/>
    <col min="2541" max="2781" width="9.140625" style="86"/>
    <col min="2782" max="2782" width="12.140625" style="86" customWidth="1"/>
    <col min="2783" max="2783" width="13.5703125" style="86" customWidth="1"/>
    <col min="2784" max="2784" width="10.7109375" style="86" customWidth="1"/>
    <col min="2785" max="2786" width="12.140625" style="86" customWidth="1"/>
    <col min="2787" max="2787" width="10" style="86" customWidth="1"/>
    <col min="2788" max="2788" width="10.85546875" style="86" customWidth="1"/>
    <col min="2789" max="2789" width="9.5703125" style="86" customWidth="1"/>
    <col min="2790" max="2790" width="10.140625" style="86" customWidth="1"/>
    <col min="2791" max="2791" width="11.5703125" style="86" customWidth="1"/>
    <col min="2792" max="2792" width="13.42578125" style="86" customWidth="1"/>
    <col min="2793" max="2793" width="15.140625" style="86" customWidth="1"/>
    <col min="2794" max="2794" width="9.140625" style="86"/>
    <col min="2795" max="2795" width="17.28515625" style="86" customWidth="1"/>
    <col min="2796" max="2796" width="10.42578125" style="86" bestFit="1" customWidth="1"/>
    <col min="2797" max="3037" width="9.140625" style="86"/>
    <col min="3038" max="3038" width="12.140625" style="86" customWidth="1"/>
    <col min="3039" max="3039" width="13.5703125" style="86" customWidth="1"/>
    <col min="3040" max="3040" width="10.7109375" style="86" customWidth="1"/>
    <col min="3041" max="3042" width="12.140625" style="86" customWidth="1"/>
    <col min="3043" max="3043" width="10" style="86" customWidth="1"/>
    <col min="3044" max="3044" width="10.85546875" style="86" customWidth="1"/>
    <col min="3045" max="3045" width="9.5703125" style="86" customWidth="1"/>
    <col min="3046" max="3046" width="10.140625" style="86" customWidth="1"/>
    <col min="3047" max="3047" width="11.5703125" style="86" customWidth="1"/>
    <col min="3048" max="3048" width="13.42578125" style="86" customWidth="1"/>
    <col min="3049" max="3049" width="15.140625" style="86" customWidth="1"/>
    <col min="3050" max="3050" width="9.140625" style="86"/>
    <col min="3051" max="3051" width="17.28515625" style="86" customWidth="1"/>
    <col min="3052" max="3052" width="10.42578125" style="86" bestFit="1" customWidth="1"/>
    <col min="3053" max="3293" width="9.140625" style="86"/>
    <col min="3294" max="3294" width="12.140625" style="86" customWidth="1"/>
    <col min="3295" max="3295" width="13.5703125" style="86" customWidth="1"/>
    <col min="3296" max="3296" width="10.7109375" style="86" customWidth="1"/>
    <col min="3297" max="3298" width="12.140625" style="86" customWidth="1"/>
    <col min="3299" max="3299" width="10" style="86" customWidth="1"/>
    <col min="3300" max="3300" width="10.85546875" style="86" customWidth="1"/>
    <col min="3301" max="3301" width="9.5703125" style="86" customWidth="1"/>
    <col min="3302" max="3302" width="10.140625" style="86" customWidth="1"/>
    <col min="3303" max="3303" width="11.5703125" style="86" customWidth="1"/>
    <col min="3304" max="3304" width="13.42578125" style="86" customWidth="1"/>
    <col min="3305" max="3305" width="15.140625" style="86" customWidth="1"/>
    <col min="3306" max="3306" width="9.140625" style="86"/>
    <col min="3307" max="3307" width="17.28515625" style="86" customWidth="1"/>
    <col min="3308" max="3308" width="10.42578125" style="86" bestFit="1" customWidth="1"/>
    <col min="3309" max="3549" width="9.140625" style="86"/>
    <col min="3550" max="3550" width="12.140625" style="86" customWidth="1"/>
    <col min="3551" max="3551" width="13.5703125" style="86" customWidth="1"/>
    <col min="3552" max="3552" width="10.7109375" style="86" customWidth="1"/>
    <col min="3553" max="3554" width="12.140625" style="86" customWidth="1"/>
    <col min="3555" max="3555" width="10" style="86" customWidth="1"/>
    <col min="3556" max="3556" width="10.85546875" style="86" customWidth="1"/>
    <col min="3557" max="3557" width="9.5703125" style="86" customWidth="1"/>
    <col min="3558" max="3558" width="10.140625" style="86" customWidth="1"/>
    <col min="3559" max="3559" width="11.5703125" style="86" customWidth="1"/>
    <col min="3560" max="3560" width="13.42578125" style="86" customWidth="1"/>
    <col min="3561" max="3561" width="15.140625" style="86" customWidth="1"/>
    <col min="3562" max="3562" width="9.140625" style="86"/>
    <col min="3563" max="3563" width="17.28515625" style="86" customWidth="1"/>
    <col min="3564" max="3564" width="10.42578125" style="86" bestFit="1" customWidth="1"/>
    <col min="3565" max="3805" width="9.140625" style="86"/>
    <col min="3806" max="3806" width="12.140625" style="86" customWidth="1"/>
    <col min="3807" max="3807" width="13.5703125" style="86" customWidth="1"/>
    <col min="3808" max="3808" width="10.7109375" style="86" customWidth="1"/>
    <col min="3809" max="3810" width="12.140625" style="86" customWidth="1"/>
    <col min="3811" max="3811" width="10" style="86" customWidth="1"/>
    <col min="3812" max="3812" width="10.85546875" style="86" customWidth="1"/>
    <col min="3813" max="3813" width="9.5703125" style="86" customWidth="1"/>
    <col min="3814" max="3814" width="10.140625" style="86" customWidth="1"/>
    <col min="3815" max="3815" width="11.5703125" style="86" customWidth="1"/>
    <col min="3816" max="3816" width="13.42578125" style="86" customWidth="1"/>
    <col min="3817" max="3817" width="15.140625" style="86" customWidth="1"/>
    <col min="3818" max="3818" width="9.140625" style="86"/>
    <col min="3819" max="3819" width="17.28515625" style="86" customWidth="1"/>
    <col min="3820" max="3820" width="10.42578125" style="86" bestFit="1" customWidth="1"/>
    <col min="3821" max="4061" width="9.140625" style="86"/>
    <col min="4062" max="4062" width="12.140625" style="86" customWidth="1"/>
    <col min="4063" max="4063" width="13.5703125" style="86" customWidth="1"/>
    <col min="4064" max="4064" width="10.7109375" style="86" customWidth="1"/>
    <col min="4065" max="4066" width="12.140625" style="86" customWidth="1"/>
    <col min="4067" max="4067" width="10" style="86" customWidth="1"/>
    <col min="4068" max="4068" width="10.85546875" style="86" customWidth="1"/>
    <col min="4069" max="4069" width="9.5703125" style="86" customWidth="1"/>
    <col min="4070" max="4070" width="10.140625" style="86" customWidth="1"/>
    <col min="4071" max="4071" width="11.5703125" style="86" customWidth="1"/>
    <col min="4072" max="4072" width="13.42578125" style="86" customWidth="1"/>
    <col min="4073" max="4073" width="15.140625" style="86" customWidth="1"/>
    <col min="4074" max="4074" width="9.140625" style="86"/>
    <col min="4075" max="4075" width="17.28515625" style="86" customWidth="1"/>
    <col min="4076" max="4076" width="10.42578125" style="86" bestFit="1" customWidth="1"/>
    <col min="4077" max="4317" width="9.140625" style="86"/>
    <col min="4318" max="4318" width="12.140625" style="86" customWidth="1"/>
    <col min="4319" max="4319" width="13.5703125" style="86" customWidth="1"/>
    <col min="4320" max="4320" width="10.7109375" style="86" customWidth="1"/>
    <col min="4321" max="4322" width="12.140625" style="86" customWidth="1"/>
    <col min="4323" max="4323" width="10" style="86" customWidth="1"/>
    <col min="4324" max="4324" width="10.85546875" style="86" customWidth="1"/>
    <col min="4325" max="4325" width="9.5703125" style="86" customWidth="1"/>
    <col min="4326" max="4326" width="10.140625" style="86" customWidth="1"/>
    <col min="4327" max="4327" width="11.5703125" style="86" customWidth="1"/>
    <col min="4328" max="4328" width="13.42578125" style="86" customWidth="1"/>
    <col min="4329" max="4329" width="15.140625" style="86" customWidth="1"/>
    <col min="4330" max="4330" width="9.140625" style="86"/>
    <col min="4331" max="4331" width="17.28515625" style="86" customWidth="1"/>
    <col min="4332" max="4332" width="10.42578125" style="86" bestFit="1" customWidth="1"/>
    <col min="4333" max="4573" width="9.140625" style="86"/>
    <col min="4574" max="4574" width="12.140625" style="86" customWidth="1"/>
    <col min="4575" max="4575" width="13.5703125" style="86" customWidth="1"/>
    <col min="4576" max="4576" width="10.7109375" style="86" customWidth="1"/>
    <col min="4577" max="4578" width="12.140625" style="86" customWidth="1"/>
    <col min="4579" max="4579" width="10" style="86" customWidth="1"/>
    <col min="4580" max="4580" width="10.85546875" style="86" customWidth="1"/>
    <col min="4581" max="4581" width="9.5703125" style="86" customWidth="1"/>
    <col min="4582" max="4582" width="10.140625" style="86" customWidth="1"/>
    <col min="4583" max="4583" width="11.5703125" style="86" customWidth="1"/>
    <col min="4584" max="4584" width="13.42578125" style="86" customWidth="1"/>
    <col min="4585" max="4585" width="15.140625" style="86" customWidth="1"/>
    <col min="4586" max="4586" width="9.140625" style="86"/>
    <col min="4587" max="4587" width="17.28515625" style="86" customWidth="1"/>
    <col min="4588" max="4588" width="10.42578125" style="86" bestFit="1" customWidth="1"/>
    <col min="4589" max="4829" width="9.140625" style="86"/>
    <col min="4830" max="4830" width="12.140625" style="86" customWidth="1"/>
    <col min="4831" max="4831" width="13.5703125" style="86" customWidth="1"/>
    <col min="4832" max="4832" width="10.7109375" style="86" customWidth="1"/>
    <col min="4833" max="4834" width="12.140625" style="86" customWidth="1"/>
    <col min="4835" max="4835" width="10" style="86" customWidth="1"/>
    <col min="4836" max="4836" width="10.85546875" style="86" customWidth="1"/>
    <col min="4837" max="4837" width="9.5703125" style="86" customWidth="1"/>
    <col min="4838" max="4838" width="10.140625" style="86" customWidth="1"/>
    <col min="4839" max="4839" width="11.5703125" style="86" customWidth="1"/>
    <col min="4840" max="4840" width="13.42578125" style="86" customWidth="1"/>
    <col min="4841" max="4841" width="15.140625" style="86" customWidth="1"/>
    <col min="4842" max="4842" width="9.140625" style="86"/>
    <col min="4843" max="4843" width="17.28515625" style="86" customWidth="1"/>
    <col min="4844" max="4844" width="10.42578125" style="86" bestFit="1" customWidth="1"/>
    <col min="4845" max="5085" width="9.140625" style="86"/>
    <col min="5086" max="5086" width="12.140625" style="86" customWidth="1"/>
    <col min="5087" max="5087" width="13.5703125" style="86" customWidth="1"/>
    <col min="5088" max="5088" width="10.7109375" style="86" customWidth="1"/>
    <col min="5089" max="5090" width="12.140625" style="86" customWidth="1"/>
    <col min="5091" max="5091" width="10" style="86" customWidth="1"/>
    <col min="5092" max="5092" width="10.85546875" style="86" customWidth="1"/>
    <col min="5093" max="5093" width="9.5703125" style="86" customWidth="1"/>
    <col min="5094" max="5094" width="10.140625" style="86" customWidth="1"/>
    <col min="5095" max="5095" width="11.5703125" style="86" customWidth="1"/>
    <col min="5096" max="5096" width="13.42578125" style="86" customWidth="1"/>
    <col min="5097" max="5097" width="15.140625" style="86" customWidth="1"/>
    <col min="5098" max="5098" width="9.140625" style="86"/>
    <col min="5099" max="5099" width="17.28515625" style="86" customWidth="1"/>
    <col min="5100" max="5100" width="10.42578125" style="86" bestFit="1" customWidth="1"/>
    <col min="5101" max="5341" width="9.140625" style="86"/>
    <col min="5342" max="5342" width="12.140625" style="86" customWidth="1"/>
    <col min="5343" max="5343" width="13.5703125" style="86" customWidth="1"/>
    <col min="5344" max="5344" width="10.7109375" style="86" customWidth="1"/>
    <col min="5345" max="5346" width="12.140625" style="86" customWidth="1"/>
    <col min="5347" max="5347" width="10" style="86" customWidth="1"/>
    <col min="5348" max="5348" width="10.85546875" style="86" customWidth="1"/>
    <col min="5349" max="5349" width="9.5703125" style="86" customWidth="1"/>
    <col min="5350" max="5350" width="10.140625" style="86" customWidth="1"/>
    <col min="5351" max="5351" width="11.5703125" style="86" customWidth="1"/>
    <col min="5352" max="5352" width="13.42578125" style="86" customWidth="1"/>
    <col min="5353" max="5353" width="15.140625" style="86" customWidth="1"/>
    <col min="5354" max="5354" width="9.140625" style="86"/>
    <col min="5355" max="5355" width="17.28515625" style="86" customWidth="1"/>
    <col min="5356" max="5356" width="10.42578125" style="86" bestFit="1" customWidth="1"/>
    <col min="5357" max="5597" width="9.140625" style="86"/>
    <col min="5598" max="5598" width="12.140625" style="86" customWidth="1"/>
    <col min="5599" max="5599" width="13.5703125" style="86" customWidth="1"/>
    <col min="5600" max="5600" width="10.7109375" style="86" customWidth="1"/>
    <col min="5601" max="5602" width="12.140625" style="86" customWidth="1"/>
    <col min="5603" max="5603" width="10" style="86" customWidth="1"/>
    <col min="5604" max="5604" width="10.85546875" style="86" customWidth="1"/>
    <col min="5605" max="5605" width="9.5703125" style="86" customWidth="1"/>
    <col min="5606" max="5606" width="10.140625" style="86" customWidth="1"/>
    <col min="5607" max="5607" width="11.5703125" style="86" customWidth="1"/>
    <col min="5608" max="5608" width="13.42578125" style="86" customWidth="1"/>
    <col min="5609" max="5609" width="15.140625" style="86" customWidth="1"/>
    <col min="5610" max="5610" width="9.140625" style="86"/>
    <col min="5611" max="5611" width="17.28515625" style="86" customWidth="1"/>
    <col min="5612" max="5612" width="10.42578125" style="86" bestFit="1" customWidth="1"/>
    <col min="5613" max="5853" width="9.140625" style="86"/>
    <col min="5854" max="5854" width="12.140625" style="86" customWidth="1"/>
    <col min="5855" max="5855" width="13.5703125" style="86" customWidth="1"/>
    <col min="5856" max="5856" width="10.7109375" style="86" customWidth="1"/>
    <col min="5857" max="5858" width="12.140625" style="86" customWidth="1"/>
    <col min="5859" max="5859" width="10" style="86" customWidth="1"/>
    <col min="5860" max="5860" width="10.85546875" style="86" customWidth="1"/>
    <col min="5861" max="5861" width="9.5703125" style="86" customWidth="1"/>
    <col min="5862" max="5862" width="10.140625" style="86" customWidth="1"/>
    <col min="5863" max="5863" width="11.5703125" style="86" customWidth="1"/>
    <col min="5864" max="5864" width="13.42578125" style="86" customWidth="1"/>
    <col min="5865" max="5865" width="15.140625" style="86" customWidth="1"/>
    <col min="5866" max="5866" width="9.140625" style="86"/>
    <col min="5867" max="5867" width="17.28515625" style="86" customWidth="1"/>
    <col min="5868" max="5868" width="10.42578125" style="86" bestFit="1" customWidth="1"/>
    <col min="5869" max="6109" width="9.140625" style="86"/>
    <col min="6110" max="6110" width="12.140625" style="86" customWidth="1"/>
    <col min="6111" max="6111" width="13.5703125" style="86" customWidth="1"/>
    <col min="6112" max="6112" width="10.7109375" style="86" customWidth="1"/>
    <col min="6113" max="6114" width="12.140625" style="86" customWidth="1"/>
    <col min="6115" max="6115" width="10" style="86" customWidth="1"/>
    <col min="6116" max="6116" width="10.85546875" style="86" customWidth="1"/>
    <col min="6117" max="6117" width="9.5703125" style="86" customWidth="1"/>
    <col min="6118" max="6118" width="10.140625" style="86" customWidth="1"/>
    <col min="6119" max="6119" width="11.5703125" style="86" customWidth="1"/>
    <col min="6120" max="6120" width="13.42578125" style="86" customWidth="1"/>
    <col min="6121" max="6121" width="15.140625" style="86" customWidth="1"/>
    <col min="6122" max="6122" width="9.140625" style="86"/>
    <col min="6123" max="6123" width="17.28515625" style="86" customWidth="1"/>
    <col min="6124" max="6124" width="10.42578125" style="86" bestFit="1" customWidth="1"/>
    <col min="6125" max="6365" width="9.140625" style="86"/>
    <col min="6366" max="6366" width="12.140625" style="86" customWidth="1"/>
    <col min="6367" max="6367" width="13.5703125" style="86" customWidth="1"/>
    <col min="6368" max="6368" width="10.7109375" style="86" customWidth="1"/>
    <col min="6369" max="6370" width="12.140625" style="86" customWidth="1"/>
    <col min="6371" max="6371" width="10" style="86" customWidth="1"/>
    <col min="6372" max="6372" width="10.85546875" style="86" customWidth="1"/>
    <col min="6373" max="6373" width="9.5703125" style="86" customWidth="1"/>
    <col min="6374" max="6374" width="10.140625" style="86" customWidth="1"/>
    <col min="6375" max="6375" width="11.5703125" style="86" customWidth="1"/>
    <col min="6376" max="6376" width="13.42578125" style="86" customWidth="1"/>
    <col min="6377" max="6377" width="15.140625" style="86" customWidth="1"/>
    <col min="6378" max="6378" width="9.140625" style="86"/>
    <col min="6379" max="6379" width="17.28515625" style="86" customWidth="1"/>
    <col min="6380" max="6380" width="10.42578125" style="86" bestFit="1" customWidth="1"/>
    <col min="6381" max="6621" width="9.140625" style="86"/>
    <col min="6622" max="6622" width="12.140625" style="86" customWidth="1"/>
    <col min="6623" max="6623" width="13.5703125" style="86" customWidth="1"/>
    <col min="6624" max="6624" width="10.7109375" style="86" customWidth="1"/>
    <col min="6625" max="6626" width="12.140625" style="86" customWidth="1"/>
    <col min="6627" max="6627" width="10" style="86" customWidth="1"/>
    <col min="6628" max="6628" width="10.85546875" style="86" customWidth="1"/>
    <col min="6629" max="6629" width="9.5703125" style="86" customWidth="1"/>
    <col min="6630" max="6630" width="10.140625" style="86" customWidth="1"/>
    <col min="6631" max="6631" width="11.5703125" style="86" customWidth="1"/>
    <col min="6632" max="6632" width="13.42578125" style="86" customWidth="1"/>
    <col min="6633" max="6633" width="15.140625" style="86" customWidth="1"/>
    <col min="6634" max="6634" width="9.140625" style="86"/>
    <col min="6635" max="6635" width="17.28515625" style="86" customWidth="1"/>
    <col min="6636" max="6636" width="10.42578125" style="86" bestFit="1" customWidth="1"/>
    <col min="6637" max="6877" width="9.140625" style="86"/>
    <col min="6878" max="6878" width="12.140625" style="86" customWidth="1"/>
    <col min="6879" max="6879" width="13.5703125" style="86" customWidth="1"/>
    <col min="6880" max="6880" width="10.7109375" style="86" customWidth="1"/>
    <col min="6881" max="6882" width="12.140625" style="86" customWidth="1"/>
    <col min="6883" max="6883" width="10" style="86" customWidth="1"/>
    <col min="6884" max="6884" width="10.85546875" style="86" customWidth="1"/>
    <col min="6885" max="6885" width="9.5703125" style="86" customWidth="1"/>
    <col min="6886" max="6886" width="10.140625" style="86" customWidth="1"/>
    <col min="6887" max="6887" width="11.5703125" style="86" customWidth="1"/>
    <col min="6888" max="6888" width="13.42578125" style="86" customWidth="1"/>
    <col min="6889" max="6889" width="15.140625" style="86" customWidth="1"/>
    <col min="6890" max="6890" width="9.140625" style="86"/>
    <col min="6891" max="6891" width="17.28515625" style="86" customWidth="1"/>
    <col min="6892" max="6892" width="10.42578125" style="86" bestFit="1" customWidth="1"/>
    <col min="6893" max="7133" width="9.140625" style="86"/>
    <col min="7134" max="7134" width="12.140625" style="86" customWidth="1"/>
    <col min="7135" max="7135" width="13.5703125" style="86" customWidth="1"/>
    <col min="7136" max="7136" width="10.7109375" style="86" customWidth="1"/>
    <col min="7137" max="7138" width="12.140625" style="86" customWidth="1"/>
    <col min="7139" max="7139" width="10" style="86" customWidth="1"/>
    <col min="7140" max="7140" width="10.85546875" style="86" customWidth="1"/>
    <col min="7141" max="7141" width="9.5703125" style="86" customWidth="1"/>
    <col min="7142" max="7142" width="10.140625" style="86" customWidth="1"/>
    <col min="7143" max="7143" width="11.5703125" style="86" customWidth="1"/>
    <col min="7144" max="7144" width="13.42578125" style="86" customWidth="1"/>
    <col min="7145" max="7145" width="15.140625" style="86" customWidth="1"/>
    <col min="7146" max="7146" width="9.140625" style="86"/>
    <col min="7147" max="7147" width="17.28515625" style="86" customWidth="1"/>
    <col min="7148" max="7148" width="10.42578125" style="86" bestFit="1" customWidth="1"/>
    <col min="7149" max="7389" width="9.140625" style="86"/>
    <col min="7390" max="7390" width="12.140625" style="86" customWidth="1"/>
    <col min="7391" max="7391" width="13.5703125" style="86" customWidth="1"/>
    <col min="7392" max="7392" width="10.7109375" style="86" customWidth="1"/>
    <col min="7393" max="7394" width="12.140625" style="86" customWidth="1"/>
    <col min="7395" max="7395" width="10" style="86" customWidth="1"/>
    <col min="7396" max="7396" width="10.85546875" style="86" customWidth="1"/>
    <col min="7397" max="7397" width="9.5703125" style="86" customWidth="1"/>
    <col min="7398" max="7398" width="10.140625" style="86" customWidth="1"/>
    <col min="7399" max="7399" width="11.5703125" style="86" customWidth="1"/>
    <col min="7400" max="7400" width="13.42578125" style="86" customWidth="1"/>
    <col min="7401" max="7401" width="15.140625" style="86" customWidth="1"/>
    <col min="7402" max="7402" width="9.140625" style="86"/>
    <col min="7403" max="7403" width="17.28515625" style="86" customWidth="1"/>
    <col min="7404" max="7404" width="10.42578125" style="86" bestFit="1" customWidth="1"/>
    <col min="7405" max="7645" width="9.140625" style="86"/>
    <col min="7646" max="7646" width="12.140625" style="86" customWidth="1"/>
    <col min="7647" max="7647" width="13.5703125" style="86" customWidth="1"/>
    <col min="7648" max="7648" width="10.7109375" style="86" customWidth="1"/>
    <col min="7649" max="7650" width="12.140625" style="86" customWidth="1"/>
    <col min="7651" max="7651" width="10" style="86" customWidth="1"/>
    <col min="7652" max="7652" width="10.85546875" style="86" customWidth="1"/>
    <col min="7653" max="7653" width="9.5703125" style="86" customWidth="1"/>
    <col min="7654" max="7654" width="10.140625" style="86" customWidth="1"/>
    <col min="7655" max="7655" width="11.5703125" style="86" customWidth="1"/>
    <col min="7656" max="7656" width="13.42578125" style="86" customWidth="1"/>
    <col min="7657" max="7657" width="15.140625" style="86" customWidth="1"/>
    <col min="7658" max="7658" width="9.140625" style="86"/>
    <col min="7659" max="7659" width="17.28515625" style="86" customWidth="1"/>
    <col min="7660" max="7660" width="10.42578125" style="86" bestFit="1" customWidth="1"/>
    <col min="7661" max="7901" width="9.140625" style="86"/>
    <col min="7902" max="7902" width="12.140625" style="86" customWidth="1"/>
    <col min="7903" max="7903" width="13.5703125" style="86" customWidth="1"/>
    <col min="7904" max="7904" width="10.7109375" style="86" customWidth="1"/>
    <col min="7905" max="7906" width="12.140625" style="86" customWidth="1"/>
    <col min="7907" max="7907" width="10" style="86" customWidth="1"/>
    <col min="7908" max="7908" width="10.85546875" style="86" customWidth="1"/>
    <col min="7909" max="7909" width="9.5703125" style="86" customWidth="1"/>
    <col min="7910" max="7910" width="10.140625" style="86" customWidth="1"/>
    <col min="7911" max="7911" width="11.5703125" style="86" customWidth="1"/>
    <col min="7912" max="7912" width="13.42578125" style="86" customWidth="1"/>
    <col min="7913" max="7913" width="15.140625" style="86" customWidth="1"/>
    <col min="7914" max="7914" width="9.140625" style="86"/>
    <col min="7915" max="7915" width="17.28515625" style="86" customWidth="1"/>
    <col min="7916" max="7916" width="10.42578125" style="86" bestFit="1" customWidth="1"/>
    <col min="7917" max="8157" width="9.140625" style="86"/>
    <col min="8158" max="8158" width="12.140625" style="86" customWidth="1"/>
    <col min="8159" max="8159" width="13.5703125" style="86" customWidth="1"/>
    <col min="8160" max="8160" width="10.7109375" style="86" customWidth="1"/>
    <col min="8161" max="8162" width="12.140625" style="86" customWidth="1"/>
    <col min="8163" max="8163" width="10" style="86" customWidth="1"/>
    <col min="8164" max="8164" width="10.85546875" style="86" customWidth="1"/>
    <col min="8165" max="8165" width="9.5703125" style="86" customWidth="1"/>
    <col min="8166" max="8166" width="10.140625" style="86" customWidth="1"/>
    <col min="8167" max="8167" width="11.5703125" style="86" customWidth="1"/>
    <col min="8168" max="8168" width="13.42578125" style="86" customWidth="1"/>
    <col min="8169" max="8169" width="15.140625" style="86" customWidth="1"/>
    <col min="8170" max="8170" width="9.140625" style="86"/>
    <col min="8171" max="8171" width="17.28515625" style="86" customWidth="1"/>
    <col min="8172" max="8172" width="10.42578125" style="86" bestFit="1" customWidth="1"/>
    <col min="8173" max="8413" width="9.140625" style="86"/>
    <col min="8414" max="8414" width="12.140625" style="86" customWidth="1"/>
    <col min="8415" max="8415" width="13.5703125" style="86" customWidth="1"/>
    <col min="8416" max="8416" width="10.7109375" style="86" customWidth="1"/>
    <col min="8417" max="8418" width="12.140625" style="86" customWidth="1"/>
    <col min="8419" max="8419" width="10" style="86" customWidth="1"/>
    <col min="8420" max="8420" width="10.85546875" style="86" customWidth="1"/>
    <col min="8421" max="8421" width="9.5703125" style="86" customWidth="1"/>
    <col min="8422" max="8422" width="10.140625" style="86" customWidth="1"/>
    <col min="8423" max="8423" width="11.5703125" style="86" customWidth="1"/>
    <col min="8424" max="8424" width="13.42578125" style="86" customWidth="1"/>
    <col min="8425" max="8425" width="15.140625" style="86" customWidth="1"/>
    <col min="8426" max="8426" width="9.140625" style="86"/>
    <col min="8427" max="8427" width="17.28515625" style="86" customWidth="1"/>
    <col min="8428" max="8428" width="10.42578125" style="86" bestFit="1" customWidth="1"/>
    <col min="8429" max="8669" width="9.140625" style="86"/>
    <col min="8670" max="8670" width="12.140625" style="86" customWidth="1"/>
    <col min="8671" max="8671" width="13.5703125" style="86" customWidth="1"/>
    <col min="8672" max="8672" width="10.7109375" style="86" customWidth="1"/>
    <col min="8673" max="8674" width="12.140625" style="86" customWidth="1"/>
    <col min="8675" max="8675" width="10" style="86" customWidth="1"/>
    <col min="8676" max="8676" width="10.85546875" style="86" customWidth="1"/>
    <col min="8677" max="8677" width="9.5703125" style="86" customWidth="1"/>
    <col min="8678" max="8678" width="10.140625" style="86" customWidth="1"/>
    <col min="8679" max="8679" width="11.5703125" style="86" customWidth="1"/>
    <col min="8680" max="8680" width="13.42578125" style="86" customWidth="1"/>
    <col min="8681" max="8681" width="15.140625" style="86" customWidth="1"/>
    <col min="8682" max="8682" width="9.140625" style="86"/>
    <col min="8683" max="8683" width="17.28515625" style="86" customWidth="1"/>
    <col min="8684" max="8684" width="10.42578125" style="86" bestFit="1" customWidth="1"/>
    <col min="8685" max="8925" width="9.140625" style="86"/>
    <col min="8926" max="8926" width="12.140625" style="86" customWidth="1"/>
    <col min="8927" max="8927" width="13.5703125" style="86" customWidth="1"/>
    <col min="8928" max="8928" width="10.7109375" style="86" customWidth="1"/>
    <col min="8929" max="8930" width="12.140625" style="86" customWidth="1"/>
    <col min="8931" max="8931" width="10" style="86" customWidth="1"/>
    <col min="8932" max="8932" width="10.85546875" style="86" customWidth="1"/>
    <col min="8933" max="8933" width="9.5703125" style="86" customWidth="1"/>
    <col min="8934" max="8934" width="10.140625" style="86" customWidth="1"/>
    <col min="8935" max="8935" width="11.5703125" style="86" customWidth="1"/>
    <col min="8936" max="8936" width="13.42578125" style="86" customWidth="1"/>
    <col min="8937" max="8937" width="15.140625" style="86" customWidth="1"/>
    <col min="8938" max="8938" width="9.140625" style="86"/>
    <col min="8939" max="8939" width="17.28515625" style="86" customWidth="1"/>
    <col min="8940" max="8940" width="10.42578125" style="86" bestFit="1" customWidth="1"/>
    <col min="8941" max="9181" width="9.140625" style="86"/>
    <col min="9182" max="9182" width="12.140625" style="86" customWidth="1"/>
    <col min="9183" max="9183" width="13.5703125" style="86" customWidth="1"/>
    <col min="9184" max="9184" width="10.7109375" style="86" customWidth="1"/>
    <col min="9185" max="9186" width="12.140625" style="86" customWidth="1"/>
    <col min="9187" max="9187" width="10" style="86" customWidth="1"/>
    <col min="9188" max="9188" width="10.85546875" style="86" customWidth="1"/>
    <col min="9189" max="9189" width="9.5703125" style="86" customWidth="1"/>
    <col min="9190" max="9190" width="10.140625" style="86" customWidth="1"/>
    <col min="9191" max="9191" width="11.5703125" style="86" customWidth="1"/>
    <col min="9192" max="9192" width="13.42578125" style="86" customWidth="1"/>
    <col min="9193" max="9193" width="15.140625" style="86" customWidth="1"/>
    <col min="9194" max="9194" width="9.140625" style="86"/>
    <col min="9195" max="9195" width="17.28515625" style="86" customWidth="1"/>
    <col min="9196" max="9196" width="10.42578125" style="86" bestFit="1" customWidth="1"/>
    <col min="9197" max="9437" width="9.140625" style="86"/>
    <col min="9438" max="9438" width="12.140625" style="86" customWidth="1"/>
    <col min="9439" max="9439" width="13.5703125" style="86" customWidth="1"/>
    <col min="9440" max="9440" width="10.7109375" style="86" customWidth="1"/>
    <col min="9441" max="9442" width="12.140625" style="86" customWidth="1"/>
    <col min="9443" max="9443" width="10" style="86" customWidth="1"/>
    <col min="9444" max="9444" width="10.85546875" style="86" customWidth="1"/>
    <col min="9445" max="9445" width="9.5703125" style="86" customWidth="1"/>
    <col min="9446" max="9446" width="10.140625" style="86" customWidth="1"/>
    <col min="9447" max="9447" width="11.5703125" style="86" customWidth="1"/>
    <col min="9448" max="9448" width="13.42578125" style="86" customWidth="1"/>
    <col min="9449" max="9449" width="15.140625" style="86" customWidth="1"/>
    <col min="9450" max="9450" width="9.140625" style="86"/>
    <col min="9451" max="9451" width="17.28515625" style="86" customWidth="1"/>
    <col min="9452" max="9452" width="10.42578125" style="86" bestFit="1" customWidth="1"/>
    <col min="9453" max="9693" width="9.140625" style="86"/>
    <col min="9694" max="9694" width="12.140625" style="86" customWidth="1"/>
    <col min="9695" max="9695" width="13.5703125" style="86" customWidth="1"/>
    <col min="9696" max="9696" width="10.7109375" style="86" customWidth="1"/>
    <col min="9697" max="9698" width="12.140625" style="86" customWidth="1"/>
    <col min="9699" max="9699" width="10" style="86" customWidth="1"/>
    <col min="9700" max="9700" width="10.85546875" style="86" customWidth="1"/>
    <col min="9701" max="9701" width="9.5703125" style="86" customWidth="1"/>
    <col min="9702" max="9702" width="10.140625" style="86" customWidth="1"/>
    <col min="9703" max="9703" width="11.5703125" style="86" customWidth="1"/>
    <col min="9704" max="9704" width="13.42578125" style="86" customWidth="1"/>
    <col min="9705" max="9705" width="15.140625" style="86" customWidth="1"/>
    <col min="9706" max="9706" width="9.140625" style="86"/>
    <col min="9707" max="9707" width="17.28515625" style="86" customWidth="1"/>
    <col min="9708" max="9708" width="10.42578125" style="86" bestFit="1" customWidth="1"/>
    <col min="9709" max="9949" width="9.140625" style="86"/>
    <col min="9950" max="9950" width="12.140625" style="86" customWidth="1"/>
    <col min="9951" max="9951" width="13.5703125" style="86" customWidth="1"/>
    <col min="9952" max="9952" width="10.7109375" style="86" customWidth="1"/>
    <col min="9953" max="9954" width="12.140625" style="86" customWidth="1"/>
    <col min="9955" max="9955" width="10" style="86" customWidth="1"/>
    <col min="9956" max="9956" width="10.85546875" style="86" customWidth="1"/>
    <col min="9957" max="9957" width="9.5703125" style="86" customWidth="1"/>
    <col min="9958" max="9958" width="10.140625" style="86" customWidth="1"/>
    <col min="9959" max="9959" width="11.5703125" style="86" customWidth="1"/>
    <col min="9960" max="9960" width="13.42578125" style="86" customWidth="1"/>
    <col min="9961" max="9961" width="15.140625" style="86" customWidth="1"/>
    <col min="9962" max="9962" width="9.140625" style="86"/>
    <col min="9963" max="9963" width="17.28515625" style="86" customWidth="1"/>
    <col min="9964" max="9964" width="10.42578125" style="86" bestFit="1" customWidth="1"/>
    <col min="9965" max="10205" width="9.140625" style="86"/>
    <col min="10206" max="10206" width="12.140625" style="86" customWidth="1"/>
    <col min="10207" max="10207" width="13.5703125" style="86" customWidth="1"/>
    <col min="10208" max="10208" width="10.7109375" style="86" customWidth="1"/>
    <col min="10209" max="10210" width="12.140625" style="86" customWidth="1"/>
    <col min="10211" max="10211" width="10" style="86" customWidth="1"/>
    <col min="10212" max="10212" width="10.85546875" style="86" customWidth="1"/>
    <col min="10213" max="10213" width="9.5703125" style="86" customWidth="1"/>
    <col min="10214" max="10214" width="10.140625" style="86" customWidth="1"/>
    <col min="10215" max="10215" width="11.5703125" style="86" customWidth="1"/>
    <col min="10216" max="10216" width="13.42578125" style="86" customWidth="1"/>
    <col min="10217" max="10217" width="15.140625" style="86" customWidth="1"/>
    <col min="10218" max="10218" width="9.140625" style="86"/>
    <col min="10219" max="10219" width="17.28515625" style="86" customWidth="1"/>
    <col min="10220" max="10220" width="10.42578125" style="86" bestFit="1" customWidth="1"/>
    <col min="10221" max="10461" width="9.140625" style="86"/>
    <col min="10462" max="10462" width="12.140625" style="86" customWidth="1"/>
    <col min="10463" max="10463" width="13.5703125" style="86" customWidth="1"/>
    <col min="10464" max="10464" width="10.7109375" style="86" customWidth="1"/>
    <col min="10465" max="10466" width="12.140625" style="86" customWidth="1"/>
    <col min="10467" max="10467" width="10" style="86" customWidth="1"/>
    <col min="10468" max="10468" width="10.85546875" style="86" customWidth="1"/>
    <col min="10469" max="10469" width="9.5703125" style="86" customWidth="1"/>
    <col min="10470" max="10470" width="10.140625" style="86" customWidth="1"/>
    <col min="10471" max="10471" width="11.5703125" style="86" customWidth="1"/>
    <col min="10472" max="10472" width="13.42578125" style="86" customWidth="1"/>
    <col min="10473" max="10473" width="15.140625" style="86" customWidth="1"/>
    <col min="10474" max="10474" width="9.140625" style="86"/>
    <col min="10475" max="10475" width="17.28515625" style="86" customWidth="1"/>
    <col min="10476" max="10476" width="10.42578125" style="86" bestFit="1" customWidth="1"/>
    <col min="10477" max="10717" width="9.140625" style="86"/>
    <col min="10718" max="10718" width="12.140625" style="86" customWidth="1"/>
    <col min="10719" max="10719" width="13.5703125" style="86" customWidth="1"/>
    <col min="10720" max="10720" width="10.7109375" style="86" customWidth="1"/>
    <col min="10721" max="10722" width="12.140625" style="86" customWidth="1"/>
    <col min="10723" max="10723" width="10" style="86" customWidth="1"/>
    <col min="10724" max="10724" width="10.85546875" style="86" customWidth="1"/>
    <col min="10725" max="10725" width="9.5703125" style="86" customWidth="1"/>
    <col min="10726" max="10726" width="10.140625" style="86" customWidth="1"/>
    <col min="10727" max="10727" width="11.5703125" style="86" customWidth="1"/>
    <col min="10728" max="10728" width="13.42578125" style="86" customWidth="1"/>
    <col min="10729" max="10729" width="15.140625" style="86" customWidth="1"/>
    <col min="10730" max="10730" width="9.140625" style="86"/>
    <col min="10731" max="10731" width="17.28515625" style="86" customWidth="1"/>
    <col min="10732" max="10732" width="10.42578125" style="86" bestFit="1" customWidth="1"/>
    <col min="10733" max="10973" width="9.140625" style="86"/>
    <col min="10974" max="10974" width="12.140625" style="86" customWidth="1"/>
    <col min="10975" max="10975" width="13.5703125" style="86" customWidth="1"/>
    <col min="10976" max="10976" width="10.7109375" style="86" customWidth="1"/>
    <col min="10977" max="10978" width="12.140625" style="86" customWidth="1"/>
    <col min="10979" max="10979" width="10" style="86" customWidth="1"/>
    <col min="10980" max="10980" width="10.85546875" style="86" customWidth="1"/>
    <col min="10981" max="10981" width="9.5703125" style="86" customWidth="1"/>
    <col min="10982" max="10982" width="10.140625" style="86" customWidth="1"/>
    <col min="10983" max="10983" width="11.5703125" style="86" customWidth="1"/>
    <col min="10984" max="10984" width="13.42578125" style="86" customWidth="1"/>
    <col min="10985" max="10985" width="15.140625" style="86" customWidth="1"/>
    <col min="10986" max="10986" width="9.140625" style="86"/>
    <col min="10987" max="10987" width="17.28515625" style="86" customWidth="1"/>
    <col min="10988" max="10988" width="10.42578125" style="86" bestFit="1" customWidth="1"/>
    <col min="10989" max="11229" width="9.140625" style="86"/>
    <col min="11230" max="11230" width="12.140625" style="86" customWidth="1"/>
    <col min="11231" max="11231" width="13.5703125" style="86" customWidth="1"/>
    <col min="11232" max="11232" width="10.7109375" style="86" customWidth="1"/>
    <col min="11233" max="11234" width="12.140625" style="86" customWidth="1"/>
    <col min="11235" max="11235" width="10" style="86" customWidth="1"/>
    <col min="11236" max="11236" width="10.85546875" style="86" customWidth="1"/>
    <col min="11237" max="11237" width="9.5703125" style="86" customWidth="1"/>
    <col min="11238" max="11238" width="10.140625" style="86" customWidth="1"/>
    <col min="11239" max="11239" width="11.5703125" style="86" customWidth="1"/>
    <col min="11240" max="11240" width="13.42578125" style="86" customWidth="1"/>
    <col min="11241" max="11241" width="15.140625" style="86" customWidth="1"/>
    <col min="11242" max="11242" width="9.140625" style="86"/>
    <col min="11243" max="11243" width="17.28515625" style="86" customWidth="1"/>
    <col min="11244" max="11244" width="10.42578125" style="86" bestFit="1" customWidth="1"/>
    <col min="11245" max="11485" width="9.140625" style="86"/>
    <col min="11486" max="11486" width="12.140625" style="86" customWidth="1"/>
    <col min="11487" max="11487" width="13.5703125" style="86" customWidth="1"/>
    <col min="11488" max="11488" width="10.7109375" style="86" customWidth="1"/>
    <col min="11489" max="11490" width="12.140625" style="86" customWidth="1"/>
    <col min="11491" max="11491" width="10" style="86" customWidth="1"/>
    <col min="11492" max="11492" width="10.85546875" style="86" customWidth="1"/>
    <col min="11493" max="11493" width="9.5703125" style="86" customWidth="1"/>
    <col min="11494" max="11494" width="10.140625" style="86" customWidth="1"/>
    <col min="11495" max="11495" width="11.5703125" style="86" customWidth="1"/>
    <col min="11496" max="11496" width="13.42578125" style="86" customWidth="1"/>
    <col min="11497" max="11497" width="15.140625" style="86" customWidth="1"/>
    <col min="11498" max="11498" width="9.140625" style="86"/>
    <col min="11499" max="11499" width="17.28515625" style="86" customWidth="1"/>
    <col min="11500" max="11500" width="10.42578125" style="86" bestFit="1" customWidth="1"/>
    <col min="11501" max="11741" width="9.140625" style="86"/>
    <col min="11742" max="11742" width="12.140625" style="86" customWidth="1"/>
    <col min="11743" max="11743" width="13.5703125" style="86" customWidth="1"/>
    <col min="11744" max="11744" width="10.7109375" style="86" customWidth="1"/>
    <col min="11745" max="11746" width="12.140625" style="86" customWidth="1"/>
    <col min="11747" max="11747" width="10" style="86" customWidth="1"/>
    <col min="11748" max="11748" width="10.85546875" style="86" customWidth="1"/>
    <col min="11749" max="11749" width="9.5703125" style="86" customWidth="1"/>
    <col min="11750" max="11750" width="10.140625" style="86" customWidth="1"/>
    <col min="11751" max="11751" width="11.5703125" style="86" customWidth="1"/>
    <col min="11752" max="11752" width="13.42578125" style="86" customWidth="1"/>
    <col min="11753" max="11753" width="15.140625" style="86" customWidth="1"/>
    <col min="11754" max="11754" width="9.140625" style="86"/>
    <col min="11755" max="11755" width="17.28515625" style="86" customWidth="1"/>
    <col min="11756" max="11756" width="10.42578125" style="86" bestFit="1" customWidth="1"/>
    <col min="11757" max="11997" width="9.140625" style="86"/>
    <col min="11998" max="11998" width="12.140625" style="86" customWidth="1"/>
    <col min="11999" max="11999" width="13.5703125" style="86" customWidth="1"/>
    <col min="12000" max="12000" width="10.7109375" style="86" customWidth="1"/>
    <col min="12001" max="12002" width="12.140625" style="86" customWidth="1"/>
    <col min="12003" max="12003" width="10" style="86" customWidth="1"/>
    <col min="12004" max="12004" width="10.85546875" style="86" customWidth="1"/>
    <col min="12005" max="12005" width="9.5703125" style="86" customWidth="1"/>
    <col min="12006" max="12006" width="10.140625" style="86" customWidth="1"/>
    <col min="12007" max="12007" width="11.5703125" style="86" customWidth="1"/>
    <col min="12008" max="12008" width="13.42578125" style="86" customWidth="1"/>
    <col min="12009" max="12009" width="15.140625" style="86" customWidth="1"/>
    <col min="12010" max="12010" width="9.140625" style="86"/>
    <col min="12011" max="12011" width="17.28515625" style="86" customWidth="1"/>
    <col min="12012" max="12012" width="10.42578125" style="86" bestFit="1" customWidth="1"/>
    <col min="12013" max="12253" width="9.140625" style="86"/>
    <col min="12254" max="12254" width="12.140625" style="86" customWidth="1"/>
    <col min="12255" max="12255" width="13.5703125" style="86" customWidth="1"/>
    <col min="12256" max="12256" width="10.7109375" style="86" customWidth="1"/>
    <col min="12257" max="12258" width="12.140625" style="86" customWidth="1"/>
    <col min="12259" max="12259" width="10" style="86" customWidth="1"/>
    <col min="12260" max="12260" width="10.85546875" style="86" customWidth="1"/>
    <col min="12261" max="12261" width="9.5703125" style="86" customWidth="1"/>
    <col min="12262" max="12262" width="10.140625" style="86" customWidth="1"/>
    <col min="12263" max="12263" width="11.5703125" style="86" customWidth="1"/>
    <col min="12264" max="12264" width="13.42578125" style="86" customWidth="1"/>
    <col min="12265" max="12265" width="15.140625" style="86" customWidth="1"/>
    <col min="12266" max="12266" width="9.140625" style="86"/>
    <col min="12267" max="12267" width="17.28515625" style="86" customWidth="1"/>
    <col min="12268" max="12268" width="10.42578125" style="86" bestFit="1" customWidth="1"/>
    <col min="12269" max="12509" width="9.140625" style="86"/>
    <col min="12510" max="12510" width="12.140625" style="86" customWidth="1"/>
    <col min="12511" max="12511" width="13.5703125" style="86" customWidth="1"/>
    <col min="12512" max="12512" width="10.7109375" style="86" customWidth="1"/>
    <col min="12513" max="12514" width="12.140625" style="86" customWidth="1"/>
    <col min="12515" max="12515" width="10" style="86" customWidth="1"/>
    <col min="12516" max="12516" width="10.85546875" style="86" customWidth="1"/>
    <col min="12517" max="12517" width="9.5703125" style="86" customWidth="1"/>
    <col min="12518" max="12518" width="10.140625" style="86" customWidth="1"/>
    <col min="12519" max="12519" width="11.5703125" style="86" customWidth="1"/>
    <col min="12520" max="12520" width="13.42578125" style="86" customWidth="1"/>
    <col min="12521" max="12521" width="15.140625" style="86" customWidth="1"/>
    <col min="12522" max="12522" width="9.140625" style="86"/>
    <col min="12523" max="12523" width="17.28515625" style="86" customWidth="1"/>
    <col min="12524" max="12524" width="10.42578125" style="86" bestFit="1" customWidth="1"/>
    <col min="12525" max="12765" width="9.140625" style="86"/>
    <col min="12766" max="12766" width="12.140625" style="86" customWidth="1"/>
    <col min="12767" max="12767" width="13.5703125" style="86" customWidth="1"/>
    <col min="12768" max="12768" width="10.7109375" style="86" customWidth="1"/>
    <col min="12769" max="12770" width="12.140625" style="86" customWidth="1"/>
    <col min="12771" max="12771" width="10" style="86" customWidth="1"/>
    <col min="12772" max="12772" width="10.85546875" style="86" customWidth="1"/>
    <col min="12773" max="12773" width="9.5703125" style="86" customWidth="1"/>
    <col min="12774" max="12774" width="10.140625" style="86" customWidth="1"/>
    <col min="12775" max="12775" width="11.5703125" style="86" customWidth="1"/>
    <col min="12776" max="12776" width="13.42578125" style="86" customWidth="1"/>
    <col min="12777" max="12777" width="15.140625" style="86" customWidth="1"/>
    <col min="12778" max="12778" width="9.140625" style="86"/>
    <col min="12779" max="12779" width="17.28515625" style="86" customWidth="1"/>
    <col min="12780" max="12780" width="10.42578125" style="86" bestFit="1" customWidth="1"/>
    <col min="12781" max="13021" width="9.140625" style="86"/>
    <col min="13022" max="13022" width="12.140625" style="86" customWidth="1"/>
    <col min="13023" max="13023" width="13.5703125" style="86" customWidth="1"/>
    <col min="13024" max="13024" width="10.7109375" style="86" customWidth="1"/>
    <col min="13025" max="13026" width="12.140625" style="86" customWidth="1"/>
    <col min="13027" max="13027" width="10" style="86" customWidth="1"/>
    <col min="13028" max="13028" width="10.85546875" style="86" customWidth="1"/>
    <col min="13029" max="13029" width="9.5703125" style="86" customWidth="1"/>
    <col min="13030" max="13030" width="10.140625" style="86" customWidth="1"/>
    <col min="13031" max="13031" width="11.5703125" style="86" customWidth="1"/>
    <col min="13032" max="13032" width="13.42578125" style="86" customWidth="1"/>
    <col min="13033" max="13033" width="15.140625" style="86" customWidth="1"/>
    <col min="13034" max="13034" width="9.140625" style="86"/>
    <col min="13035" max="13035" width="17.28515625" style="86" customWidth="1"/>
    <col min="13036" max="13036" width="10.42578125" style="86" bestFit="1" customWidth="1"/>
    <col min="13037" max="13277" width="9.140625" style="86"/>
    <col min="13278" max="13278" width="12.140625" style="86" customWidth="1"/>
    <col min="13279" max="13279" width="13.5703125" style="86" customWidth="1"/>
    <col min="13280" max="13280" width="10.7109375" style="86" customWidth="1"/>
    <col min="13281" max="13282" width="12.140625" style="86" customWidth="1"/>
    <col min="13283" max="13283" width="10" style="86" customWidth="1"/>
    <col min="13284" max="13284" width="10.85546875" style="86" customWidth="1"/>
    <col min="13285" max="13285" width="9.5703125" style="86" customWidth="1"/>
    <col min="13286" max="13286" width="10.140625" style="86" customWidth="1"/>
    <col min="13287" max="13287" width="11.5703125" style="86" customWidth="1"/>
    <col min="13288" max="13288" width="13.42578125" style="86" customWidth="1"/>
    <col min="13289" max="13289" width="15.140625" style="86" customWidth="1"/>
    <col min="13290" max="13290" width="9.140625" style="86"/>
    <col min="13291" max="13291" width="17.28515625" style="86" customWidth="1"/>
    <col min="13292" max="13292" width="10.42578125" style="86" bestFit="1" customWidth="1"/>
    <col min="13293" max="13533" width="9.140625" style="86"/>
    <col min="13534" max="13534" width="12.140625" style="86" customWidth="1"/>
    <col min="13535" max="13535" width="13.5703125" style="86" customWidth="1"/>
    <col min="13536" max="13536" width="10.7109375" style="86" customWidth="1"/>
    <col min="13537" max="13538" width="12.140625" style="86" customWidth="1"/>
    <col min="13539" max="13539" width="10" style="86" customWidth="1"/>
    <col min="13540" max="13540" width="10.85546875" style="86" customWidth="1"/>
    <col min="13541" max="13541" width="9.5703125" style="86" customWidth="1"/>
    <col min="13542" max="13542" width="10.140625" style="86" customWidth="1"/>
    <col min="13543" max="13543" width="11.5703125" style="86" customWidth="1"/>
    <col min="13544" max="13544" width="13.42578125" style="86" customWidth="1"/>
    <col min="13545" max="13545" width="15.140625" style="86" customWidth="1"/>
    <col min="13546" max="13546" width="9.140625" style="86"/>
    <col min="13547" max="13547" width="17.28515625" style="86" customWidth="1"/>
    <col min="13548" max="13548" width="10.42578125" style="86" bestFit="1" customWidth="1"/>
    <col min="13549" max="13789" width="9.140625" style="86"/>
    <col min="13790" max="13790" width="12.140625" style="86" customWidth="1"/>
    <col min="13791" max="13791" width="13.5703125" style="86" customWidth="1"/>
    <col min="13792" max="13792" width="10.7109375" style="86" customWidth="1"/>
    <col min="13793" max="13794" width="12.140625" style="86" customWidth="1"/>
    <col min="13795" max="13795" width="10" style="86" customWidth="1"/>
    <col min="13796" max="13796" width="10.85546875" style="86" customWidth="1"/>
    <col min="13797" max="13797" width="9.5703125" style="86" customWidth="1"/>
    <col min="13798" max="13798" width="10.140625" style="86" customWidth="1"/>
    <col min="13799" max="13799" width="11.5703125" style="86" customWidth="1"/>
    <col min="13800" max="13800" width="13.42578125" style="86" customWidth="1"/>
    <col min="13801" max="13801" width="15.140625" style="86" customWidth="1"/>
    <col min="13802" max="13802" width="9.140625" style="86"/>
    <col min="13803" max="13803" width="17.28515625" style="86" customWidth="1"/>
    <col min="13804" max="13804" width="10.42578125" style="86" bestFit="1" customWidth="1"/>
    <col min="13805" max="14045" width="9.140625" style="86"/>
    <col min="14046" max="14046" width="12.140625" style="86" customWidth="1"/>
    <col min="14047" max="14047" width="13.5703125" style="86" customWidth="1"/>
    <col min="14048" max="14048" width="10.7109375" style="86" customWidth="1"/>
    <col min="14049" max="14050" width="12.140625" style="86" customWidth="1"/>
    <col min="14051" max="14051" width="10" style="86" customWidth="1"/>
    <col min="14052" max="14052" width="10.85546875" style="86" customWidth="1"/>
    <col min="14053" max="14053" width="9.5703125" style="86" customWidth="1"/>
    <col min="14054" max="14054" width="10.140625" style="86" customWidth="1"/>
    <col min="14055" max="14055" width="11.5703125" style="86" customWidth="1"/>
    <col min="14056" max="14056" width="13.42578125" style="86" customWidth="1"/>
    <col min="14057" max="14057" width="15.140625" style="86" customWidth="1"/>
    <col min="14058" max="14058" width="9.140625" style="86"/>
    <col min="14059" max="14059" width="17.28515625" style="86" customWidth="1"/>
    <col min="14060" max="14060" width="10.42578125" style="86" bestFit="1" customWidth="1"/>
    <col min="14061" max="14301" width="9.140625" style="86"/>
    <col min="14302" max="14302" width="12.140625" style="86" customWidth="1"/>
    <col min="14303" max="14303" width="13.5703125" style="86" customWidth="1"/>
    <col min="14304" max="14304" width="10.7109375" style="86" customWidth="1"/>
    <col min="14305" max="14306" width="12.140625" style="86" customWidth="1"/>
    <col min="14307" max="14307" width="10" style="86" customWidth="1"/>
    <col min="14308" max="14308" width="10.85546875" style="86" customWidth="1"/>
    <col min="14309" max="14309" width="9.5703125" style="86" customWidth="1"/>
    <col min="14310" max="14310" width="10.140625" style="86" customWidth="1"/>
    <col min="14311" max="14311" width="11.5703125" style="86" customWidth="1"/>
    <col min="14312" max="14312" width="13.42578125" style="86" customWidth="1"/>
    <col min="14313" max="14313" width="15.140625" style="86" customWidth="1"/>
    <col min="14314" max="14314" width="9.140625" style="86"/>
    <col min="14315" max="14315" width="17.28515625" style="86" customWidth="1"/>
    <col min="14316" max="14316" width="10.42578125" style="86" bestFit="1" customWidth="1"/>
    <col min="14317" max="14557" width="9.140625" style="86"/>
    <col min="14558" max="14558" width="12.140625" style="86" customWidth="1"/>
    <col min="14559" max="14559" width="13.5703125" style="86" customWidth="1"/>
    <col min="14560" max="14560" width="10.7109375" style="86" customWidth="1"/>
    <col min="14561" max="14562" width="12.140625" style="86" customWidth="1"/>
    <col min="14563" max="14563" width="10" style="86" customWidth="1"/>
    <col min="14564" max="14564" width="10.85546875" style="86" customWidth="1"/>
    <col min="14565" max="14565" width="9.5703125" style="86" customWidth="1"/>
    <col min="14566" max="14566" width="10.140625" style="86" customWidth="1"/>
    <col min="14567" max="14567" width="11.5703125" style="86" customWidth="1"/>
    <col min="14568" max="14568" width="13.42578125" style="86" customWidth="1"/>
    <col min="14569" max="14569" width="15.140625" style="86" customWidth="1"/>
    <col min="14570" max="14570" width="9.140625" style="86"/>
    <col min="14571" max="14571" width="17.28515625" style="86" customWidth="1"/>
    <col min="14572" max="14572" width="10.42578125" style="86" bestFit="1" customWidth="1"/>
    <col min="14573" max="14813" width="9.140625" style="86"/>
    <col min="14814" max="14814" width="12.140625" style="86" customWidth="1"/>
    <col min="14815" max="14815" width="13.5703125" style="86" customWidth="1"/>
    <col min="14816" max="14816" width="10.7109375" style="86" customWidth="1"/>
    <col min="14817" max="14818" width="12.140625" style="86" customWidth="1"/>
    <col min="14819" max="14819" width="10" style="86" customWidth="1"/>
    <col min="14820" max="14820" width="10.85546875" style="86" customWidth="1"/>
    <col min="14821" max="14821" width="9.5703125" style="86" customWidth="1"/>
    <col min="14822" max="14822" width="10.140625" style="86" customWidth="1"/>
    <col min="14823" max="14823" width="11.5703125" style="86" customWidth="1"/>
    <col min="14824" max="14824" width="13.42578125" style="86" customWidth="1"/>
    <col min="14825" max="14825" width="15.140625" style="86" customWidth="1"/>
    <col min="14826" max="14826" width="9.140625" style="86"/>
    <col min="14827" max="14827" width="17.28515625" style="86" customWidth="1"/>
    <col min="14828" max="14828" width="10.42578125" style="86" bestFit="1" customWidth="1"/>
    <col min="14829" max="15069" width="9.140625" style="86"/>
    <col min="15070" max="15070" width="12.140625" style="86" customWidth="1"/>
    <col min="15071" max="15071" width="13.5703125" style="86" customWidth="1"/>
    <col min="15072" max="15072" width="10.7109375" style="86" customWidth="1"/>
    <col min="15073" max="15074" width="12.140625" style="86" customWidth="1"/>
    <col min="15075" max="15075" width="10" style="86" customWidth="1"/>
    <col min="15076" max="15076" width="10.85546875" style="86" customWidth="1"/>
    <col min="15077" max="15077" width="9.5703125" style="86" customWidth="1"/>
    <col min="15078" max="15078" width="10.140625" style="86" customWidth="1"/>
    <col min="15079" max="15079" width="11.5703125" style="86" customWidth="1"/>
    <col min="15080" max="15080" width="13.42578125" style="86" customWidth="1"/>
    <col min="15081" max="15081" width="15.140625" style="86" customWidth="1"/>
    <col min="15082" max="15082" width="9.140625" style="86"/>
    <col min="15083" max="15083" width="17.28515625" style="86" customWidth="1"/>
    <col min="15084" max="15084" width="10.42578125" style="86" bestFit="1" customWidth="1"/>
    <col min="15085" max="15325" width="9.140625" style="86"/>
    <col min="15326" max="15326" width="12.140625" style="86" customWidth="1"/>
    <col min="15327" max="15327" width="13.5703125" style="86" customWidth="1"/>
    <col min="15328" max="15328" width="10.7109375" style="86" customWidth="1"/>
    <col min="15329" max="15330" width="12.140625" style="86" customWidth="1"/>
    <col min="15331" max="15331" width="10" style="86" customWidth="1"/>
    <col min="15332" max="15332" width="10.85546875" style="86" customWidth="1"/>
    <col min="15333" max="15333" width="9.5703125" style="86" customWidth="1"/>
    <col min="15334" max="15334" width="10.140625" style="86" customWidth="1"/>
    <col min="15335" max="15335" width="11.5703125" style="86" customWidth="1"/>
    <col min="15336" max="15336" width="13.42578125" style="86" customWidth="1"/>
    <col min="15337" max="15337" width="15.140625" style="86" customWidth="1"/>
    <col min="15338" max="15338" width="9.140625" style="86"/>
    <col min="15339" max="15339" width="17.28515625" style="86" customWidth="1"/>
    <col min="15340" max="15340" width="10.42578125" style="86" bestFit="1" customWidth="1"/>
    <col min="15341" max="15581" width="9.140625" style="86"/>
    <col min="15582" max="15582" width="12.140625" style="86" customWidth="1"/>
    <col min="15583" max="15583" width="13.5703125" style="86" customWidth="1"/>
    <col min="15584" max="15584" width="10.7109375" style="86" customWidth="1"/>
    <col min="15585" max="15586" width="12.140625" style="86" customWidth="1"/>
    <col min="15587" max="15587" width="10" style="86" customWidth="1"/>
    <col min="15588" max="15588" width="10.85546875" style="86" customWidth="1"/>
    <col min="15589" max="15589" width="9.5703125" style="86" customWidth="1"/>
    <col min="15590" max="15590" width="10.140625" style="86" customWidth="1"/>
    <col min="15591" max="15591" width="11.5703125" style="86" customWidth="1"/>
    <col min="15592" max="15592" width="13.42578125" style="86" customWidth="1"/>
    <col min="15593" max="15593" width="15.140625" style="86" customWidth="1"/>
    <col min="15594" max="15594" width="9.140625" style="86"/>
    <col min="15595" max="15595" width="17.28515625" style="86" customWidth="1"/>
    <col min="15596" max="15596" width="10.42578125" style="86" bestFit="1" customWidth="1"/>
    <col min="15597" max="15837" width="9.140625" style="86"/>
    <col min="15838" max="15838" width="12.140625" style="86" customWidth="1"/>
    <col min="15839" max="15839" width="13.5703125" style="86" customWidth="1"/>
    <col min="15840" max="15840" width="10.7109375" style="86" customWidth="1"/>
    <col min="15841" max="15842" width="12.140625" style="86" customWidth="1"/>
    <col min="15843" max="15843" width="10" style="86" customWidth="1"/>
    <col min="15844" max="15844" width="10.85546875" style="86" customWidth="1"/>
    <col min="15845" max="15845" width="9.5703125" style="86" customWidth="1"/>
    <col min="15846" max="15846" width="10.140625" style="86" customWidth="1"/>
    <col min="15847" max="15847" width="11.5703125" style="86" customWidth="1"/>
    <col min="15848" max="15848" width="13.42578125" style="86" customWidth="1"/>
    <col min="15849" max="15849" width="15.140625" style="86" customWidth="1"/>
    <col min="15850" max="15850" width="9.140625" style="86"/>
    <col min="15851" max="15851" width="17.28515625" style="86" customWidth="1"/>
    <col min="15852" max="15852" width="10.42578125" style="86" bestFit="1" customWidth="1"/>
    <col min="15853" max="16093" width="9.140625" style="86"/>
    <col min="16094" max="16094" width="12.140625" style="86" customWidth="1"/>
    <col min="16095" max="16095" width="13.5703125" style="86" customWidth="1"/>
    <col min="16096" max="16096" width="10.7109375" style="86" customWidth="1"/>
    <col min="16097" max="16098" width="12.140625" style="86" customWidth="1"/>
    <col min="16099" max="16099" width="10" style="86" customWidth="1"/>
    <col min="16100" max="16100" width="10.85546875" style="86" customWidth="1"/>
    <col min="16101" max="16101" width="9.5703125" style="86" customWidth="1"/>
    <col min="16102" max="16102" width="10.140625" style="86" customWidth="1"/>
    <col min="16103" max="16103" width="11.5703125" style="86" customWidth="1"/>
    <col min="16104" max="16104" width="13.42578125" style="86" customWidth="1"/>
    <col min="16105" max="16105" width="15.140625" style="86" customWidth="1"/>
    <col min="16106" max="16106" width="9.140625" style="86"/>
    <col min="16107" max="16107" width="17.28515625" style="86" customWidth="1"/>
    <col min="16108" max="16108" width="10.42578125" style="86" bestFit="1" customWidth="1"/>
    <col min="16109" max="16384" width="9.140625" style="86"/>
  </cols>
  <sheetData>
    <row r="1" spans="1:12" x14ac:dyDescent="0.2">
      <c r="A1" s="93" t="s">
        <v>77</v>
      </c>
      <c r="C1" s="94"/>
      <c r="D1" s="94"/>
      <c r="E1" s="95"/>
      <c r="F1" s="94"/>
      <c r="G1" s="94"/>
      <c r="H1" s="94"/>
      <c r="I1" s="95"/>
      <c r="J1" s="95"/>
      <c r="K1" s="95"/>
    </row>
    <row r="2" spans="1:12" x14ac:dyDescent="0.2">
      <c r="A2" s="87"/>
      <c r="C2" s="94"/>
      <c r="D2" s="94"/>
      <c r="E2" s="94"/>
      <c r="F2" s="94"/>
      <c r="G2" s="94"/>
      <c r="H2" s="94"/>
      <c r="I2" s="94"/>
      <c r="J2" s="94"/>
      <c r="K2" s="94"/>
    </row>
    <row r="4" spans="1:12" x14ac:dyDescent="0.2">
      <c r="A4" s="93" t="s">
        <v>77</v>
      </c>
      <c r="C4" s="94"/>
      <c r="D4" s="94"/>
      <c r="E4" s="95"/>
      <c r="F4" s="94"/>
      <c r="G4" s="94"/>
      <c r="H4" s="94"/>
      <c r="J4" s="95"/>
      <c r="K4" s="95"/>
      <c r="L4" s="95"/>
    </row>
    <row r="5" spans="1:12" x14ac:dyDescent="0.2">
      <c r="A5" s="87"/>
      <c r="C5" s="94"/>
      <c r="D5" s="94"/>
      <c r="E5" s="94"/>
      <c r="F5" s="94"/>
      <c r="G5" s="94"/>
      <c r="H5" s="94"/>
      <c r="J5" s="94"/>
      <c r="K5" s="94"/>
      <c r="L5" s="94"/>
    </row>
    <row r="6" spans="1:12" x14ac:dyDescent="0.2">
      <c r="A6" s="94"/>
      <c r="B6" s="96" t="s">
        <v>78</v>
      </c>
      <c r="C6" s="96" t="s">
        <v>79</v>
      </c>
      <c r="D6" s="96" t="s">
        <v>24</v>
      </c>
      <c r="E6" s="96" t="s">
        <v>80</v>
      </c>
      <c r="F6" s="96" t="s">
        <v>23</v>
      </c>
      <c r="G6" s="96" t="s">
        <v>16</v>
      </c>
      <c r="H6" s="96" t="s">
        <v>1</v>
      </c>
      <c r="I6" s="96" t="s">
        <v>81</v>
      </c>
      <c r="J6" s="96" t="s">
        <v>82</v>
      </c>
      <c r="K6" s="97" t="s">
        <v>83</v>
      </c>
    </row>
    <row r="7" spans="1:12" x14ac:dyDescent="0.2">
      <c r="A7" s="98">
        <v>42522</v>
      </c>
      <c r="B7" s="99">
        <v>82.97</v>
      </c>
      <c r="C7" s="99">
        <v>46</v>
      </c>
      <c r="D7" s="99">
        <v>103.02</v>
      </c>
      <c r="E7" s="99">
        <v>1091.93</v>
      </c>
      <c r="F7" s="99">
        <v>75.489999999999995</v>
      </c>
      <c r="G7" s="99">
        <v>-53.34</v>
      </c>
      <c r="H7" s="99">
        <v>152.80000000000001</v>
      </c>
      <c r="I7" s="99">
        <v>667.02</v>
      </c>
      <c r="J7" s="99">
        <v>467</v>
      </c>
      <c r="K7" s="99">
        <v>-46.86</v>
      </c>
    </row>
    <row r="8" spans="1:12" x14ac:dyDescent="0.2">
      <c r="A8" s="98">
        <v>42552</v>
      </c>
      <c r="B8" s="99">
        <v>91.48</v>
      </c>
      <c r="C8" s="99">
        <v>51</v>
      </c>
      <c r="D8" s="99">
        <v>116.01</v>
      </c>
      <c r="E8" s="99">
        <v>1096.72</v>
      </c>
      <c r="F8" s="99">
        <v>74.349999999999994</v>
      </c>
      <c r="G8" s="99">
        <v>-53.34</v>
      </c>
      <c r="H8" s="99">
        <v>157.33000000000001</v>
      </c>
      <c r="I8" s="99">
        <v>657</v>
      </c>
      <c r="J8" s="99">
        <v>462</v>
      </c>
      <c r="K8" s="99">
        <v>-46.86</v>
      </c>
    </row>
    <row r="9" spans="1:12" x14ac:dyDescent="0.2">
      <c r="A9" s="98">
        <v>42583</v>
      </c>
      <c r="B9" s="99">
        <v>101.62</v>
      </c>
      <c r="C9" s="99">
        <v>61</v>
      </c>
      <c r="D9" s="99">
        <v>125.53</v>
      </c>
      <c r="E9" s="99">
        <v>1112.1300000000001</v>
      </c>
      <c r="F9" s="99">
        <v>91.55</v>
      </c>
      <c r="G9" s="99">
        <v>-53.34</v>
      </c>
      <c r="H9" s="99">
        <v>167</v>
      </c>
      <c r="I9" s="99">
        <v>607</v>
      </c>
      <c r="J9" s="99">
        <v>402</v>
      </c>
      <c r="K9" s="99">
        <v>-46.86</v>
      </c>
    </row>
    <row r="10" spans="1:12" x14ac:dyDescent="0.2">
      <c r="A10" s="98">
        <v>42614</v>
      </c>
      <c r="B10" s="99">
        <v>104.33</v>
      </c>
      <c r="C10" s="99">
        <v>42</v>
      </c>
      <c r="D10" s="99">
        <v>126.80000000000001</v>
      </c>
      <c r="E10" s="99">
        <v>1085.68</v>
      </c>
      <c r="F10" s="99">
        <v>105.8</v>
      </c>
      <c r="G10" s="99">
        <v>-53.34</v>
      </c>
      <c r="H10" s="99">
        <v>151.4</v>
      </c>
      <c r="I10" s="99">
        <v>497</v>
      </c>
      <c r="J10" s="99">
        <v>387</v>
      </c>
      <c r="K10" s="99">
        <v>-51.96</v>
      </c>
    </row>
    <row r="11" spans="1:12" x14ac:dyDescent="0.2">
      <c r="A11" s="98">
        <v>42644</v>
      </c>
      <c r="B11" s="99">
        <v>101.72</v>
      </c>
      <c r="C11" s="99">
        <v>39.5</v>
      </c>
      <c r="D11" s="99">
        <v>115.35</v>
      </c>
      <c r="E11" s="99">
        <v>1171.32</v>
      </c>
      <c r="F11" s="99">
        <v>80.400000000000006</v>
      </c>
      <c r="G11" s="99">
        <v>-53.34</v>
      </c>
      <c r="H11" s="99">
        <v>128</v>
      </c>
      <c r="I11" s="99">
        <v>477</v>
      </c>
      <c r="J11" s="99">
        <v>477</v>
      </c>
      <c r="K11" s="99">
        <v>-68.180000000000007</v>
      </c>
    </row>
    <row r="12" spans="1:12" x14ac:dyDescent="0.2">
      <c r="A12" s="98">
        <v>42675</v>
      </c>
      <c r="B12" s="99">
        <v>107.55</v>
      </c>
      <c r="C12" s="99">
        <v>49.5</v>
      </c>
      <c r="D12" s="99">
        <v>127.13999999999999</v>
      </c>
      <c r="E12" s="99">
        <v>1227.23</v>
      </c>
      <c r="F12" s="99">
        <v>91.36</v>
      </c>
      <c r="G12" s="99">
        <v>-53.34</v>
      </c>
      <c r="H12" s="99">
        <v>142.6</v>
      </c>
      <c r="I12" s="99">
        <v>497</v>
      </c>
      <c r="J12" s="99">
        <v>457</v>
      </c>
      <c r="K12" s="99">
        <v>-68.185000000000002</v>
      </c>
    </row>
    <row r="13" spans="1:12" x14ac:dyDescent="0.2">
      <c r="A13" s="98">
        <v>42705</v>
      </c>
      <c r="B13" s="99">
        <v>111.46</v>
      </c>
      <c r="C13" s="99">
        <v>62.5</v>
      </c>
      <c r="D13" s="99">
        <v>131.1</v>
      </c>
      <c r="E13" s="99">
        <v>1228.4000000000001</v>
      </c>
      <c r="F13" s="99">
        <v>110.13</v>
      </c>
      <c r="G13" s="99">
        <v>-53.34</v>
      </c>
      <c r="H13" s="99">
        <v>132.6</v>
      </c>
      <c r="I13" s="99">
        <v>509</v>
      </c>
      <c r="J13" s="99">
        <v>319</v>
      </c>
      <c r="K13" s="99">
        <v>-68.19</v>
      </c>
    </row>
    <row r="14" spans="1:12" x14ac:dyDescent="0.2">
      <c r="A14" s="98">
        <v>42736</v>
      </c>
      <c r="B14" s="99">
        <v>118.44</v>
      </c>
      <c r="C14" s="99">
        <v>70.5</v>
      </c>
      <c r="D14" s="99">
        <v>141.28</v>
      </c>
      <c r="E14" s="99">
        <v>1289.5</v>
      </c>
      <c r="F14" s="99">
        <v>124.01</v>
      </c>
      <c r="G14" s="99">
        <v>-53.34</v>
      </c>
      <c r="H14" s="99">
        <v>145.03</v>
      </c>
      <c r="I14" s="99">
        <v>519</v>
      </c>
      <c r="J14" s="99">
        <v>297</v>
      </c>
      <c r="K14" s="99">
        <v>-64.94</v>
      </c>
    </row>
    <row r="15" spans="1:12" x14ac:dyDescent="0.2">
      <c r="A15" s="98">
        <v>42767</v>
      </c>
      <c r="B15" s="99">
        <v>124.61</v>
      </c>
      <c r="C15" s="99">
        <v>80.5</v>
      </c>
      <c r="D15" s="99">
        <v>161.24</v>
      </c>
      <c r="E15" s="99">
        <v>1336.47</v>
      </c>
      <c r="F15" s="99">
        <v>124.53</v>
      </c>
      <c r="G15" s="99">
        <v>-53.34</v>
      </c>
      <c r="H15" s="99">
        <v>177.9</v>
      </c>
      <c r="I15" s="99">
        <v>601</v>
      </c>
      <c r="J15" s="99">
        <v>307</v>
      </c>
      <c r="K15" s="99">
        <v>-52.72</v>
      </c>
    </row>
    <row r="16" spans="1:12" x14ac:dyDescent="0.2">
      <c r="A16" s="98">
        <v>42795</v>
      </c>
      <c r="B16" s="99">
        <v>124.93</v>
      </c>
      <c r="C16" s="99">
        <v>80.5</v>
      </c>
      <c r="D16" s="99">
        <v>191.27</v>
      </c>
      <c r="E16" s="99">
        <v>1337.24</v>
      </c>
      <c r="F16" s="99">
        <v>144.66999999999999</v>
      </c>
      <c r="G16" s="99">
        <v>-53.34</v>
      </c>
      <c r="H16" s="99">
        <v>192.87</v>
      </c>
      <c r="I16" s="99">
        <v>648</v>
      </c>
      <c r="J16" s="99">
        <v>379</v>
      </c>
      <c r="K16" s="99">
        <v>-75.81</v>
      </c>
    </row>
    <row r="17" spans="1:11" x14ac:dyDescent="0.2">
      <c r="A17" s="98">
        <v>42826</v>
      </c>
      <c r="B17" s="99">
        <v>85.6</v>
      </c>
      <c r="C17" s="99">
        <v>38.5</v>
      </c>
      <c r="D17" s="99">
        <v>153.80000000000001</v>
      </c>
      <c r="E17" s="99">
        <v>1292.1500000000001</v>
      </c>
      <c r="F17" s="99">
        <v>135.22999999999999</v>
      </c>
      <c r="G17" s="99">
        <v>-53.34</v>
      </c>
      <c r="H17" s="99">
        <v>183.74</v>
      </c>
      <c r="I17" s="99">
        <v>634.24</v>
      </c>
      <c r="J17" s="99">
        <v>417</v>
      </c>
      <c r="K17" s="99">
        <v>-33</v>
      </c>
    </row>
    <row r="18" spans="1:11" x14ac:dyDescent="0.2">
      <c r="A18" s="98">
        <v>42856</v>
      </c>
      <c r="B18" s="99">
        <v>85.72</v>
      </c>
      <c r="C18" s="99">
        <v>-3</v>
      </c>
      <c r="D18" s="99">
        <v>155.78</v>
      </c>
      <c r="E18" s="99">
        <v>1257.9100000000001</v>
      </c>
      <c r="F18" s="99">
        <v>118.86</v>
      </c>
      <c r="G18" s="99">
        <v>-53.34</v>
      </c>
      <c r="H18" s="99">
        <v>154.6</v>
      </c>
      <c r="I18" s="99">
        <v>611.77</v>
      </c>
      <c r="J18" s="99">
        <v>312.86</v>
      </c>
      <c r="K18" s="99">
        <v>-90.6</v>
      </c>
    </row>
  </sheetData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tabSelected="1" workbookViewId="0">
      <selection activeCell="E21" sqref="E21"/>
    </sheetView>
  </sheetViews>
  <sheetFormatPr defaultRowHeight="12.75" x14ac:dyDescent="0.2"/>
  <cols>
    <col min="1" max="1" width="38.85546875" bestFit="1" customWidth="1"/>
    <col min="2" max="2" width="4.7109375" customWidth="1"/>
    <col min="3" max="14" width="9.28515625" bestFit="1" customWidth="1"/>
    <col min="15" max="15" width="3.7109375" customWidth="1"/>
    <col min="16" max="16" width="10.85546875" bestFit="1" customWidth="1"/>
  </cols>
  <sheetData>
    <row r="1" spans="1:16" ht="23.25" x14ac:dyDescent="0.35">
      <c r="A1" s="22" t="s">
        <v>36</v>
      </c>
    </row>
    <row r="2" spans="1:16" x14ac:dyDescent="0.2">
      <c r="A2" s="1" t="s">
        <v>100</v>
      </c>
    </row>
    <row r="4" spans="1:16" x14ac:dyDescent="0.2">
      <c r="A4" s="3"/>
      <c r="B4" s="3"/>
      <c r="C4" s="107">
        <v>42522</v>
      </c>
      <c r="D4" s="107">
        <v>42552</v>
      </c>
      <c r="E4" s="107">
        <v>42583</v>
      </c>
      <c r="F4" s="107">
        <v>42614</v>
      </c>
      <c r="G4" s="107">
        <v>42644</v>
      </c>
      <c r="H4" s="107">
        <v>42675</v>
      </c>
      <c r="I4" s="107">
        <v>42705</v>
      </c>
      <c r="J4" s="107">
        <v>42736</v>
      </c>
      <c r="K4" s="107">
        <v>42767</v>
      </c>
      <c r="L4" s="107">
        <v>42795</v>
      </c>
      <c r="M4" s="107">
        <v>42826</v>
      </c>
      <c r="N4" s="107">
        <v>42856</v>
      </c>
      <c r="O4" s="108"/>
      <c r="P4" s="102"/>
    </row>
    <row r="5" spans="1:16" x14ac:dyDescent="0.2">
      <c r="A5" s="3" t="s">
        <v>94</v>
      </c>
      <c r="B5" s="1"/>
    </row>
    <row r="6" spans="1:16" x14ac:dyDescent="0.2">
      <c r="A6" s="106" t="s">
        <v>87</v>
      </c>
      <c r="B6" s="105"/>
      <c r="C6" s="76">
        <v>537</v>
      </c>
      <c r="D6" s="76">
        <v>545</v>
      </c>
      <c r="E6" s="76">
        <v>562</v>
      </c>
      <c r="F6" s="76">
        <v>565</v>
      </c>
      <c r="G6" s="76">
        <v>569</v>
      </c>
      <c r="H6" s="76">
        <v>583</v>
      </c>
      <c r="I6" s="76">
        <v>588</v>
      </c>
      <c r="J6" s="76">
        <v>593</v>
      </c>
      <c r="K6" s="76">
        <v>601</v>
      </c>
      <c r="L6" s="76">
        <v>601</v>
      </c>
      <c r="M6" s="76">
        <v>609</v>
      </c>
      <c r="N6" s="76">
        <v>615</v>
      </c>
      <c r="O6" s="104"/>
      <c r="P6" s="104"/>
    </row>
    <row r="7" spans="1:16" x14ac:dyDescent="0.2">
      <c r="A7" s="106" t="s">
        <v>86</v>
      </c>
      <c r="B7" s="105"/>
      <c r="C7" s="76">
        <v>1356</v>
      </c>
      <c r="D7" s="76">
        <v>1362</v>
      </c>
      <c r="E7" s="76">
        <v>1370</v>
      </c>
      <c r="F7" s="76">
        <v>1344</v>
      </c>
      <c r="G7" s="76">
        <v>1338</v>
      </c>
      <c r="H7" s="76">
        <v>1343</v>
      </c>
      <c r="I7" s="76">
        <v>1342</v>
      </c>
      <c r="J7" s="76">
        <v>1345</v>
      </c>
      <c r="K7" s="76">
        <v>1352</v>
      </c>
      <c r="L7" s="76">
        <v>1350</v>
      </c>
      <c r="M7" s="76">
        <v>1365</v>
      </c>
      <c r="N7" s="76">
        <v>1371</v>
      </c>
      <c r="O7" s="104"/>
      <c r="P7" s="104"/>
    </row>
    <row r="8" spans="1:16" x14ac:dyDescent="0.2">
      <c r="A8" s="106" t="s">
        <v>88</v>
      </c>
      <c r="B8" s="105"/>
      <c r="C8" s="76">
        <v>3080</v>
      </c>
      <c r="D8" s="76">
        <v>3096</v>
      </c>
      <c r="E8" s="76">
        <v>3105</v>
      </c>
      <c r="F8" s="76">
        <v>3119</v>
      </c>
      <c r="G8" s="76">
        <v>3123</v>
      </c>
      <c r="H8" s="76">
        <v>3131</v>
      </c>
      <c r="I8" s="76">
        <v>3132</v>
      </c>
      <c r="J8" s="76">
        <v>3149</v>
      </c>
      <c r="K8" s="76">
        <v>3153</v>
      </c>
      <c r="L8" s="76">
        <v>3144</v>
      </c>
      <c r="M8" s="76">
        <v>3202</v>
      </c>
      <c r="N8" s="76">
        <v>3227</v>
      </c>
      <c r="O8" s="104"/>
      <c r="P8" s="104"/>
    </row>
    <row r="9" spans="1:16" ht="15" x14ac:dyDescent="0.35">
      <c r="A9" s="106" t="s">
        <v>89</v>
      </c>
      <c r="B9" s="105"/>
      <c r="C9" s="109">
        <v>22570</v>
      </c>
      <c r="D9" s="109">
        <v>22666</v>
      </c>
      <c r="E9" s="109">
        <v>22831</v>
      </c>
      <c r="F9" s="109">
        <v>22755</v>
      </c>
      <c r="G9" s="109">
        <v>22834</v>
      </c>
      <c r="H9" s="109">
        <v>22821</v>
      </c>
      <c r="I9" s="109">
        <v>22677</v>
      </c>
      <c r="J9" s="109">
        <v>22770</v>
      </c>
      <c r="K9" s="109">
        <v>22846</v>
      </c>
      <c r="L9" s="109">
        <v>22826</v>
      </c>
      <c r="M9" s="109">
        <v>23013</v>
      </c>
      <c r="N9" s="109">
        <v>23155</v>
      </c>
      <c r="O9" s="104"/>
      <c r="P9" s="104"/>
    </row>
    <row r="10" spans="1:16" ht="15" x14ac:dyDescent="0.35">
      <c r="A10" s="105" t="s">
        <v>93</v>
      </c>
      <c r="B10" s="105"/>
      <c r="C10" s="113">
        <f>SUM(C6:C9)</f>
        <v>27543</v>
      </c>
      <c r="D10" s="113">
        <f t="shared" ref="D10:N10" si="0">SUM(D6:D9)</f>
        <v>27669</v>
      </c>
      <c r="E10" s="113">
        <f t="shared" si="0"/>
        <v>27868</v>
      </c>
      <c r="F10" s="113">
        <f t="shared" si="0"/>
        <v>27783</v>
      </c>
      <c r="G10" s="113">
        <f t="shared" si="0"/>
        <v>27864</v>
      </c>
      <c r="H10" s="113">
        <f t="shared" si="0"/>
        <v>27878</v>
      </c>
      <c r="I10" s="113">
        <f t="shared" si="0"/>
        <v>27739</v>
      </c>
      <c r="J10" s="113">
        <f t="shared" si="0"/>
        <v>27857</v>
      </c>
      <c r="K10" s="113">
        <f t="shared" si="0"/>
        <v>27952</v>
      </c>
      <c r="L10" s="113">
        <f t="shared" si="0"/>
        <v>27921</v>
      </c>
      <c r="M10" s="113">
        <f t="shared" si="0"/>
        <v>28189</v>
      </c>
      <c r="N10" s="113">
        <f t="shared" si="0"/>
        <v>28368</v>
      </c>
      <c r="O10" s="104"/>
      <c r="P10" s="104"/>
    </row>
    <row r="11" spans="1:16" x14ac:dyDescent="0.2">
      <c r="A11" s="105"/>
      <c r="B11" s="105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04"/>
      <c r="P11" s="104"/>
    </row>
    <row r="12" spans="1:16" x14ac:dyDescent="0.2">
      <c r="A12" s="105" t="s">
        <v>92</v>
      </c>
      <c r="B12" s="111"/>
      <c r="C12" s="112">
        <v>21691</v>
      </c>
      <c r="D12" s="112">
        <v>21729</v>
      </c>
      <c r="E12" s="112">
        <v>21890</v>
      </c>
      <c r="F12" s="112">
        <v>21927</v>
      </c>
      <c r="G12" s="112">
        <v>21849</v>
      </c>
      <c r="H12" s="112">
        <v>21834</v>
      </c>
      <c r="I12" s="112">
        <v>21791</v>
      </c>
      <c r="J12" s="112">
        <v>21763</v>
      </c>
      <c r="K12" s="112">
        <v>21810</v>
      </c>
      <c r="L12" s="112">
        <v>21957</v>
      </c>
      <c r="M12" s="112">
        <v>22101</v>
      </c>
      <c r="N12" s="112">
        <v>22200</v>
      </c>
      <c r="O12" s="111"/>
      <c r="P12" s="111"/>
    </row>
    <row r="14" spans="1:16" ht="15" x14ac:dyDescent="0.35">
      <c r="C14" s="14">
        <f>+C12+C10</f>
        <v>49234</v>
      </c>
      <c r="D14" s="14">
        <f t="shared" ref="D14:N14" si="1">+D12+D10</f>
        <v>49398</v>
      </c>
      <c r="E14" s="14">
        <f t="shared" si="1"/>
        <v>49758</v>
      </c>
      <c r="F14" s="14">
        <f t="shared" si="1"/>
        <v>49710</v>
      </c>
      <c r="G14" s="14">
        <f t="shared" si="1"/>
        <v>49713</v>
      </c>
      <c r="H14" s="14">
        <f t="shared" si="1"/>
        <v>49712</v>
      </c>
      <c r="I14" s="14">
        <f t="shared" si="1"/>
        <v>49530</v>
      </c>
      <c r="J14" s="14">
        <f t="shared" si="1"/>
        <v>49620</v>
      </c>
      <c r="K14" s="14">
        <f t="shared" si="1"/>
        <v>49762</v>
      </c>
      <c r="L14" s="14">
        <f t="shared" si="1"/>
        <v>49878</v>
      </c>
      <c r="M14" s="14">
        <f t="shared" si="1"/>
        <v>50290</v>
      </c>
      <c r="N14" s="14">
        <f t="shared" si="1"/>
        <v>50568</v>
      </c>
    </row>
    <row r="16" spans="1:16" x14ac:dyDescent="0.2">
      <c r="A16" s="1" t="s">
        <v>95</v>
      </c>
      <c r="C16" s="101">
        <f>+C12/C14</f>
        <v>0.44056952512491365</v>
      </c>
      <c r="D16" s="101">
        <f t="shared" ref="D16:N16" si="2">+D12/D14</f>
        <v>0.43987610834446739</v>
      </c>
      <c r="E16" s="101">
        <f t="shared" si="2"/>
        <v>0.439929257606817</v>
      </c>
      <c r="F16" s="101">
        <f t="shared" si="2"/>
        <v>0.44109837054918527</v>
      </c>
      <c r="G16" s="101">
        <f t="shared" si="2"/>
        <v>0.43950274576066622</v>
      </c>
      <c r="H16" s="101">
        <f t="shared" si="2"/>
        <v>0.43920984872867719</v>
      </c>
      <c r="I16" s="101">
        <f t="shared" si="2"/>
        <v>0.4399555824752675</v>
      </c>
      <c r="J16" s="101">
        <f t="shared" si="2"/>
        <v>0.43859330914953648</v>
      </c>
      <c r="K16" s="101">
        <f t="shared" si="2"/>
        <v>0.43828624251436837</v>
      </c>
      <c r="L16" s="101">
        <f t="shared" si="2"/>
        <v>0.44021412245879948</v>
      </c>
      <c r="M16" s="101">
        <f t="shared" si="2"/>
        <v>0.43947106780672102</v>
      </c>
      <c r="N16" s="101">
        <f t="shared" si="2"/>
        <v>0.43901281442809681</v>
      </c>
    </row>
    <row r="18" spans="1:29" x14ac:dyDescent="0.2">
      <c r="A18" s="1" t="s">
        <v>96</v>
      </c>
      <c r="C18" s="115">
        <f>1-C16</f>
        <v>0.55943047487508635</v>
      </c>
      <c r="D18" s="115">
        <f t="shared" ref="D18:N18" si="3">1-D16</f>
        <v>0.56012389165553267</v>
      </c>
      <c r="E18" s="115">
        <f t="shared" si="3"/>
        <v>0.560070742393183</v>
      </c>
      <c r="F18" s="115">
        <f t="shared" si="3"/>
        <v>0.55890162945081467</v>
      </c>
      <c r="G18" s="115">
        <f t="shared" si="3"/>
        <v>0.56049725423933383</v>
      </c>
      <c r="H18" s="115">
        <f t="shared" si="3"/>
        <v>0.56079015127132281</v>
      </c>
      <c r="I18" s="115">
        <f t="shared" si="3"/>
        <v>0.56004441752473255</v>
      </c>
      <c r="J18" s="115">
        <f t="shared" si="3"/>
        <v>0.56140669085046357</v>
      </c>
      <c r="K18" s="115">
        <f t="shared" si="3"/>
        <v>0.56171375748563168</v>
      </c>
      <c r="L18" s="115">
        <f t="shared" si="3"/>
        <v>0.55978587754120057</v>
      </c>
      <c r="M18" s="115">
        <f t="shared" si="3"/>
        <v>0.56052893219327893</v>
      </c>
      <c r="N18" s="115">
        <f t="shared" si="3"/>
        <v>0.56098718557190319</v>
      </c>
    </row>
    <row r="20" spans="1:29" x14ac:dyDescent="0.2"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1:29" x14ac:dyDescent="0.2">
      <c r="A21" s="1" t="s">
        <v>99</v>
      </c>
      <c r="B21" s="1"/>
      <c r="C21" s="122">
        <v>-474.79</v>
      </c>
      <c r="D21" s="122">
        <v>-474.79</v>
      </c>
      <c r="E21" s="122">
        <f>-449.22</f>
        <v>-449.22</v>
      </c>
      <c r="F21" s="122">
        <v>-420.83000000000004</v>
      </c>
      <c r="G21" s="122">
        <v>-347.08</v>
      </c>
      <c r="H21" s="122">
        <v>-347.08</v>
      </c>
      <c r="I21" s="122">
        <v>-347.08</v>
      </c>
      <c r="J21" s="122">
        <v>-342.45</v>
      </c>
      <c r="K21" s="122">
        <v>-347.08</v>
      </c>
      <c r="L21" s="122">
        <v>-347.08</v>
      </c>
      <c r="M21" s="122">
        <v>-348.32</v>
      </c>
      <c r="N21" s="122">
        <v>-352.32</v>
      </c>
      <c r="O21" s="122"/>
      <c r="P21" s="122">
        <f>SUM(C21:N21)</f>
        <v>-4598.119999999999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1:29" x14ac:dyDescent="0.2">
      <c r="A22" s="6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97</v>
      </c>
      <c r="C23" s="123">
        <v>0.3</v>
      </c>
      <c r="D23" s="123">
        <v>0.3</v>
      </c>
      <c r="E23" s="117">
        <v>0.28000000000000003</v>
      </c>
      <c r="F23" s="117">
        <v>0.28000000000000003</v>
      </c>
      <c r="G23" s="117">
        <v>0.23</v>
      </c>
      <c r="H23" s="117">
        <v>0.23</v>
      </c>
      <c r="I23" s="117">
        <v>0.23</v>
      </c>
      <c r="J23" s="117">
        <v>0.23</v>
      </c>
      <c r="K23" s="117">
        <v>0.23</v>
      </c>
      <c r="L23" s="117">
        <v>0.23</v>
      </c>
      <c r="M23" s="117">
        <v>0.23</v>
      </c>
      <c r="N23" s="117">
        <v>0.23</v>
      </c>
      <c r="O23" s="117"/>
      <c r="P23" s="117"/>
    </row>
    <row r="25" spans="1:29" ht="15" x14ac:dyDescent="0.35">
      <c r="A25" s="1" t="s">
        <v>98</v>
      </c>
      <c r="B25" s="118"/>
      <c r="C25" s="119">
        <f t="shared" ref="C25:N25" si="4">-(C21)/C23</f>
        <v>1582.6333333333334</v>
      </c>
      <c r="D25" s="119">
        <f t="shared" si="4"/>
        <v>1582.6333333333334</v>
      </c>
      <c r="E25" s="119">
        <f t="shared" si="4"/>
        <v>1604.3571428571429</v>
      </c>
      <c r="F25" s="119">
        <f t="shared" si="4"/>
        <v>1502.9642857142858</v>
      </c>
      <c r="G25" s="119">
        <f t="shared" si="4"/>
        <v>1509.0434782608695</v>
      </c>
      <c r="H25" s="119">
        <f t="shared" si="4"/>
        <v>1509.0434782608695</v>
      </c>
      <c r="I25" s="119">
        <f t="shared" si="4"/>
        <v>1509.0434782608695</v>
      </c>
      <c r="J25" s="119">
        <f t="shared" si="4"/>
        <v>1488.9130434782608</v>
      </c>
      <c r="K25" s="119">
        <f t="shared" si="4"/>
        <v>1509.0434782608695</v>
      </c>
      <c r="L25" s="119">
        <f t="shared" si="4"/>
        <v>1509.0434782608695</v>
      </c>
      <c r="M25" s="119">
        <f t="shared" si="4"/>
        <v>1514.4347826086955</v>
      </c>
      <c r="N25" s="119">
        <f t="shared" si="4"/>
        <v>1531.8260869565217</v>
      </c>
      <c r="O25" s="120"/>
      <c r="P25" s="14">
        <f>SUM(C25:O25)</f>
        <v>18352.979399585922</v>
      </c>
    </row>
  </sheetData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2017-06-29T07:00:00+00:00</OpenedDate>
    <Date1 xmlns="dc463f71-b30c-4ab2-9473-d307f9d35888">2017-06-29T07:00:00+00:00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170761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4502A30CA40C42B729DE49A79D47CC" ma:contentTypeVersion="104" ma:contentTypeDescription="" ma:contentTypeScope="" ma:versionID="73f32de19ef6a7cd2b3a7e0b5bf894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F070E-EA4E-4470-A330-B0797AF1E124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D92CDC1-86C1-4244-ADB9-19421F771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Rebate Calculation</vt:lpstr>
      <vt:lpstr>Tons &amp; Revenue</vt:lpstr>
      <vt:lpstr>Composition</vt:lpstr>
      <vt:lpstr>Prices</vt:lpstr>
      <vt:lpstr>Res'l &amp; MF Customers</vt:lpstr>
      <vt:lpstr>Composition!Print_Area</vt:lpstr>
      <vt:lpstr>Prices!Print_Area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Weinstein, Mike</cp:lastModifiedBy>
  <cp:lastPrinted>2017-06-29T16:21:50Z</cp:lastPrinted>
  <dcterms:created xsi:type="dcterms:W3CDTF">2004-02-20T19:40:08Z</dcterms:created>
  <dcterms:modified xsi:type="dcterms:W3CDTF">2017-06-29T16:22:07Z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0x0101006E56B4D1795A2E4DB2F0B01679ED314A00854502A30CA40C42B729DE49A79D47CC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