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35" yWindow="645" windowWidth="15180" windowHeight="9510" firstSheet="1" activeTab="1"/>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s>
  <externalReferences>
    <externalReference r:id="rId7"/>
    <externalReference r:id="rId8"/>
  </externalReferences>
  <definedNames>
    <definedName name="color">#REF!</definedName>
    <definedName name="_xlnm.Print_Area" localSheetId="4">Pricing!$A$1:$L$19</definedName>
    <definedName name="_xlnm.Print_Area" localSheetId="5">'Single Family'!$A$7:$N$102</definedName>
    <definedName name="_xlnm.Print_Area" localSheetId="1">'WUTC_AW of Kent (SeaTac)_SF'!$A$1:$P$66</definedName>
    <definedName name="_xlnm.Print_Area" localSheetId="0">WUTC_LYNNWOOD_SF!$A$1:$K$82</definedName>
    <definedName name="_xlnm.Print_Titles" localSheetId="5">'Single Family'!$A:$B,'Single Family'!$1:$6</definedName>
  </definedNames>
  <calcPr calcId="145621"/>
</workbook>
</file>

<file path=xl/calcChain.xml><?xml version="1.0" encoding="utf-8"?>
<calcChain xmlns="http://schemas.openxmlformats.org/spreadsheetml/2006/main">
  <c r="I62" i="11" l="1"/>
  <c r="N94" i="6" l="1"/>
  <c r="C94" i="6"/>
  <c r="I64" i="11" l="1"/>
  <c r="O79" i="6" l="1"/>
  <c r="Q7" i="6" l="1"/>
  <c r="E9" i="6"/>
  <c r="E10" i="6" s="1"/>
  <c r="E34" i="6" s="1"/>
  <c r="D23" i="6"/>
  <c r="E23" i="6" s="1"/>
  <c r="F23" i="6" s="1"/>
  <c r="G23" i="6" s="1"/>
  <c r="D22" i="6"/>
  <c r="D21" i="6"/>
  <c r="E21" i="6" s="1"/>
  <c r="F21" i="6" s="1"/>
  <c r="D20" i="6"/>
  <c r="E20" i="6"/>
  <c r="F20" i="6" s="1"/>
  <c r="G20" i="6" s="1"/>
  <c r="D19" i="6"/>
  <c r="G18" i="6"/>
  <c r="D18" i="6"/>
  <c r="E18" i="6" s="1"/>
  <c r="F18" i="6" s="1"/>
  <c r="D17" i="6"/>
  <c r="E16" i="6"/>
  <c r="F16" i="6" s="1"/>
  <c r="G16" i="6" s="1"/>
  <c r="H16" i="6" s="1"/>
  <c r="I16" i="6" s="1"/>
  <c r="J16" i="6" s="1"/>
  <c r="K16" i="6" s="1"/>
  <c r="D16" i="6"/>
  <c r="D15" i="6"/>
  <c r="D14" i="6"/>
  <c r="E14" i="6" s="1"/>
  <c r="F14" i="6" s="1"/>
  <c r="G14" i="6" s="1"/>
  <c r="E13" i="6"/>
  <c r="F13" i="6" s="1"/>
  <c r="D13" i="6"/>
  <c r="G49" i="11"/>
  <c r="N54" i="11"/>
  <c r="B11" i="11"/>
  <c r="F33" i="11" s="1"/>
  <c r="F34" i="11" s="1"/>
  <c r="O7" i="11"/>
  <c r="O6" i="11"/>
  <c r="O5" i="11"/>
  <c r="H14" i="3"/>
  <c r="H12" i="3"/>
  <c r="H11" i="3"/>
  <c r="H6" i="3"/>
  <c r="D14" i="3"/>
  <c r="D12" i="3"/>
  <c r="D11" i="3"/>
  <c r="D6" i="3"/>
  <c r="C14" i="3"/>
  <c r="C12" i="3"/>
  <c r="C10" i="3"/>
  <c r="C9" i="3"/>
  <c r="C8" i="3"/>
  <c r="I10" i="3"/>
  <c r="J8" i="3"/>
  <c r="J7" i="3"/>
  <c r="F12" i="3"/>
  <c r="K14" i="3"/>
  <c r="K13" i="3"/>
  <c r="K10" i="3"/>
  <c r="K9" i="3"/>
  <c r="K7" i="3"/>
  <c r="K6" i="3"/>
  <c r="G13" i="3"/>
  <c r="G10" i="3"/>
  <c r="G8" i="3"/>
  <c r="C9" i="6"/>
  <c r="C10" i="6" s="1"/>
  <c r="A8" i="11"/>
  <c r="K8" i="11" s="1"/>
  <c r="A6" i="3"/>
  <c r="A6" i="4"/>
  <c r="A6" i="2"/>
  <c r="A7" i="2" s="1"/>
  <c r="C7" i="3"/>
  <c r="F7" i="3"/>
  <c r="I8" i="3"/>
  <c r="D9" i="3"/>
  <c r="F9" i="3"/>
  <c r="H9" i="3"/>
  <c r="C11" i="3"/>
  <c r="K11" i="3"/>
  <c r="G12" i="3"/>
  <c r="I12" i="3"/>
  <c r="J12" i="3"/>
  <c r="H13" i="3"/>
  <c r="D9" i="6"/>
  <c r="D10" i="6" s="1"/>
  <c r="F9" i="6"/>
  <c r="F10" i="6" s="1"/>
  <c r="G9" i="6"/>
  <c r="G10" i="6" s="1"/>
  <c r="G28" i="6" s="1"/>
  <c r="H9" i="6"/>
  <c r="H10" i="6" s="1"/>
  <c r="H27" i="6" s="1"/>
  <c r="I9" i="6"/>
  <c r="I10" i="6" s="1"/>
  <c r="I30" i="6" s="1"/>
  <c r="J9" i="6"/>
  <c r="J10" i="6" s="1"/>
  <c r="J33" i="6" s="1"/>
  <c r="J61" i="6" s="1"/>
  <c r="J88" i="6" s="1"/>
  <c r="K9" i="6"/>
  <c r="K10" i="6" s="1"/>
  <c r="K30" i="6" s="1"/>
  <c r="L9" i="6"/>
  <c r="L10" i="6" s="1"/>
  <c r="L32" i="6" s="1"/>
  <c r="M9" i="6"/>
  <c r="M10" i="6" s="1"/>
  <c r="N9" i="6"/>
  <c r="N10" i="6" s="1"/>
  <c r="B23" i="11"/>
  <c r="F37" i="11" s="1"/>
  <c r="F38" i="11" s="1"/>
  <c r="A2" i="2"/>
  <c r="A2" i="4"/>
  <c r="A2" i="3"/>
  <c r="D6" i="6"/>
  <c r="E6" i="6" s="1"/>
  <c r="F6" i="6" s="1"/>
  <c r="G6" i="6" s="1"/>
  <c r="H6" i="6" s="1"/>
  <c r="I6" i="6" s="1"/>
  <c r="J6" i="6" s="1"/>
  <c r="K6" i="6" s="1"/>
  <c r="L6" i="6" s="1"/>
  <c r="M6" i="6" s="1"/>
  <c r="N6" i="6" s="1"/>
  <c r="B105" i="6"/>
  <c r="J8" i="11"/>
  <c r="J9" i="11"/>
  <c r="J10" i="11"/>
  <c r="J21" i="11"/>
  <c r="O26" i="11" s="1"/>
  <c r="J13" i="11"/>
  <c r="J14" i="11"/>
  <c r="J15" i="11"/>
  <c r="J16" i="11"/>
  <c r="J17" i="11"/>
  <c r="J18" i="11"/>
  <c r="J19" i="11"/>
  <c r="J20" i="11"/>
  <c r="B11" i="5"/>
  <c r="F34" i="5" s="1"/>
  <c r="F35" i="5"/>
  <c r="F41" i="5" s="1"/>
  <c r="G41" i="5" s="1"/>
  <c r="B24" i="5"/>
  <c r="F38" i="5" s="1"/>
  <c r="F39" i="5" s="1"/>
  <c r="D11" i="5"/>
  <c r="D26" i="5" s="1"/>
  <c r="D24" i="5"/>
  <c r="J14" i="5"/>
  <c r="F14" i="5"/>
  <c r="J8" i="5"/>
  <c r="J9" i="5"/>
  <c r="J22" i="5"/>
  <c r="J13" i="5"/>
  <c r="J15" i="5"/>
  <c r="J16" i="5"/>
  <c r="J17" i="5"/>
  <c r="J18" i="5"/>
  <c r="J19" i="5"/>
  <c r="J20" i="5"/>
  <c r="J21" i="5"/>
  <c r="F22" i="5"/>
  <c r="F19" i="5"/>
  <c r="F20" i="5"/>
  <c r="F21" i="5"/>
  <c r="F8" i="5"/>
  <c r="F9" i="5"/>
  <c r="F13" i="5"/>
  <c r="F15" i="5"/>
  <c r="F16" i="5"/>
  <c r="F17" i="5"/>
  <c r="F18" i="5"/>
  <c r="G31" i="5"/>
  <c r="G44" i="5" s="1"/>
  <c r="G51" i="5" s="1"/>
  <c r="I7" i="3"/>
  <c r="F11" i="3"/>
  <c r="H8" i="3"/>
  <c r="G9" i="3"/>
  <c r="I15" i="3"/>
  <c r="G14" i="3"/>
  <c r="J10" i="3"/>
  <c r="D10" i="3"/>
  <c r="J6" i="3"/>
  <c r="I6" i="3"/>
  <c r="K16" i="3"/>
  <c r="F16" i="3"/>
  <c r="K15" i="3"/>
  <c r="J15" i="3"/>
  <c r="G17" i="3"/>
  <c r="H17" i="3"/>
  <c r="H16" i="3"/>
  <c r="C17" i="3"/>
  <c r="C16" i="3"/>
  <c r="K17" i="3"/>
  <c r="J14" i="3"/>
  <c r="G7" i="3"/>
  <c r="C15" i="3"/>
  <c r="F6" i="3"/>
  <c r="G15" i="3"/>
  <c r="K8" i="3"/>
  <c r="J9" i="3"/>
  <c r="I9" i="3"/>
  <c r="I11" i="3"/>
  <c r="K12" i="3"/>
  <c r="I13" i="3"/>
  <c r="D8" i="3"/>
  <c r="F17" i="3"/>
  <c r="F8" i="3"/>
  <c r="C13" i="3"/>
  <c r="E6" i="3"/>
  <c r="H10" i="3"/>
  <c r="G11" i="3"/>
  <c r="L6" i="3"/>
  <c r="D16" i="3"/>
  <c r="D15" i="3"/>
  <c r="J13" i="3"/>
  <c r="D13" i="3"/>
  <c r="H7" i="3"/>
  <c r="H15" i="3"/>
  <c r="F10" i="3"/>
  <c r="F13" i="3"/>
  <c r="I14" i="3"/>
  <c r="D7" i="3"/>
  <c r="J17" i="3"/>
  <c r="I17" i="3"/>
  <c r="D17" i="3"/>
  <c r="I16" i="3"/>
  <c r="J16" i="3"/>
  <c r="F15" i="3"/>
  <c r="G6" i="3"/>
  <c r="F14" i="3"/>
  <c r="J11" i="3"/>
  <c r="C6" i="3"/>
  <c r="G16" i="3"/>
  <c r="E22" i="6"/>
  <c r="G13" i="6"/>
  <c r="H13" i="6" s="1"/>
  <c r="I13" i="6" s="1"/>
  <c r="J13" i="6" s="1"/>
  <c r="K13" i="6" s="1"/>
  <c r="L13" i="6" s="1"/>
  <c r="M13" i="6" s="1"/>
  <c r="N13" i="6" s="1"/>
  <c r="H14" i="6"/>
  <c r="E19" i="6"/>
  <c r="F22" i="6"/>
  <c r="G22" i="6" s="1"/>
  <c r="H22" i="6" s="1"/>
  <c r="I22" i="6" s="1"/>
  <c r="H18" i="6"/>
  <c r="I18" i="6" s="1"/>
  <c r="J18" i="6" s="1"/>
  <c r="F19" i="6"/>
  <c r="G19" i="6" s="1"/>
  <c r="K18" i="6"/>
  <c r="L18" i="6" s="1"/>
  <c r="M18" i="6" s="1"/>
  <c r="N18" i="6" s="1"/>
  <c r="J22" i="6"/>
  <c r="K22" i="6" s="1"/>
  <c r="L16" i="6"/>
  <c r="M16" i="6" s="1"/>
  <c r="N16" i="6" s="1"/>
  <c r="H19" i="6"/>
  <c r="A9" i="11"/>
  <c r="A10" i="11" s="1"/>
  <c r="I19" i="6"/>
  <c r="J19" i="6" s="1"/>
  <c r="K19" i="6"/>
  <c r="L17" i="3"/>
  <c r="E17" i="3"/>
  <c r="F40" i="11" l="1"/>
  <c r="E27" i="6"/>
  <c r="E55" i="6" s="1"/>
  <c r="E82" i="6" s="1"/>
  <c r="H33" i="6"/>
  <c r="H61" i="6" s="1"/>
  <c r="H88" i="6" s="1"/>
  <c r="K9" i="11"/>
  <c r="M6" i="3"/>
  <c r="M17" i="3"/>
  <c r="I36" i="6"/>
  <c r="I64" i="6" s="1"/>
  <c r="G33" i="6"/>
  <c r="G61" i="6" s="1"/>
  <c r="G88" i="6" s="1"/>
  <c r="K10" i="11"/>
  <c r="A13" i="11"/>
  <c r="K13" i="11" s="1"/>
  <c r="C33" i="11"/>
  <c r="A7" i="3"/>
  <c r="A7" i="4" s="1"/>
  <c r="A8" i="2"/>
  <c r="G56" i="6"/>
  <c r="G83" i="6" s="1"/>
  <c r="K10" i="2"/>
  <c r="K10" i="4" s="1"/>
  <c r="F14" i="2"/>
  <c r="F14" i="4" s="1"/>
  <c r="K58" i="6"/>
  <c r="K85" i="6" s="1"/>
  <c r="C37" i="6"/>
  <c r="H6" i="2" s="1"/>
  <c r="H6" i="4" s="1"/>
  <c r="C34" i="6"/>
  <c r="C27" i="6"/>
  <c r="C35" i="6"/>
  <c r="C33" i="6"/>
  <c r="C61" i="6" s="1"/>
  <c r="C88" i="6" s="1"/>
  <c r="C36" i="6"/>
  <c r="C64" i="6" s="1"/>
  <c r="C91" i="6" s="1"/>
  <c r="L30" i="6"/>
  <c r="L58" i="6" s="1"/>
  <c r="L85" i="6" s="1"/>
  <c r="K27" i="6"/>
  <c r="G14" i="2" s="1"/>
  <c r="G14" i="4" s="1"/>
  <c r="J30" i="6"/>
  <c r="F13" i="2" s="1"/>
  <c r="F13" i="4" s="1"/>
  <c r="F12" i="2"/>
  <c r="F12" i="4" s="1"/>
  <c r="I58" i="6"/>
  <c r="I85" i="6" s="1"/>
  <c r="M30" i="6"/>
  <c r="M27" i="6"/>
  <c r="M32" i="6"/>
  <c r="C15" i="2"/>
  <c r="C15" i="4" s="1"/>
  <c r="L60" i="6"/>
  <c r="L87" i="6" s="1"/>
  <c r="N32" i="6"/>
  <c r="N27" i="6"/>
  <c r="N30" i="6"/>
  <c r="K32" i="6"/>
  <c r="F32" i="6"/>
  <c r="F33" i="6"/>
  <c r="F61" i="6" s="1"/>
  <c r="F88" i="6" s="1"/>
  <c r="F37" i="6"/>
  <c r="H9" i="2" s="1"/>
  <c r="H9" i="4" s="1"/>
  <c r="E35" i="6"/>
  <c r="E8" i="2" s="1"/>
  <c r="D8" i="2"/>
  <c r="D8" i="4" s="1"/>
  <c r="E62" i="6"/>
  <c r="E89" i="6" s="1"/>
  <c r="D35" i="6"/>
  <c r="D34" i="6"/>
  <c r="D7" i="2" s="1"/>
  <c r="D30" i="6"/>
  <c r="F7" i="2" s="1"/>
  <c r="D37" i="6"/>
  <c r="H7" i="2" s="1"/>
  <c r="H7" i="4" s="1"/>
  <c r="D32" i="6"/>
  <c r="D36" i="6"/>
  <c r="D27" i="6"/>
  <c r="D28" i="6"/>
  <c r="D56" i="6" s="1"/>
  <c r="D83" i="6" s="1"/>
  <c r="D33" i="6"/>
  <c r="D61" i="6" s="1"/>
  <c r="D88" i="6" s="1"/>
  <c r="E36" i="6"/>
  <c r="G8" i="2"/>
  <c r="G8" i="4" s="1"/>
  <c r="C30" i="6"/>
  <c r="C28" i="6"/>
  <c r="C31" i="6"/>
  <c r="I6" i="2" s="1"/>
  <c r="C32" i="6"/>
  <c r="C29" i="6"/>
  <c r="C57" i="6" s="1"/>
  <c r="C84" i="6" s="1"/>
  <c r="B25" i="11"/>
  <c r="G40" i="11"/>
  <c r="G21" i="6"/>
  <c r="F35" i="6"/>
  <c r="G11" i="2"/>
  <c r="G11" i="4" s="1"/>
  <c r="H55" i="6"/>
  <c r="I14" i="6"/>
  <c r="J14" i="6" s="1"/>
  <c r="K14" i="6" s="1"/>
  <c r="H28" i="6"/>
  <c r="L22" i="6"/>
  <c r="M22" i="6" s="1"/>
  <c r="K36" i="6"/>
  <c r="J32" i="6"/>
  <c r="J36" i="6"/>
  <c r="J27" i="6"/>
  <c r="F36" i="6"/>
  <c r="F28" i="6"/>
  <c r="F34" i="6"/>
  <c r="F27" i="6"/>
  <c r="F30" i="6"/>
  <c r="L19" i="6"/>
  <c r="K33" i="6"/>
  <c r="K61" i="6" s="1"/>
  <c r="K88" i="6" s="1"/>
  <c r="J25" i="11"/>
  <c r="L27" i="6"/>
  <c r="L36" i="6"/>
  <c r="I27" i="6"/>
  <c r="I32" i="6"/>
  <c r="I33" i="6"/>
  <c r="I61" i="6" s="1"/>
  <c r="E17" i="6"/>
  <c r="F17" i="6" s="1"/>
  <c r="D31" i="6"/>
  <c r="H20" i="6"/>
  <c r="G34" i="6"/>
  <c r="H23" i="6"/>
  <c r="I23" i="6" s="1"/>
  <c r="J23" i="6" s="1"/>
  <c r="G37" i="6"/>
  <c r="H10" i="2" s="1"/>
  <c r="H10" i="4" s="1"/>
  <c r="J26" i="5"/>
  <c r="G50" i="5" s="1"/>
  <c r="G53" i="5" s="1"/>
  <c r="I53" i="5" s="1"/>
  <c r="E7" i="3"/>
  <c r="G27" i="6"/>
  <c r="H32" i="6"/>
  <c r="H30" i="6"/>
  <c r="H36" i="6"/>
  <c r="D29" i="6"/>
  <c r="E15" i="6"/>
  <c r="L7" i="3"/>
  <c r="G30" i="6"/>
  <c r="G32" i="6"/>
  <c r="G36" i="6"/>
  <c r="E30" i="6"/>
  <c r="E28" i="6"/>
  <c r="E37" i="6"/>
  <c r="H8" i="2" s="1"/>
  <c r="E33" i="6"/>
  <c r="E61" i="6" s="1"/>
  <c r="E88" i="6" s="1"/>
  <c r="E32" i="6"/>
  <c r="B26" i="5"/>
  <c r="F26" i="5" s="1"/>
  <c r="G56" i="5" s="1"/>
  <c r="I56" i="5" s="1"/>
  <c r="K55" i="6" l="1"/>
  <c r="K82" i="6" s="1"/>
  <c r="A14" i="11"/>
  <c r="K14" i="11" s="1"/>
  <c r="L12" i="2"/>
  <c r="M7" i="3"/>
  <c r="J58" i="6"/>
  <c r="J85" i="6" s="1"/>
  <c r="A8" i="3"/>
  <c r="A8" i="4" s="1"/>
  <c r="A9" i="2"/>
  <c r="D58" i="6"/>
  <c r="D85" i="6" s="1"/>
  <c r="L6" i="2"/>
  <c r="L6" i="4" s="1"/>
  <c r="J6" i="2"/>
  <c r="C38" i="6"/>
  <c r="C55" i="6"/>
  <c r="C82" i="6" s="1"/>
  <c r="G6" i="2"/>
  <c r="G6" i="4" s="1"/>
  <c r="D62" i="6"/>
  <c r="D89" i="6" s="1"/>
  <c r="C59" i="6"/>
  <c r="C86" i="6" s="1"/>
  <c r="D6" i="2"/>
  <c r="D6" i="4" s="1"/>
  <c r="C62" i="6"/>
  <c r="C89" i="6" s="1"/>
  <c r="C63" i="6"/>
  <c r="C90" i="6" s="1"/>
  <c r="E6" i="2"/>
  <c r="E6" i="4" s="1"/>
  <c r="F15" i="2"/>
  <c r="F15" i="4" s="1"/>
  <c r="N60" i="6"/>
  <c r="N87" i="6" s="1"/>
  <c r="C17" i="2"/>
  <c r="C17" i="4" s="1"/>
  <c r="G16" i="2"/>
  <c r="G16" i="4" s="1"/>
  <c r="M55" i="6"/>
  <c r="M82" i="6" s="1"/>
  <c r="C14" i="2"/>
  <c r="C14" i="4" s="1"/>
  <c r="K60" i="6"/>
  <c r="K87" i="6" s="1"/>
  <c r="F16" i="2"/>
  <c r="F16" i="4" s="1"/>
  <c r="M58" i="6"/>
  <c r="M85" i="6" s="1"/>
  <c r="N58" i="6"/>
  <c r="N85" i="6" s="1"/>
  <c r="F17" i="2"/>
  <c r="F17" i="4" s="1"/>
  <c r="N55" i="6"/>
  <c r="N82" i="6" s="1"/>
  <c r="G17" i="2"/>
  <c r="G17" i="4" s="1"/>
  <c r="M60" i="6"/>
  <c r="M87" i="6" s="1"/>
  <c r="C16" i="2"/>
  <c r="C16" i="4" s="1"/>
  <c r="C9" i="2"/>
  <c r="C9" i="4" s="1"/>
  <c r="F60" i="6"/>
  <c r="F87" i="6" s="1"/>
  <c r="E63" i="6"/>
  <c r="E90" i="6" s="1"/>
  <c r="G7" i="2"/>
  <c r="G7" i="4" s="1"/>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L14" i="6"/>
  <c r="K28" i="6"/>
  <c r="H8" i="4"/>
  <c r="L10" i="2"/>
  <c r="G64" i="6"/>
  <c r="L8" i="3"/>
  <c r="H37" i="6"/>
  <c r="H11" i="2" s="1"/>
  <c r="H11" i="4" s="1"/>
  <c r="G62" i="6"/>
  <c r="G89" i="6" s="1"/>
  <c r="D10" i="2"/>
  <c r="D10" i="4" s="1"/>
  <c r="I28" i="6"/>
  <c r="M19" i="6"/>
  <c r="L33" i="6"/>
  <c r="L61" i="6" s="1"/>
  <c r="L88" i="6" s="1"/>
  <c r="F62" i="6"/>
  <c r="F89" i="6" s="1"/>
  <c r="D9" i="2"/>
  <c r="J28" i="6"/>
  <c r="L14" i="2"/>
  <c r="K64" i="6"/>
  <c r="H82" i="6"/>
  <c r="E9" i="2"/>
  <c r="F63" i="6"/>
  <c r="F8" i="2"/>
  <c r="F8" i="4" s="1"/>
  <c r="E58" i="6"/>
  <c r="E85" i="6" s="1"/>
  <c r="F10" i="2"/>
  <c r="F10" i="4" s="1"/>
  <c r="G58" i="6"/>
  <c r="G85" i="6" s="1"/>
  <c r="G17" i="6"/>
  <c r="F31" i="6"/>
  <c r="L64" i="6"/>
  <c r="L15" i="2"/>
  <c r="K8" i="2"/>
  <c r="K8" i="4" s="1"/>
  <c r="E56" i="6"/>
  <c r="G60" i="6"/>
  <c r="G87" i="6" s="1"/>
  <c r="C10" i="2"/>
  <c r="F15" i="6"/>
  <c r="E29" i="6"/>
  <c r="E57" i="6" s="1"/>
  <c r="E84" i="6" s="1"/>
  <c r="H60" i="6"/>
  <c r="H87" i="6" s="1"/>
  <c r="C11" i="2"/>
  <c r="E8" i="3"/>
  <c r="I20" i="6"/>
  <c r="H34" i="6"/>
  <c r="C12" i="2"/>
  <c r="I60" i="6"/>
  <c r="I87" i="6" s="1"/>
  <c r="J55" i="6"/>
  <c r="G13" i="2"/>
  <c r="G13" i="4" s="1"/>
  <c r="N22" i="6"/>
  <c r="N36" i="6" s="1"/>
  <c r="M36" i="6"/>
  <c r="J6" i="4"/>
  <c r="H21" i="6"/>
  <c r="G35" i="6"/>
  <c r="H58" i="6"/>
  <c r="H85" i="6" s="1"/>
  <c r="F11" i="2"/>
  <c r="F11" i="4" s="1"/>
  <c r="K23" i="6"/>
  <c r="J37" i="6"/>
  <c r="H13" i="2" s="1"/>
  <c r="H13" i="4" s="1"/>
  <c r="G9" i="2"/>
  <c r="F55" i="6"/>
  <c r="F82" i="6" s="1"/>
  <c r="F7" i="4"/>
  <c r="C8" i="2"/>
  <c r="E60" i="6"/>
  <c r="E87" i="6" s="1"/>
  <c r="E31" i="6"/>
  <c r="D7" i="4"/>
  <c r="D57" i="6"/>
  <c r="D38" i="6"/>
  <c r="H64" i="6"/>
  <c r="L11" i="2"/>
  <c r="G55" i="6"/>
  <c r="G10" i="2"/>
  <c r="G10" i="4" s="1"/>
  <c r="J7" i="2"/>
  <c r="J7" i="4" s="1"/>
  <c r="I7" i="2"/>
  <c r="I7" i="4" s="1"/>
  <c r="D59" i="6"/>
  <c r="D86" i="6" s="1"/>
  <c r="I37" i="6"/>
  <c r="H12" i="2" s="1"/>
  <c r="H12" i="4" s="1"/>
  <c r="I55" i="6"/>
  <c r="G12" i="2"/>
  <c r="G12" i="4" s="1"/>
  <c r="L55" i="6"/>
  <c r="G15" i="2"/>
  <c r="G15" i="4" s="1"/>
  <c r="F58" i="6"/>
  <c r="F85" i="6" s="1"/>
  <c r="F9" i="2"/>
  <c r="F9" i="4" s="1"/>
  <c r="F56" i="6"/>
  <c r="F83" i="6" s="1"/>
  <c r="K9" i="2"/>
  <c r="K9" i="4" s="1"/>
  <c r="L13" i="2"/>
  <c r="J64" i="6"/>
  <c r="K11" i="2"/>
  <c r="K11" i="4" s="1"/>
  <c r="H56" i="6"/>
  <c r="H83" i="6" s="1"/>
  <c r="A15" i="11" l="1"/>
  <c r="K15" i="11" s="1"/>
  <c r="E8" i="4"/>
  <c r="M8" i="3"/>
  <c r="A10" i="2"/>
  <c r="A9" i="3"/>
  <c r="A9" i="4" s="1"/>
  <c r="L8" i="4"/>
  <c r="N6" i="2"/>
  <c r="C83" i="6"/>
  <c r="C65" i="6"/>
  <c r="F18" i="4"/>
  <c r="D84" i="6"/>
  <c r="D65" i="6"/>
  <c r="D92" i="6" s="1"/>
  <c r="H17" i="6"/>
  <c r="G31" i="6"/>
  <c r="K12" i="2"/>
  <c r="K12" i="4" s="1"/>
  <c r="I56" i="6"/>
  <c r="I83" i="6" s="1"/>
  <c r="M6" i="4"/>
  <c r="M7" i="4"/>
  <c r="F18" i="2"/>
  <c r="I21" i="6"/>
  <c r="H35" i="6"/>
  <c r="L17" i="2"/>
  <c r="L17" i="4" s="1"/>
  <c r="N64" i="6"/>
  <c r="N91" i="6" s="1"/>
  <c r="J20" i="6"/>
  <c r="I34" i="6"/>
  <c r="E9" i="3"/>
  <c r="F90" i="6"/>
  <c r="G15" i="6"/>
  <c r="F29" i="6"/>
  <c r="I9" i="2"/>
  <c r="I9" i="4" s="1"/>
  <c r="F59" i="6"/>
  <c r="F86" i="6" s="1"/>
  <c r="J9" i="2"/>
  <c r="J9" i="4" s="1"/>
  <c r="I82" i="6"/>
  <c r="L23" i="6"/>
  <c r="K37" i="6"/>
  <c r="H14" i="2" s="1"/>
  <c r="H14" i="4" s="1"/>
  <c r="C12" i="4"/>
  <c r="K13" i="2"/>
  <c r="K13" i="4" s="1"/>
  <c r="J56" i="6"/>
  <c r="J83" i="6" s="1"/>
  <c r="N19" i="6"/>
  <c r="N33" i="6" s="1"/>
  <c r="N61" i="6" s="1"/>
  <c r="N88" i="6" s="1"/>
  <c r="M33" i="6"/>
  <c r="M61" i="6" s="1"/>
  <c r="M88" i="6" s="1"/>
  <c r="K56" i="6"/>
  <c r="K14" i="2"/>
  <c r="K14" i="4" s="1"/>
  <c r="G82" i="6"/>
  <c r="I8" i="2"/>
  <c r="I8" i="4" s="1"/>
  <c r="E59" i="6"/>
  <c r="E86" i="6" s="1"/>
  <c r="J8" i="2"/>
  <c r="C11" i="4"/>
  <c r="C10" i="4"/>
  <c r="E38" i="6"/>
  <c r="L9" i="3"/>
  <c r="L9" i="4" s="1"/>
  <c r="F91" i="6"/>
  <c r="L82" i="6"/>
  <c r="N7" i="2"/>
  <c r="C8" i="4"/>
  <c r="C18" i="2"/>
  <c r="G9" i="4"/>
  <c r="G18" i="4" s="1"/>
  <c r="G18" i="2"/>
  <c r="E10" i="2"/>
  <c r="G63" i="6"/>
  <c r="L16" i="2"/>
  <c r="M64" i="6"/>
  <c r="J82" i="6"/>
  <c r="H62" i="6"/>
  <c r="H89" i="6" s="1"/>
  <c r="D11" i="2"/>
  <c r="E83" i="6"/>
  <c r="D9" i="4"/>
  <c r="M14" i="6"/>
  <c r="L28" i="6"/>
  <c r="C13" i="4"/>
  <c r="A16" i="11" l="1"/>
  <c r="A17" i="11" s="1"/>
  <c r="M9" i="3"/>
  <c r="E9" i="4"/>
  <c r="L18" i="2"/>
  <c r="A11" i="2"/>
  <c r="A10" i="3"/>
  <c r="A10" i="4" s="1"/>
  <c r="E65" i="6"/>
  <c r="E92" i="6" s="1"/>
  <c r="E93" i="6" s="1"/>
  <c r="N9" i="2"/>
  <c r="C92" i="6"/>
  <c r="C93" i="6" s="1"/>
  <c r="C52" i="6"/>
  <c r="C66" i="6"/>
  <c r="N14" i="6"/>
  <c r="N28" i="6" s="1"/>
  <c r="M28" i="6"/>
  <c r="J8" i="4"/>
  <c r="K83" i="6"/>
  <c r="K20" i="6"/>
  <c r="J34" i="6"/>
  <c r="H63" i="6"/>
  <c r="E11" i="2"/>
  <c r="O7" i="4"/>
  <c r="D9" i="11" s="1"/>
  <c r="O9" i="11"/>
  <c r="O6" i="4"/>
  <c r="D8" i="11" s="1"/>
  <c r="O8" i="11"/>
  <c r="K16" i="11"/>
  <c r="E10" i="3"/>
  <c r="G90" i="6"/>
  <c r="J21" i="6"/>
  <c r="I35" i="6"/>
  <c r="G59" i="6"/>
  <c r="G86" i="6" s="1"/>
  <c r="J10" i="2"/>
  <c r="J10" i="4" s="1"/>
  <c r="I10" i="2"/>
  <c r="D93" i="6"/>
  <c r="M8" i="4"/>
  <c r="C18" i="4"/>
  <c r="M9" i="4"/>
  <c r="L10" i="3"/>
  <c r="L10" i="4" s="1"/>
  <c r="G91" i="6"/>
  <c r="K15" i="2"/>
  <c r="K15" i="4" s="1"/>
  <c r="L56" i="6"/>
  <c r="D11" i="4"/>
  <c r="E10" i="4"/>
  <c r="N8" i="2"/>
  <c r="M23" i="6"/>
  <c r="L37" i="6"/>
  <c r="H15" i="2" s="1"/>
  <c r="F57" i="6"/>
  <c r="F38" i="6"/>
  <c r="I17" i="6"/>
  <c r="H31" i="6"/>
  <c r="H15" i="6"/>
  <c r="G29" i="6"/>
  <c r="D12" i="2"/>
  <c r="I62" i="6"/>
  <c r="I89" i="6" s="1"/>
  <c r="D66" i="6"/>
  <c r="M10" i="3" l="1"/>
  <c r="C96" i="6"/>
  <c r="A12" i="2"/>
  <c r="A11" i="3"/>
  <c r="A11" i="4" s="1"/>
  <c r="E66" i="6"/>
  <c r="E94" i="6" s="1"/>
  <c r="E96" i="6" s="1"/>
  <c r="J11" i="2"/>
  <c r="J11" i="4" s="1"/>
  <c r="H59" i="6"/>
  <c r="H86" i="6" s="1"/>
  <c r="I11" i="2"/>
  <c r="H15" i="4"/>
  <c r="J62" i="6"/>
  <c r="J89" i="6" s="1"/>
  <c r="D13" i="2"/>
  <c r="M56" i="6"/>
  <c r="K16" i="2"/>
  <c r="K16" i="4" s="1"/>
  <c r="D12" i="4"/>
  <c r="J17" i="6"/>
  <c r="I31" i="6"/>
  <c r="N23" i="6"/>
  <c r="N37" i="6" s="1"/>
  <c r="H17" i="2" s="1"/>
  <c r="H17" i="4" s="1"/>
  <c r="M37" i="6"/>
  <c r="H16" i="2" s="1"/>
  <c r="H16" i="4" s="1"/>
  <c r="O8" i="4"/>
  <c r="D10" i="11" s="1"/>
  <c r="O10" i="11"/>
  <c r="K17" i="11"/>
  <c r="A18" i="11"/>
  <c r="P7" i="4"/>
  <c r="F9" i="11"/>
  <c r="L20" i="6"/>
  <c r="K34" i="6"/>
  <c r="K17" i="2"/>
  <c r="K17" i="4" s="1"/>
  <c r="N56" i="6"/>
  <c r="G57" i="6"/>
  <c r="G38" i="6"/>
  <c r="O9" i="4"/>
  <c r="D13" i="11" s="1"/>
  <c r="O13" i="11"/>
  <c r="D94" i="6"/>
  <c r="D96" i="6" s="1"/>
  <c r="E12" i="2"/>
  <c r="I63" i="6"/>
  <c r="E11" i="3"/>
  <c r="H90" i="6"/>
  <c r="I15" i="6"/>
  <c r="H29" i="6"/>
  <c r="F84" i="6"/>
  <c r="F65" i="6"/>
  <c r="F92" i="6" s="1"/>
  <c r="L83" i="6"/>
  <c r="L11" i="3"/>
  <c r="L11" i="4" s="1"/>
  <c r="H91" i="6"/>
  <c r="I10" i="4"/>
  <c r="M10" i="4" s="1"/>
  <c r="N10" i="2"/>
  <c r="K21" i="6"/>
  <c r="J35" i="6"/>
  <c r="P6" i="4"/>
  <c r="E11" i="4" l="1"/>
  <c r="M11" i="3"/>
  <c r="A12" i="3"/>
  <c r="A12" i="4" s="1"/>
  <c r="A13" i="2"/>
  <c r="F93" i="6"/>
  <c r="F66" i="6"/>
  <c r="K18" i="4"/>
  <c r="K18" i="2"/>
  <c r="E13" i="2"/>
  <c r="J63" i="6"/>
  <c r="K62" i="6"/>
  <c r="K89" i="6" s="1"/>
  <c r="D14" i="2"/>
  <c r="I59" i="6"/>
  <c r="I86" i="6" s="1"/>
  <c r="J12" i="2"/>
  <c r="I12" i="2"/>
  <c r="I12" i="4" s="1"/>
  <c r="D13" i="4"/>
  <c r="F8" i="11"/>
  <c r="L21" i="6"/>
  <c r="K35" i="6"/>
  <c r="L12" i="3"/>
  <c r="L12" i="4" s="1"/>
  <c r="I91" i="6"/>
  <c r="K18" i="11"/>
  <c r="A19" i="11"/>
  <c r="K17" i="6"/>
  <c r="J31" i="6"/>
  <c r="I11" i="4"/>
  <c r="H57" i="6"/>
  <c r="H38" i="6"/>
  <c r="M83" i="6"/>
  <c r="P9" i="4"/>
  <c r="N83" i="6"/>
  <c r="M20" i="6"/>
  <c r="L34" i="6"/>
  <c r="P8" i="4"/>
  <c r="F10" i="11"/>
  <c r="O10" i="4"/>
  <c r="D14" i="11" s="1"/>
  <c r="O14" i="11"/>
  <c r="J15" i="6"/>
  <c r="I29" i="6"/>
  <c r="N11" i="2"/>
  <c r="E12" i="3"/>
  <c r="I90" i="6"/>
  <c r="G84" i="6"/>
  <c r="G65" i="6"/>
  <c r="G92" i="6" s="1"/>
  <c r="H18" i="4"/>
  <c r="H18" i="2"/>
  <c r="M11" i="4" l="1"/>
  <c r="O11" i="4" s="1"/>
  <c r="D15" i="11" s="1"/>
  <c r="E12" i="4"/>
  <c r="M12" i="3"/>
  <c r="F94" i="6"/>
  <c r="F96" i="6" s="1"/>
  <c r="A13" i="3"/>
  <c r="A13" i="4" s="1"/>
  <c r="A14" i="2"/>
  <c r="G93" i="6"/>
  <c r="G66" i="6"/>
  <c r="D11" i="11"/>
  <c r="I57" i="6"/>
  <c r="I38" i="6"/>
  <c r="A20" i="11"/>
  <c r="K19" i="11"/>
  <c r="E14" i="2"/>
  <c r="K63" i="6"/>
  <c r="J12" i="4"/>
  <c r="K15" i="6"/>
  <c r="J29" i="6"/>
  <c r="L62" i="6"/>
  <c r="L89" i="6" s="1"/>
  <c r="D15" i="2"/>
  <c r="I13" i="2"/>
  <c r="J13" i="2"/>
  <c r="J13" i="4" s="1"/>
  <c r="J59" i="6"/>
  <c r="J86" i="6" s="1"/>
  <c r="M21" i="6"/>
  <c r="L35" i="6"/>
  <c r="E13" i="3"/>
  <c r="J90" i="6"/>
  <c r="P10" i="4"/>
  <c r="F14" i="11"/>
  <c r="N20" i="6"/>
  <c r="N34" i="6" s="1"/>
  <c r="M34" i="6"/>
  <c r="F13" i="11"/>
  <c r="H84" i="6"/>
  <c r="H65" i="6"/>
  <c r="H92" i="6" s="1"/>
  <c r="L17" i="6"/>
  <c r="K31" i="6"/>
  <c r="L13" i="3"/>
  <c r="L13" i="4" s="1"/>
  <c r="J91" i="6"/>
  <c r="D14" i="4"/>
  <c r="N12" i="2"/>
  <c r="O15" i="11" l="1"/>
  <c r="E13" i="4"/>
  <c r="M13" i="3"/>
  <c r="G94" i="6"/>
  <c r="G96" i="6" s="1"/>
  <c r="A14" i="3"/>
  <c r="A14" i="4" s="1"/>
  <c r="A15" i="2"/>
  <c r="H66" i="6"/>
  <c r="M17" i="6"/>
  <c r="L31" i="6"/>
  <c r="E14" i="3"/>
  <c r="K90" i="6"/>
  <c r="L15" i="6"/>
  <c r="K29" i="6"/>
  <c r="E14" i="4"/>
  <c r="D15" i="4"/>
  <c r="P11" i="4"/>
  <c r="N62" i="6"/>
  <c r="N89" i="6" s="1"/>
  <c r="D17" i="2"/>
  <c r="M35" i="6"/>
  <c r="N21" i="6"/>
  <c r="N35" i="6" s="1"/>
  <c r="A21" i="11"/>
  <c r="K20" i="11"/>
  <c r="K91" i="6"/>
  <c r="L14" i="3"/>
  <c r="L14" i="4" s="1"/>
  <c r="M12" i="4"/>
  <c r="I65" i="6"/>
  <c r="I92" i="6" s="1"/>
  <c r="I14" i="2"/>
  <c r="K59" i="6"/>
  <c r="K86" i="6" s="1"/>
  <c r="J14" i="2"/>
  <c r="J14" i="4" s="1"/>
  <c r="H93" i="6"/>
  <c r="D16" i="2"/>
  <c r="M62" i="6"/>
  <c r="M89" i="6" s="1"/>
  <c r="E15" i="2"/>
  <c r="L63" i="6"/>
  <c r="I13" i="4"/>
  <c r="J57" i="6"/>
  <c r="J38" i="6"/>
  <c r="N13" i="2"/>
  <c r="M13" i="4" l="1"/>
  <c r="O13" i="4" s="1"/>
  <c r="D17" i="11" s="1"/>
  <c r="M14" i="3"/>
  <c r="A15" i="3"/>
  <c r="A15" i="4" s="1"/>
  <c r="A16" i="2"/>
  <c r="H94" i="6"/>
  <c r="H96" i="6" s="1"/>
  <c r="K21" i="11"/>
  <c r="A3" i="11"/>
  <c r="C37" i="11"/>
  <c r="K57" i="6"/>
  <c r="K38" i="6"/>
  <c r="L90" i="6"/>
  <c r="E15" i="3"/>
  <c r="I93" i="6"/>
  <c r="N63" i="6"/>
  <c r="N90" i="6" s="1"/>
  <c r="E17" i="2"/>
  <c r="F15" i="11"/>
  <c r="M15" i="6"/>
  <c r="L29" i="6"/>
  <c r="J15" i="2"/>
  <c r="J15" i="4" s="1"/>
  <c r="I15" i="2"/>
  <c r="I15" i="4" s="1"/>
  <c r="L59" i="6"/>
  <c r="L86" i="6" s="1"/>
  <c r="D17" i="4"/>
  <c r="D18" i="2"/>
  <c r="J84" i="6"/>
  <c r="J65" i="6"/>
  <c r="J92" i="6" s="1"/>
  <c r="I66" i="6"/>
  <c r="D16" i="4"/>
  <c r="I14" i="4"/>
  <c r="M14" i="4" s="1"/>
  <c r="N14" i="2"/>
  <c r="O12" i="4"/>
  <c r="D16" i="11" s="1"/>
  <c r="O16" i="11"/>
  <c r="L91" i="6"/>
  <c r="L15" i="3"/>
  <c r="L15" i="4" s="1"/>
  <c r="M63" i="6"/>
  <c r="E16" i="2"/>
  <c r="M31" i="6"/>
  <c r="N17" i="6"/>
  <c r="N31" i="6" s="1"/>
  <c r="O17" i="11" l="1"/>
  <c r="E15" i="4"/>
  <c r="M15" i="4" s="1"/>
  <c r="O15" i="4" s="1"/>
  <c r="D19" i="11" s="1"/>
  <c r="M15" i="3"/>
  <c r="A17" i="2"/>
  <c r="A16" i="3"/>
  <c r="A16" i="4" s="1"/>
  <c r="O14" i="4"/>
  <c r="D18" i="11" s="1"/>
  <c r="O18" i="11"/>
  <c r="B46" i="11"/>
  <c r="G66" i="11"/>
  <c r="B54" i="11"/>
  <c r="G57" i="11"/>
  <c r="B48" i="11"/>
  <c r="J17" i="2"/>
  <c r="I17" i="2"/>
  <c r="N59" i="6"/>
  <c r="N86" i="6" s="1"/>
  <c r="P12" i="4"/>
  <c r="M90" i="6"/>
  <c r="E16" i="3"/>
  <c r="N15" i="2"/>
  <c r="M91" i="6"/>
  <c r="L16" i="3"/>
  <c r="L16" i="4" s="1"/>
  <c r="L18" i="4" s="1"/>
  <c r="P13" i="4"/>
  <c r="F17" i="11"/>
  <c r="D18" i="4"/>
  <c r="L57" i="6"/>
  <c r="L38" i="6"/>
  <c r="K84" i="6"/>
  <c r="K65" i="6"/>
  <c r="K92" i="6" s="1"/>
  <c r="J93" i="6"/>
  <c r="N15" i="6"/>
  <c r="N29" i="6" s="1"/>
  <c r="M29" i="6"/>
  <c r="E17" i="4"/>
  <c r="E18" i="2"/>
  <c r="J16" i="2"/>
  <c r="J16" i="4" s="1"/>
  <c r="M59" i="6"/>
  <c r="M86" i="6" s="1"/>
  <c r="I16" i="2"/>
  <c r="I16" i="4" s="1"/>
  <c r="J66" i="6"/>
  <c r="I94" i="6"/>
  <c r="I96" i="6" s="1"/>
  <c r="E16" i="4" l="1"/>
  <c r="M16" i="4" s="1"/>
  <c r="O16" i="4" s="1"/>
  <c r="D20" i="11" s="1"/>
  <c r="M16" i="3"/>
  <c r="O19" i="11"/>
  <c r="A17" i="3"/>
  <c r="A1" i="2"/>
  <c r="N17" i="2"/>
  <c r="M57" i="6"/>
  <c r="M38" i="6"/>
  <c r="L84" i="6"/>
  <c r="L65" i="6"/>
  <c r="L92" i="6" s="1"/>
  <c r="P15" i="4"/>
  <c r="F19" i="11"/>
  <c r="J94" i="6"/>
  <c r="J96" i="6" s="1"/>
  <c r="K93" i="6"/>
  <c r="F16" i="11"/>
  <c r="J17" i="4"/>
  <c r="J18" i="4" s="1"/>
  <c r="J18" i="2"/>
  <c r="N57" i="6"/>
  <c r="N38" i="6"/>
  <c r="K66" i="6"/>
  <c r="I17" i="4"/>
  <c r="I18" i="4" s="1"/>
  <c r="I18" i="2"/>
  <c r="N16" i="2"/>
  <c r="P14" i="4"/>
  <c r="F18" i="11"/>
  <c r="E18" i="4" l="1"/>
  <c r="M18" i="4" s="1"/>
  <c r="N18" i="2"/>
  <c r="L66" i="6"/>
  <c r="A1" i="3"/>
  <c r="A17" i="4"/>
  <c r="O20" i="11"/>
  <c r="M84" i="6"/>
  <c r="M65" i="6"/>
  <c r="M92" i="6" s="1"/>
  <c r="N84" i="6"/>
  <c r="N65" i="6"/>
  <c r="N92" i="6" s="1"/>
  <c r="L93" i="6"/>
  <c r="P16" i="4"/>
  <c r="F20" i="11"/>
  <c r="K94" i="6"/>
  <c r="K96" i="6" s="1"/>
  <c r="M17" i="4"/>
  <c r="L94" i="6" l="1"/>
  <c r="L96" i="6" s="1"/>
  <c r="N66" i="6"/>
  <c r="N93" i="6"/>
  <c r="M66" i="6"/>
  <c r="O17" i="4"/>
  <c r="D21" i="11" s="1"/>
  <c r="O21" i="11"/>
  <c r="O24" i="11" s="1"/>
  <c r="O25" i="11" s="1"/>
  <c r="O31" i="11" s="1"/>
  <c r="M93" i="6"/>
  <c r="O93" i="6" l="1"/>
  <c r="P93" i="6" s="1"/>
  <c r="N96" i="6"/>
  <c r="M94" i="6"/>
  <c r="M96" i="6" s="1"/>
  <c r="P17" i="4"/>
  <c r="O18" i="4"/>
  <c r="P18" i="4" l="1"/>
  <c r="O4" i="4" s="1"/>
  <c r="F21" i="11"/>
  <c r="D23" i="11"/>
  <c r="D25" i="11" s="1"/>
  <c r="G30" i="11" l="1"/>
  <c r="F25" i="11"/>
  <c r="G55" i="11" s="1"/>
  <c r="G43" i="11" l="1"/>
  <c r="G50" i="11" s="1"/>
  <c r="G52" i="11" s="1"/>
  <c r="I52" i="11" s="1"/>
  <c r="I55" i="11"/>
  <c r="O32" i="11"/>
  <c r="O33" i="11" s="1"/>
  <c r="I57" i="11" l="1"/>
  <c r="I66" i="11" s="1"/>
</calcChain>
</file>

<file path=xl/comments1.xml><?xml version="1.0" encoding="utf-8"?>
<comments xmlns="http://schemas.openxmlformats.org/spreadsheetml/2006/main">
  <authors>
    <author>MG00005</author>
  </authors>
  <commentList>
    <comment ref="F33" authorId="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authors>
    <author>Christensen, Abby Rose</author>
    <author>Vander Zalm, Connor</author>
    <author>Alex Brenner</author>
  </authors>
  <commentList>
    <comment ref="B8" authorId="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text>
        <r>
          <rPr>
            <b/>
            <sz val="9"/>
            <color indexed="81"/>
            <rFont val="Tahoma"/>
            <family val="2"/>
          </rPr>
          <t>Vander Zalm, Connor:</t>
        </r>
        <r>
          <rPr>
            <sz val="9"/>
            <color indexed="81"/>
            <rFont val="Tahoma"/>
            <family val="2"/>
          </rPr>
          <t xml:space="preserve">
This Information comes from Debbie G's "Tons Master Files" which can be found in:
V:\Division\Accounting\2013\Accounts Receivable\County &amp; City Reporting (Shortcut in V:\District\Accounting\WUTC Files\RSA)
Then Choose the applicable location file, the "route split and tons" folder and then the month file. Within these files you will see a file called:
"Tons Master" for single family. Go to the "Tons" tab and sum all the recycle tonnage for each location that is subject to WUTC. Each area that is regulated by WUTC should be identified.
Customer Counts are totaled the exact same way by using the recyle customer counts just a few rows above the tonnage summation for each area.
this is also where Multifamily tons come from. go to tab "recycle tons" and scroll to mutlifamily tons. then sum the areas that are regulated by the WUTC.
"EOM Com counts" is where Multifamily yards are found. there is a tab labeled "multifamily yards." this tab will have yards data.
</t>
        </r>
      </text>
    </comment>
    <comment ref="F32" authorId="2">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6" authorId="2">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authors>
    <author>Vander Zalm, Connor</author>
  </authors>
  <commentList>
    <comment ref="Q6" authorId="0">
      <text>
        <r>
          <rPr>
            <b/>
            <sz val="9"/>
            <color indexed="81"/>
            <rFont val="Tahoma"/>
            <family val="2"/>
          </rPr>
          <t>Vander Zalm, Connor:</t>
        </r>
        <r>
          <rPr>
            <sz val="9"/>
            <color indexed="81"/>
            <rFont val="Tahoma"/>
            <family val="2"/>
          </rPr>
          <t xml:space="preserve">
This comes from Alex Brenner's "4183 218070 Commodity Credit Adjustment" JE workbook. On the summary tab he has a column labeled "SF (or MF) Passback."
this is the only piece of info we take from this workbook. Other info comes from Debbie G's "Tons Mater File" or  Jeff Sichmeller from the MRF for Commodity sales prices per ton
</t>
        </r>
      </text>
    </comment>
  </commentList>
</comments>
</file>

<file path=xl/comments4.xml><?xml version="1.0" encoding="utf-8"?>
<comments xmlns="http://schemas.openxmlformats.org/spreadsheetml/2006/main">
  <authors>
    <author>Alex Brenner</author>
  </authors>
  <commentList>
    <comment ref="A7" authorId="0">
      <text>
        <r>
          <rPr>
            <b/>
            <sz val="8"/>
            <color indexed="81"/>
            <rFont val="Tahoma"/>
            <family val="2"/>
          </rPr>
          <t>Alex Brenner:</t>
        </r>
        <r>
          <rPr>
            <sz val="8"/>
            <color indexed="81"/>
            <rFont val="Tahoma"/>
            <family val="2"/>
          </rPr>
          <t xml:space="preserve">
From 'ESMMYYTONS' spreadsheet, 'ESMMYYTONS' tab (where MM=month, YY=Year)</t>
        </r>
      </text>
    </comment>
    <comment ref="A12" authorId="0">
      <text>
        <r>
          <rPr>
            <b/>
            <sz val="8"/>
            <color indexed="81"/>
            <rFont val="Tahoma"/>
            <family val="2"/>
          </rPr>
          <t>Alex Brenner:</t>
        </r>
        <r>
          <rPr>
            <sz val="8"/>
            <color indexed="81"/>
            <rFont val="Tahoma"/>
            <family val="2"/>
          </rPr>
          <t xml:space="preserve">
From 'ESMMYYTONS' Spreadsheet, 'Prices' tab (where MM=month, YY=Year)</t>
        </r>
      </text>
    </comment>
    <comment ref="A68" authorId="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sharedStrings.xml><?xml version="1.0" encoding="utf-8"?>
<sst xmlns="http://schemas.openxmlformats.org/spreadsheetml/2006/main" count="233" uniqueCount="98">
  <si>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</si>
  <si>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</si>
  <si>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</si>
  <si>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</si>
  <si>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</si>
  <si>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</si>
  <si>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</si>
  <si>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</si>
  <si>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</si>
  <si>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</si>
  <si>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</si>
  <si>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</si>
  <si>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</si>
  <si>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</si>
  <si>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</si>
  <si>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</si>
  <si>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</si>
  <si>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</si>
  <si>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</si>
  <si>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</si>
  <si>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</si>
  <si>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</si>
  <si>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</si>
  <si>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Tin/Iron</t>
  </si>
  <si>
    <t>ONP</t>
  </si>
  <si>
    <t>MWP</t>
  </si>
  <si>
    <t>Pet</t>
  </si>
  <si>
    <t>HDPE</t>
  </si>
  <si>
    <t>OCC</t>
  </si>
  <si>
    <t>Other</t>
  </si>
  <si>
    <t>Total</t>
  </si>
  <si>
    <t xml:space="preserve"> </t>
  </si>
  <si>
    <t xml:space="preserve">Total </t>
  </si>
  <si>
    <t>Glass (Cont)</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</si>
  <si>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</si>
  <si>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</si>
  <si>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</si>
  <si>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</si>
  <si>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</si>
  <si>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</si>
  <si>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</si>
  <si>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</si>
  <si>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</si>
  <si>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</si>
  <si>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</si>
  <si>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</si>
  <si>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</si>
  <si>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</si>
  <si>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</si>
  <si>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</si>
  <si>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</si>
  <si>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</si>
  <si>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</si>
  <si>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</si>
  <si>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</si>
  <si>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</si>
  <si>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</si>
  <si>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Glass Contamination</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</si>
  <si>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</si>
  <si>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</si>
  <si>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</si>
  <si>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</si>
  <si>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</si>
  <si>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</si>
  <si>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</si>
  <si>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</si>
  <si>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</si>
  <si>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</si>
  <si>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</si>
  <si>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</si>
  <si>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</si>
  <si>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</si>
  <si>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</si>
  <si>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</si>
  <si>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</si>
  <si>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</si>
  <si>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</si>
  <si>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</si>
  <si>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</si>
  <si>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 xml:space="preserve">12 month running average "BASE CREDIT" </t>
  </si>
  <si>
    <t>East Side</t>
  </si>
  <si>
    <t>70% of per Ton Value</t>
  </si>
  <si>
    <t>Rabanco Ltd (dba Allied Waste of Kent)</t>
  </si>
  <si>
    <t>Total Additional Passback</t>
  </si>
  <si>
    <t>Single-Family Additional Credit</t>
  </si>
  <si>
    <t>TG-12______</t>
  </si>
  <si>
    <t>For use in Budget Calculation</t>
  </si>
  <si>
    <t>Total Trailing 12 Mo. Commodity Value / Customer</t>
  </si>
  <si>
    <t>Most recent Total # of Customers</t>
  </si>
  <si>
    <t>Base Credit to be Passed Back</t>
  </si>
  <si>
    <t>Budget total Revenue</t>
  </si>
  <si>
    <t>Budget Revenue Passed Back</t>
  </si>
  <si>
    <t>Prior Plan Part B Total</t>
  </si>
  <si>
    <t>Current Plan Part A Total</t>
  </si>
  <si>
    <t>% of Revenue Passed Back</t>
  </si>
  <si>
    <t>% Passed Back</t>
  </si>
  <si>
    <t xml:space="preserve">Retained </t>
  </si>
  <si>
    <t>2015/2016 Monthly True-up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</si>
</sst>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_(&quot;$&quot;* #,##0.000_);_(&quot;$&quot;* \(#,##0.000\);_(&quot;$&quot;* &quot;-&quot;??_);_(@_)"/>
  </numFmts>
  <fonts count="21" x14ac:knownFonts="1">
    <font>
      <sz val="10"/>
      <name val="Arial"/>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s>
  <fills count="7">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92D050"/>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8">
    <xf numFmtId="0" fontId="0" fillId="0" borderId="0"/>
    <xf numFmtId="43" fontId="1"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0" fontId="20" fillId="0" borderId="0"/>
    <xf numFmtId="0" fontId="2" fillId="0" borderId="0"/>
    <xf numFmtId="0" fontId="1" fillId="4" borderId="11" applyNumberFormat="0" applyFont="0" applyAlignment="0" applyProtection="0"/>
    <xf numFmtId="9" fontId="1" fillId="0" borderId="0" applyFont="0" applyFill="0" applyBorder="0" applyAlignment="0" applyProtection="0"/>
  </cellStyleXfs>
  <cellXfs count="167">
    <xf numFmtId="0" fontId="0" fillId="0" borderId="0" xfId="0"/>
    <xf numFmtId="0" fontId="3" fillId="0" borderId="0" xfId="5" applyFont="1"/>
    <xf numFmtId="0" fontId="4" fillId="0" borderId="0" xfId="5" applyFont="1"/>
    <xf numFmtId="0" fontId="4" fillId="0" borderId="0" xfId="5" applyFont="1" applyAlignment="1">
      <alignment horizontal="center"/>
    </xf>
    <xf numFmtId="0" fontId="5" fillId="0" borderId="0" xfId="5" applyFont="1" applyAlignment="1">
      <alignment horizontal="center"/>
    </xf>
    <xf numFmtId="0" fontId="2" fillId="0" borderId="0" xfId="5"/>
    <xf numFmtId="0" fontId="6" fillId="0" borderId="0" xfId="5" applyFont="1"/>
    <xf numFmtId="14" fontId="4" fillId="0" borderId="0" xfId="5" applyNumberFormat="1" applyFont="1" applyAlignment="1">
      <alignment horizontal="center"/>
    </xf>
    <xf numFmtId="0" fontId="7" fillId="0" borderId="0" xfId="5" applyFont="1"/>
    <xf numFmtId="0" fontId="8" fillId="0" borderId="0" xfId="5" applyFont="1"/>
    <xf numFmtId="0" fontId="8" fillId="0" borderId="0" xfId="5" applyFont="1" applyAlignment="1">
      <alignment horizontal="center"/>
    </xf>
    <xf numFmtId="0" fontId="6" fillId="0" borderId="0" xfId="5" applyFont="1" applyAlignment="1">
      <alignment horizontal="center"/>
    </xf>
    <xf numFmtId="167" fontId="6" fillId="0" borderId="0" xfId="5" applyNumberFormat="1" applyFont="1" applyAlignment="1">
      <alignment horizontal="center"/>
    </xf>
    <xf numFmtId="1" fontId="4" fillId="0" borderId="0" xfId="5" applyNumberFormat="1" applyFont="1"/>
    <xf numFmtId="41" fontId="4" fillId="0" borderId="0" xfId="5" applyNumberFormat="1" applyFont="1"/>
    <xf numFmtId="167" fontId="6" fillId="0" borderId="0" xfId="5" applyNumberFormat="1" applyFont="1"/>
    <xf numFmtId="167" fontId="4" fillId="0" borderId="0" xfId="5" applyNumberFormat="1" applyFont="1"/>
    <xf numFmtId="169" fontId="4" fillId="0" borderId="0" xfId="5" applyNumberFormat="1" applyFont="1" applyAlignment="1">
      <alignment horizontal="right"/>
    </xf>
    <xf numFmtId="167" fontId="4" fillId="0" borderId="0" xfId="5" applyNumberFormat="1" applyFont="1" applyFill="1" applyAlignment="1">
      <alignment horizontal="center"/>
    </xf>
    <xf numFmtId="41" fontId="9" fillId="0" borderId="0" xfId="5" applyNumberFormat="1" applyFont="1"/>
    <xf numFmtId="41" fontId="10" fillId="0" borderId="0" xfId="5" applyNumberFormat="1" applyFont="1" applyAlignment="1">
      <alignment horizontal="left"/>
    </xf>
    <xf numFmtId="41" fontId="4" fillId="0" borderId="1" xfId="5" applyNumberFormat="1" applyFont="1" applyBorder="1"/>
    <xf numFmtId="167" fontId="4" fillId="0" borderId="1" xfId="5" applyNumberFormat="1" applyFont="1" applyBorder="1"/>
    <xf numFmtId="168" fontId="4" fillId="0" borderId="0" xfId="5" applyNumberFormat="1" applyFont="1"/>
    <xf numFmtId="17" fontId="4" fillId="0" borderId="0" xfId="5" applyNumberFormat="1" applyFont="1" applyAlignment="1">
      <alignment horizontal="right"/>
    </xf>
    <xf numFmtId="167" fontId="2" fillId="0" borderId="0" xfId="5" applyNumberFormat="1"/>
    <xf numFmtId="169" fontId="4" fillId="0" borderId="0" xfId="5" applyNumberFormat="1" applyFont="1"/>
    <xf numFmtId="41" fontId="4" fillId="0" borderId="2" xfId="5" applyNumberFormat="1" applyFont="1" applyBorder="1"/>
    <xf numFmtId="167" fontId="4" fillId="0" borderId="2" xfId="5" applyNumberFormat="1" applyFont="1" applyBorder="1"/>
    <xf numFmtId="41" fontId="6" fillId="0" borderId="3" xfId="5" applyNumberFormat="1" applyFont="1" applyBorder="1"/>
    <xf numFmtId="41" fontId="4" fillId="0" borderId="3" xfId="5" applyNumberFormat="1" applyFont="1" applyBorder="1"/>
    <xf numFmtId="41" fontId="7" fillId="0" borderId="0" xfId="5" applyNumberFormat="1" applyFont="1"/>
    <xf numFmtId="41" fontId="4" fillId="0" borderId="0" xfId="5" applyNumberFormat="1" applyFont="1" applyAlignment="1">
      <alignment horizontal="right"/>
    </xf>
    <xf numFmtId="1" fontId="7" fillId="0" borderId="0" xfId="5" applyNumberFormat="1" applyFont="1"/>
    <xf numFmtId="168" fontId="9" fillId="0" borderId="0" xfId="5" applyNumberFormat="1" applyFont="1"/>
    <xf numFmtId="41" fontId="4" fillId="0" borderId="0" xfId="5" applyNumberFormat="1" applyFont="1" applyBorder="1"/>
    <xf numFmtId="41" fontId="4" fillId="0" borderId="4" xfId="5" applyNumberFormat="1" applyFont="1" applyBorder="1"/>
    <xf numFmtId="41" fontId="4" fillId="0" borderId="5" xfId="5" applyNumberFormat="1" applyFont="1" applyBorder="1"/>
    <xf numFmtId="41" fontId="4" fillId="0" borderId="6" xfId="5" applyNumberFormat="1" applyFont="1" applyBorder="1"/>
    <xf numFmtId="168" fontId="4" fillId="0" borderId="2" xfId="5" applyNumberFormat="1" applyFont="1" applyBorder="1"/>
    <xf numFmtId="168" fontId="4" fillId="0" borderId="6" xfId="5" applyNumberFormat="1" applyFont="1" applyBorder="1"/>
    <xf numFmtId="167" fontId="4" fillId="0" borderId="0" xfId="5" applyNumberFormat="1" applyFont="1" applyFill="1" applyBorder="1"/>
    <xf numFmtId="167" fontId="11" fillId="0" borderId="0" xfId="5" applyNumberFormat="1" applyFont="1" applyFill="1" applyBorder="1" applyAlignment="1">
      <alignment horizontal="centerContinuous"/>
    </xf>
    <xf numFmtId="167" fontId="4" fillId="0" borderId="0" xfId="5" applyNumberFormat="1" applyFont="1" applyFill="1" applyBorder="1" applyAlignment="1">
      <alignment horizontal="centerContinuous"/>
    </xf>
    <xf numFmtId="167" fontId="4" fillId="0" borderId="0" xfId="5" applyNumberFormat="1" applyFont="1" applyAlignment="1">
      <alignment horizontal="centerContinuous"/>
    </xf>
    <xf numFmtId="169" fontId="4" fillId="0" borderId="0" xfId="5" applyNumberFormat="1" applyFont="1" applyFill="1" applyBorder="1" applyAlignment="1">
      <alignment horizontal="right"/>
    </xf>
    <xf numFmtId="41" fontId="9" fillId="0" borderId="0" xfId="5" applyNumberFormat="1" applyFont="1" applyFill="1" applyBorder="1" applyAlignment="1">
      <alignment horizontal="center"/>
    </xf>
    <xf numFmtId="167" fontId="4" fillId="0" borderId="0" xfId="5" applyNumberFormat="1" applyFont="1" applyFill="1" applyBorder="1" applyAlignment="1">
      <alignment horizontal="center"/>
    </xf>
    <xf numFmtId="41" fontId="10" fillId="0" borderId="0" xfId="5" applyNumberFormat="1" applyFont="1" applyFill="1" applyBorder="1" applyAlignment="1">
      <alignment horizontal="left"/>
    </xf>
    <xf numFmtId="41" fontId="4" fillId="0" borderId="0" xfId="5" applyNumberFormat="1" applyFont="1" applyFill="1" applyBorder="1"/>
    <xf numFmtId="41" fontId="9" fillId="0" borderId="0" xfId="5" applyNumberFormat="1" applyFont="1" applyFill="1" applyBorder="1"/>
    <xf numFmtId="1" fontId="4" fillId="0" borderId="0" xfId="5" applyNumberFormat="1" applyFont="1" applyFill="1" applyBorder="1"/>
    <xf numFmtId="0" fontId="2" fillId="0" borderId="0" xfId="5" applyFill="1" applyBorder="1"/>
    <xf numFmtId="167" fontId="2" fillId="0" borderId="0" xfId="5" applyNumberFormat="1" applyFill="1" applyBorder="1"/>
    <xf numFmtId="169" fontId="4" fillId="0" borderId="0" xfId="5" applyNumberFormat="1" applyFont="1" applyFill="1" applyBorder="1"/>
    <xf numFmtId="168" fontId="4" fillId="0" borderId="0" xfId="5" applyNumberFormat="1" applyFont="1" applyFill="1" applyBorder="1"/>
    <xf numFmtId="167" fontId="4" fillId="0" borderId="4" xfId="5" applyNumberFormat="1" applyFont="1" applyBorder="1"/>
    <xf numFmtId="167" fontId="4" fillId="0" borderId="6" xfId="5" applyNumberFormat="1" applyFont="1" applyBorder="1"/>
    <xf numFmtId="2" fontId="2" fillId="0" borderId="0" xfId="5" applyNumberFormat="1"/>
    <xf numFmtId="0" fontId="3" fillId="0" borderId="0" xfId="0" applyFont="1" applyBorder="1"/>
    <xf numFmtId="0" fontId="0" fillId="0" borderId="0" xfId="0" applyBorder="1"/>
    <xf numFmtId="0" fontId="3" fillId="0" borderId="0" xfId="0" applyFont="1" applyFill="1" applyBorder="1"/>
    <xf numFmtId="17" fontId="0" fillId="0" borderId="0" xfId="0" applyNumberFormat="1" applyBorder="1"/>
    <xf numFmtId="17" fontId="3" fillId="0" borderId="0" xfId="0" applyNumberFormat="1" applyFont="1" applyAlignment="1">
      <alignment horizontal="center"/>
    </xf>
    <xf numFmtId="170" fontId="0" fillId="0" borderId="0" xfId="0" applyNumberFormat="1"/>
    <xf numFmtId="17" fontId="4" fillId="0" borderId="0" xfId="0" applyNumberFormat="1" applyFont="1"/>
    <xf numFmtId="0" fontId="4" fillId="0" borderId="0" xfId="0" applyFont="1"/>
    <xf numFmtId="2" fontId="4" fillId="0" borderId="0" xfId="0" applyNumberFormat="1" applyFont="1"/>
    <xf numFmtId="2" fontId="0" fillId="0" borderId="0" xfId="0" applyNumberFormat="1"/>
    <xf numFmtId="0" fontId="4" fillId="0" borderId="0" xfId="0" applyFont="1" applyAlignment="1">
      <alignment horizontal="center"/>
    </xf>
    <xf numFmtId="17" fontId="0" fillId="0" borderId="0" xfId="0" applyNumberFormat="1"/>
    <xf numFmtId="4" fontId="4" fillId="0" borderId="0" xfId="0" applyNumberFormat="1" applyFont="1"/>
    <xf numFmtId="4" fontId="0" fillId="0" borderId="0" xfId="0" applyNumberFormat="1"/>
    <xf numFmtId="4" fontId="3" fillId="0" borderId="0" xfId="0" applyNumberFormat="1" applyFont="1" applyAlignment="1">
      <alignment horizontal="center"/>
    </xf>
    <xf numFmtId="40" fontId="4" fillId="0" borderId="0" xfId="0" applyNumberFormat="1" applyFont="1"/>
    <xf numFmtId="43" fontId="4" fillId="0" borderId="0" xfId="1" applyFont="1"/>
    <xf numFmtId="172" fontId="4" fillId="0" borderId="0" xfId="5" applyNumberFormat="1" applyFont="1" applyAlignment="1">
      <alignment horizontal="right"/>
    </xf>
    <xf numFmtId="169" fontId="4" fillId="0" borderId="0" xfId="5" applyNumberFormat="1" applyFont="1" applyAlignment="1">
      <alignment horizontal="right" wrapText="1"/>
    </xf>
    <xf numFmtId="17" fontId="4" fillId="0" borderId="0" xfId="5" applyNumberFormat="1" applyFont="1" applyFill="1" applyBorder="1" applyAlignment="1">
      <alignment horizontal="right"/>
    </xf>
    <xf numFmtId="169" fontId="4" fillId="0" borderId="0" xfId="5"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4" fillId="0" borderId="0" xfId="0" applyFont="1"/>
    <xf numFmtId="0" fontId="4" fillId="0" borderId="0"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Continuous"/>
    </xf>
    <xf numFmtId="17" fontId="4" fillId="0" borderId="0" xfId="0" applyNumberFormat="1" applyFont="1" applyFill="1" applyBorder="1" applyAlignment="1">
      <alignment horizontal="center"/>
    </xf>
    <xf numFmtId="2" fontId="14" fillId="0" borderId="0" xfId="0" applyNumberFormat="1" applyFont="1"/>
    <xf numFmtId="9" fontId="4" fillId="0" borderId="0" xfId="7" applyFont="1" applyFill="1"/>
    <xf numFmtId="43" fontId="4" fillId="0" borderId="5" xfId="1" applyFont="1" applyBorder="1"/>
    <xf numFmtId="43" fontId="4" fillId="0" borderId="0" xfId="0" applyNumberFormat="1" applyFont="1"/>
    <xf numFmtId="0" fontId="4" fillId="0" borderId="0" xfId="0" applyFont="1" applyFill="1"/>
    <xf numFmtId="10" fontId="4" fillId="0" borderId="0" xfId="7" applyNumberFormat="1" applyFont="1"/>
    <xf numFmtId="10" fontId="14" fillId="2" borderId="0" xfId="7" applyNumberFormat="1" applyFont="1" applyFill="1"/>
    <xf numFmtId="9" fontId="4" fillId="0" borderId="0" xfId="7" applyFont="1"/>
    <xf numFmtId="43" fontId="4" fillId="0" borderId="0" xfId="1" applyNumberFormat="1" applyFont="1"/>
    <xf numFmtId="0" fontId="14" fillId="0" borderId="0" xfId="0" quotePrefix="1" applyFont="1" applyAlignment="1">
      <alignment horizontal="left"/>
    </xf>
    <xf numFmtId="44" fontId="4" fillId="0" borderId="0" xfId="3" applyFont="1"/>
    <xf numFmtId="44" fontId="4" fillId="0" borderId="5" xfId="3" applyFont="1" applyBorder="1"/>
    <xf numFmtId="44" fontId="14" fillId="0" borderId="0" xfId="3" applyFont="1" applyBorder="1"/>
    <xf numFmtId="43" fontId="14" fillId="0" borderId="0" xfId="1" applyFont="1" applyBorder="1"/>
    <xf numFmtId="44" fontId="4" fillId="0" borderId="0" xfId="3" applyFont="1" applyBorder="1"/>
    <xf numFmtId="0" fontId="4" fillId="0" borderId="0" xfId="0" applyFont="1" applyBorder="1"/>
    <xf numFmtId="44" fontId="14" fillId="0" borderId="0" xfId="0" applyNumberFormat="1" applyFont="1" applyBorder="1"/>
    <xf numFmtId="44" fontId="4" fillId="0" borderId="0" xfId="3" applyNumberFormat="1" applyFont="1" applyBorder="1"/>
    <xf numFmtId="4" fontId="4" fillId="0" borderId="0" xfId="0" quotePrefix="1" applyNumberFormat="1" applyFont="1"/>
    <xf numFmtId="40" fontId="4" fillId="0" borderId="0" xfId="0" quotePrefix="1" applyNumberFormat="1" applyFont="1"/>
    <xf numFmtId="43" fontId="4" fillId="0" borderId="0" xfId="1" quotePrefix="1" applyFont="1"/>
    <xf numFmtId="43" fontId="4" fillId="0" borderId="0" xfId="1" quotePrefix="1" applyNumberFormat="1" applyFont="1"/>
    <xf numFmtId="43" fontId="14" fillId="0" borderId="4" xfId="1" applyFont="1" applyBorder="1"/>
    <xf numFmtId="44" fontId="4" fillId="0" borderId="0" xfId="0" applyNumberFormat="1" applyFont="1"/>
    <xf numFmtId="41" fontId="9" fillId="0" borderId="0" xfId="5" applyNumberFormat="1" applyFont="1" applyAlignment="1">
      <alignment horizontal="center"/>
    </xf>
    <xf numFmtId="167" fontId="4" fillId="0" borderId="0" xfId="5" applyNumberFormat="1" applyFont="1" applyBorder="1"/>
    <xf numFmtId="167" fontId="4" fillId="0" borderId="0" xfId="5" applyNumberFormat="1" applyFont="1" applyAlignment="1">
      <alignment horizontal="center"/>
    </xf>
    <xf numFmtId="167" fontId="9" fillId="0" borderId="0" xfId="5" applyNumberFormat="1" applyFont="1" applyFill="1" applyAlignment="1">
      <alignment horizontal="center"/>
    </xf>
    <xf numFmtId="169" fontId="4" fillId="0" borderId="0" xfId="5" applyNumberFormat="1" applyFont="1" applyBorder="1" applyAlignment="1">
      <alignment horizontal="right"/>
    </xf>
    <xf numFmtId="41" fontId="9" fillId="0" borderId="0" xfId="5" applyNumberFormat="1" applyFont="1" applyBorder="1"/>
    <xf numFmtId="41" fontId="10" fillId="0" borderId="0" xfId="5" applyNumberFormat="1" applyFont="1" applyBorder="1" applyAlignment="1">
      <alignment horizontal="left"/>
    </xf>
    <xf numFmtId="1" fontId="4" fillId="0" borderId="0" xfId="5" applyNumberFormat="1" applyFont="1" applyBorder="1"/>
    <xf numFmtId="0" fontId="2" fillId="0" borderId="0" xfId="5" applyBorder="1"/>
    <xf numFmtId="167" fontId="2" fillId="0" borderId="0" xfId="5" applyNumberFormat="1" applyBorder="1"/>
    <xf numFmtId="169" fontId="4" fillId="0" borderId="0" xfId="5" applyNumberFormat="1" applyFont="1" applyBorder="1"/>
    <xf numFmtId="168" fontId="4" fillId="0" borderId="0" xfId="5" applyNumberFormat="1" applyFont="1" applyBorder="1"/>
    <xf numFmtId="10" fontId="4" fillId="3" borderId="0" xfId="0" applyNumberFormat="1" applyFont="1" applyFill="1"/>
    <xf numFmtId="10" fontId="4" fillId="3" borderId="0" xfId="7" applyNumberFormat="1" applyFont="1" applyFill="1"/>
    <xf numFmtId="17" fontId="4" fillId="3" borderId="0" xfId="0" applyNumberFormat="1" applyFont="1" applyFill="1" applyBorder="1" applyAlignment="1">
      <alignment horizontal="center"/>
    </xf>
    <xf numFmtId="2" fontId="14" fillId="3" borderId="0" xfId="0" applyNumberFormat="1" applyFont="1" applyFill="1" applyBorder="1"/>
    <xf numFmtId="44" fontId="4" fillId="3" borderId="7" xfId="3" applyFont="1" applyFill="1" applyBorder="1"/>
    <xf numFmtId="169" fontId="4" fillId="0" borderId="0" xfId="5" applyNumberFormat="1" applyFont="1" applyFill="1" applyAlignment="1">
      <alignment horizontal="right"/>
    </xf>
    <xf numFmtId="17" fontId="4" fillId="0" borderId="0" xfId="0" applyNumberFormat="1" applyFont="1" applyFill="1"/>
    <xf numFmtId="40" fontId="14" fillId="0" borderId="0" xfId="0" applyNumberFormat="1" applyFont="1"/>
    <xf numFmtId="9" fontId="1" fillId="0" borderId="0" xfId="7"/>
    <xf numFmtId="4" fontId="4" fillId="0" borderId="1" xfId="0" applyNumberFormat="1" applyFont="1" applyBorder="1"/>
    <xf numFmtId="40" fontId="4" fillId="0" borderId="1" xfId="0" applyNumberFormat="1" applyFont="1" applyBorder="1"/>
    <xf numFmtId="4" fontId="14" fillId="0" borderId="1" xfId="0" applyNumberFormat="1" applyFont="1" applyBorder="1"/>
    <xf numFmtId="43" fontId="14" fillId="0" borderId="0" xfId="1" applyFont="1"/>
    <xf numFmtId="43" fontId="4" fillId="0" borderId="1" xfId="1" applyFont="1" applyBorder="1"/>
    <xf numFmtId="43" fontId="14" fillId="0" borderId="1" xfId="1" applyFont="1" applyBorder="1"/>
    <xf numFmtId="167" fontId="4" fillId="0" borderId="0" xfId="5" applyNumberFormat="1" applyFont="1" applyAlignment="1">
      <alignment horizontal="right"/>
    </xf>
    <xf numFmtId="165" fontId="1" fillId="0" borderId="0" xfId="7" applyNumberFormat="1"/>
    <xf numFmtId="165" fontId="3" fillId="0" borderId="0" xfId="7" applyNumberFormat="1" applyFont="1"/>
    <xf numFmtId="0" fontId="15" fillId="0" borderId="8" xfId="5" applyFont="1" applyBorder="1" applyAlignment="1">
      <alignment horizontal="center"/>
    </xf>
    <xf numFmtId="0" fontId="4" fillId="0" borderId="0" xfId="5" applyFont="1" applyBorder="1"/>
    <xf numFmtId="167" fontId="15" fillId="0" borderId="9" xfId="5" applyNumberFormat="1" applyFont="1" applyBorder="1" applyAlignment="1">
      <alignment horizontal="center"/>
    </xf>
    <xf numFmtId="167" fontId="16" fillId="0" borderId="9" xfId="5" applyNumberFormat="1" applyFont="1" applyFill="1" applyBorder="1" applyAlignment="1">
      <alignment horizontal="center"/>
    </xf>
    <xf numFmtId="41" fontId="10" fillId="0" borderId="9" xfId="5" applyNumberFormat="1" applyFont="1" applyBorder="1"/>
    <xf numFmtId="167" fontId="6" fillId="0" borderId="0" xfId="5" applyNumberFormat="1" applyFont="1" applyBorder="1"/>
    <xf numFmtId="168" fontId="6" fillId="0" borderId="9" xfId="5" applyNumberFormat="1" applyFont="1" applyBorder="1"/>
    <xf numFmtId="41" fontId="4" fillId="0" borderId="10" xfId="5" applyNumberFormat="1" applyFont="1" applyBorder="1"/>
    <xf numFmtId="165" fontId="4" fillId="0" borderId="0" xfId="7" applyNumberFormat="1" applyFont="1"/>
    <xf numFmtId="167" fontId="4" fillId="5" borderId="0" xfId="5" applyNumberFormat="1" applyFont="1" applyFill="1"/>
    <xf numFmtId="9" fontId="4" fillId="5" borderId="7" xfId="7" applyFont="1" applyFill="1" applyBorder="1"/>
    <xf numFmtId="168" fontId="4" fillId="5" borderId="6" xfId="5" applyNumberFormat="1" applyFont="1" applyFill="1" applyBorder="1"/>
    <xf numFmtId="0" fontId="20" fillId="0" borderId="0" xfId="4"/>
    <xf numFmtId="43" fontId="20" fillId="0" borderId="0" xfId="2" applyNumberFormat="1" applyFont="1"/>
    <xf numFmtId="4" fontId="4" fillId="4" borderId="11" xfId="6" applyNumberFormat="1" applyFont="1"/>
    <xf numFmtId="7" fontId="19" fillId="0" borderId="0" xfId="0" applyNumberFormat="1" applyFont="1" applyFill="1" applyBorder="1"/>
    <xf numFmtId="7" fontId="1" fillId="0" borderId="0" xfId="3" applyNumberFormat="1" applyBorder="1"/>
    <xf numFmtId="0" fontId="20" fillId="0" borderId="0" xfId="4" applyBorder="1"/>
    <xf numFmtId="43" fontId="4" fillId="0" borderId="5" xfId="1" applyNumberFormat="1" applyFont="1" applyBorder="1"/>
    <xf numFmtId="4" fontId="4" fillId="0" borderId="0" xfId="6" applyNumberFormat="1" applyFont="1" applyFill="1" applyBorder="1"/>
    <xf numFmtId="43" fontId="0" fillId="0" borderId="0" xfId="1" applyFont="1"/>
    <xf numFmtId="44" fontId="4" fillId="3" borderId="7" xfId="3" applyFont="1" applyFill="1" applyBorder="1" applyAlignment="1">
      <alignment horizontal="center"/>
    </xf>
    <xf numFmtId="44" fontId="4" fillId="0" borderId="0" xfId="3" applyNumberFormat="1" applyFont="1"/>
    <xf numFmtId="173" fontId="4" fillId="0" borderId="1" xfId="3" applyNumberFormat="1" applyFont="1" applyBorder="1"/>
    <xf numFmtId="167" fontId="4" fillId="6" borderId="2" xfId="5" applyNumberFormat="1" applyFont="1" applyFill="1" applyBorder="1"/>
  </cellXfs>
  <cellStyles count="8">
    <cellStyle name="Comma" xfId="1" builtinId="3"/>
    <cellStyle name="Comma 2" xfId="2"/>
    <cellStyle name="Currency" xfId="3" builtinId="4"/>
    <cellStyle name="Normal" xfId="0" builtinId="0"/>
    <cellStyle name="Normal 2" xfId="4"/>
    <cellStyle name="Normal_98REC_CR"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strict/Accounting/WUTC%20Files/RSA/2013-14%20Plan%20Year/WUTC%20Filing%20Working%20Documents/SeaTac%20Multi%20Family%20Commodity%20Credit%20Template%20-%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trict/~WUTC%20Files~/1.%20RSA/2015-2017%20Plan%20Year/Commodity%20Credit%20Templates%202015-2016/2015-2016%20Additional%20passback%20to%20custom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2015-2016"/>
      <sheetName val="2014-2015"/>
      <sheetName val="2013-2014"/>
    </sheetNames>
    <sheetDataSet>
      <sheetData sheetId="0">
        <row r="8">
          <cell r="C8">
            <v>19026.311999999998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RowHeight="12.75" x14ac:dyDescent="0.2"/>
  <cols>
    <col min="1" max="1" width="10" style="5" customWidth="1"/>
    <col min="2" max="2" width="10.140625" style="5" customWidth="1"/>
    <col min="3" max="3" width="4.42578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8.7109375" style="5" bestFit="1" customWidth="1"/>
    <col min="10" max="10" width="9.42578125" style="5" customWidth="1"/>
    <col min="11" max="11" width="4.7109375" style="5" bestFit="1" customWidth="1"/>
    <col min="12"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34</v>
      </c>
      <c r="B1" s="2"/>
      <c r="C1" s="2"/>
      <c r="D1" s="2"/>
      <c r="E1" s="2"/>
      <c r="F1" s="2"/>
      <c r="G1" s="3"/>
      <c r="H1" s="2"/>
      <c r="I1" s="2"/>
      <c r="J1" s="1" t="s">
        <v>35</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
        <v>36</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row>
    <row r="7" spans="1:27" s="16" customFormat="1" ht="11.25" x14ac:dyDescent="0.2">
      <c r="A7" s="15" t="s">
        <v>5</v>
      </c>
      <c r="B7" s="12" t="s">
        <v>6</v>
      </c>
      <c r="C7" s="12"/>
      <c r="D7" s="12" t="s">
        <v>3</v>
      </c>
      <c r="E7" s="12"/>
      <c r="F7" s="12" t="s">
        <v>7</v>
      </c>
      <c r="G7" s="12"/>
      <c r="H7" s="12"/>
      <c r="I7" s="12"/>
      <c r="J7" s="12" t="s">
        <v>6</v>
      </c>
      <c r="K7" s="12"/>
    </row>
    <row r="8" spans="1:27" s="16" customFormat="1" ht="11.25" x14ac:dyDescent="0.2">
      <c r="A8" s="76">
        <v>39264</v>
      </c>
      <c r="B8" s="19">
        <v>16678</v>
      </c>
      <c r="C8" s="20"/>
      <c r="D8" s="18">
        <v>35119.9</v>
      </c>
      <c r="E8" s="14"/>
      <c r="F8" s="16">
        <f>ROUND(D8/B8,2)</f>
        <v>2.11</v>
      </c>
      <c r="G8" s="14"/>
      <c r="H8" s="14"/>
      <c r="I8" s="14"/>
      <c r="J8" s="14">
        <f>+B8</f>
        <v>16678</v>
      </c>
      <c r="K8" s="13">
        <v>2007</v>
      </c>
    </row>
    <row r="9" spans="1:27" s="16" customFormat="1" ht="11.25" x14ac:dyDescent="0.2">
      <c r="A9" s="76">
        <v>39298</v>
      </c>
      <c r="B9" s="19">
        <v>16617</v>
      </c>
      <c r="C9" s="14"/>
      <c r="D9" s="18">
        <v>36121.480000000003</v>
      </c>
      <c r="E9" s="14"/>
      <c r="F9" s="16">
        <f>ROUND(D9/B9,2)</f>
        <v>2.17</v>
      </c>
      <c r="G9" s="14"/>
      <c r="H9" s="14"/>
      <c r="I9" s="14"/>
      <c r="J9" s="14">
        <f>+B9</f>
        <v>16617</v>
      </c>
      <c r="K9" s="13">
        <v>2007</v>
      </c>
    </row>
    <row r="10" spans="1:27" s="16" customFormat="1" ht="11.25" x14ac:dyDescent="0.2">
      <c r="A10" s="17"/>
      <c r="B10" s="14"/>
      <c r="C10" s="14"/>
      <c r="E10" s="14"/>
      <c r="G10" s="14"/>
      <c r="H10" s="14"/>
      <c r="I10" s="14"/>
      <c r="J10" s="14"/>
      <c r="K10" s="13"/>
    </row>
    <row r="11" spans="1:27" s="16" customFormat="1" ht="11.25" x14ac:dyDescent="0.2">
      <c r="A11" s="17" t="s">
        <v>37</v>
      </c>
      <c r="B11" s="21">
        <f>SUM(B8:B10)</f>
        <v>33295</v>
      </c>
      <c r="C11" s="20" t="s">
        <v>8</v>
      </c>
      <c r="D11" s="22">
        <f>SUM(D8:D10)</f>
        <v>71241.38</v>
      </c>
      <c r="E11" s="14"/>
      <c r="G11" s="14"/>
      <c r="H11" s="14"/>
      <c r="I11" s="14"/>
      <c r="J11" s="14"/>
      <c r="K11" s="13"/>
    </row>
    <row r="12" spans="1:27" s="16" customFormat="1" ht="11.25" x14ac:dyDescent="0.2">
      <c r="A12" s="17"/>
      <c r="B12" s="14"/>
      <c r="C12" s="14"/>
      <c r="E12" s="14"/>
      <c r="G12" s="14"/>
      <c r="H12" s="14"/>
      <c r="I12" s="14"/>
      <c r="J12" s="14"/>
      <c r="K12" s="13"/>
    </row>
    <row r="13" spans="1:27" s="16" customFormat="1" ht="11.25"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1.25"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1.25" x14ac:dyDescent="0.2">
      <c r="A15" s="24">
        <v>39390</v>
      </c>
      <c r="B15" s="19">
        <v>16708</v>
      </c>
      <c r="C15" s="14"/>
      <c r="D15" s="16">
        <v>43788.67</v>
      </c>
      <c r="E15" s="14"/>
      <c r="F15" s="16">
        <f t="shared" si="0"/>
        <v>2.62</v>
      </c>
      <c r="G15" s="23"/>
      <c r="H15" s="14"/>
      <c r="I15" s="14"/>
      <c r="J15" s="14">
        <f t="shared" si="1"/>
        <v>16708</v>
      </c>
      <c r="K15" s="13">
        <v>2007</v>
      </c>
    </row>
    <row r="16" spans="1:27" s="16" customFormat="1" ht="11.25" x14ac:dyDescent="0.2">
      <c r="A16" s="24">
        <v>39420</v>
      </c>
      <c r="B16" s="19">
        <v>16699</v>
      </c>
      <c r="C16" s="14"/>
      <c r="D16" s="16">
        <v>38190.370000000003</v>
      </c>
      <c r="E16" s="14"/>
      <c r="F16" s="16">
        <f t="shared" si="0"/>
        <v>2.29</v>
      </c>
      <c r="G16" s="23"/>
      <c r="H16" s="14"/>
      <c r="I16" s="14"/>
      <c r="J16" s="14">
        <f t="shared" si="1"/>
        <v>16699</v>
      </c>
      <c r="K16" s="13">
        <v>2007</v>
      </c>
    </row>
    <row r="17" spans="1:27" s="16" customFormat="1" ht="11.25" x14ac:dyDescent="0.2">
      <c r="A17" s="24">
        <v>39451</v>
      </c>
      <c r="B17" s="19">
        <v>16649</v>
      </c>
      <c r="C17" s="14"/>
      <c r="D17" s="16">
        <v>42272.42</v>
      </c>
      <c r="E17" s="14"/>
      <c r="F17" s="16">
        <f t="shared" si="0"/>
        <v>2.54</v>
      </c>
      <c r="G17" s="23"/>
      <c r="H17" s="14"/>
      <c r="I17" s="14"/>
      <c r="J17" s="14">
        <f t="shared" si="1"/>
        <v>16649</v>
      </c>
      <c r="K17" s="13">
        <v>2008</v>
      </c>
    </row>
    <row r="18" spans="1:27" s="16" customFormat="1" ht="11.25" x14ac:dyDescent="0.2">
      <c r="A18" s="24">
        <v>39482</v>
      </c>
      <c r="B18" s="19">
        <v>16642</v>
      </c>
      <c r="C18" s="14"/>
      <c r="D18" s="16">
        <v>40138.230000000003</v>
      </c>
      <c r="E18" s="14"/>
      <c r="F18" s="16">
        <f t="shared" si="0"/>
        <v>2.41</v>
      </c>
      <c r="G18" s="23"/>
      <c r="H18" s="14"/>
      <c r="I18" s="14"/>
      <c r="J18" s="14">
        <f t="shared" si="1"/>
        <v>16642</v>
      </c>
      <c r="K18" s="13">
        <v>2008</v>
      </c>
    </row>
    <row r="19" spans="1:27" s="16" customFormat="1" ht="11.25"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1.25"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1.25" x14ac:dyDescent="0.2">
      <c r="A21" s="24">
        <v>39572</v>
      </c>
      <c r="B21" s="19">
        <v>16877</v>
      </c>
      <c r="C21" s="14"/>
      <c r="D21" s="16">
        <v>37997.629999999997</v>
      </c>
      <c r="E21" s="14"/>
      <c r="F21" s="16">
        <f t="shared" si="0"/>
        <v>2.25</v>
      </c>
      <c r="G21" s="23"/>
      <c r="H21" s="20"/>
      <c r="I21" s="14"/>
      <c r="J21" s="14">
        <f t="shared" si="1"/>
        <v>16877</v>
      </c>
      <c r="K21" s="13">
        <v>2008</v>
      </c>
    </row>
    <row r="22" spans="1:27" s="16" customFormat="1" ht="11.25" x14ac:dyDescent="0.2">
      <c r="A22" s="24">
        <v>39603</v>
      </c>
      <c r="B22" s="19">
        <v>16697</v>
      </c>
      <c r="C22" s="14"/>
      <c r="D22" s="16">
        <v>37285.46</v>
      </c>
      <c r="E22" s="14"/>
      <c r="F22" s="16">
        <f t="shared" si="0"/>
        <v>2.23</v>
      </c>
      <c r="G22" s="23"/>
      <c r="H22" s="20"/>
      <c r="I22" s="14"/>
      <c r="J22" s="14">
        <f t="shared" si="1"/>
        <v>16697</v>
      </c>
      <c r="K22" s="13">
        <v>2008</v>
      </c>
    </row>
    <row r="23" spans="1:27" s="16" customFormat="1" ht="11.25" x14ac:dyDescent="0.2">
      <c r="A23" s="17"/>
      <c r="B23" s="14"/>
      <c r="C23" s="14"/>
      <c r="E23" s="14"/>
      <c r="G23" s="14"/>
      <c r="H23" s="14"/>
      <c r="I23" s="14"/>
      <c r="J23" s="14"/>
      <c r="K23" s="13"/>
    </row>
    <row r="24" spans="1:27" s="16" customFormat="1" ht="22.5" x14ac:dyDescent="0.2">
      <c r="A24" s="77" t="s">
        <v>38</v>
      </c>
      <c r="B24" s="21">
        <f>SUM(B12:B23)</f>
        <v>167065</v>
      </c>
      <c r="C24" s="20" t="s">
        <v>9</v>
      </c>
      <c r="D24" s="22">
        <f>SUM(D12:D23)</f>
        <v>392158.41000000003</v>
      </c>
      <c r="E24" s="14"/>
      <c r="G24" s="14"/>
      <c r="H24" s="14"/>
      <c r="I24" s="14"/>
      <c r="J24" s="14"/>
      <c r="K24" s="13"/>
    </row>
    <row r="25" spans="1:27" x14ac:dyDescent="0.2">
      <c r="D25" s="25"/>
    </row>
    <row r="26" spans="1:27" s="16" customFormat="1" ht="12"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2" thickTop="1" x14ac:dyDescent="0.2">
      <c r="B27" s="14"/>
      <c r="C27" s="14"/>
      <c r="D27" s="14"/>
      <c r="E27" s="14"/>
      <c r="F27" s="14"/>
      <c r="G27" s="14"/>
      <c r="H27" s="14"/>
      <c r="I27" s="14"/>
      <c r="J27" s="14"/>
      <c r="K27" s="14"/>
    </row>
    <row r="28" spans="1:27" s="16" customFormat="1" ht="11.25" x14ac:dyDescent="0.2">
      <c r="B28" s="14"/>
      <c r="C28" s="14"/>
      <c r="D28" s="14"/>
      <c r="E28" s="14"/>
      <c r="F28" s="14"/>
      <c r="G28" s="14"/>
      <c r="H28" s="14"/>
      <c r="I28" s="14"/>
      <c r="J28" s="14"/>
      <c r="K28" s="14"/>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463400</v>
      </c>
      <c r="H31" s="20" t="s">
        <v>10</v>
      </c>
      <c r="I31" s="14"/>
      <c r="J31" s="14"/>
      <c r="K31" s="14"/>
    </row>
    <row r="32" spans="1:27" s="13" customFormat="1" ht="11.25" x14ac:dyDescent="0.2">
      <c r="A32" s="33"/>
      <c r="B32" s="31"/>
      <c r="C32" s="14"/>
      <c r="D32" s="14"/>
      <c r="E32" s="14"/>
      <c r="F32" s="14"/>
      <c r="G32" s="14"/>
      <c r="H32" s="20"/>
      <c r="I32" s="14"/>
      <c r="J32" s="14"/>
      <c r="K32" s="14"/>
      <c r="W32" s="14"/>
      <c r="X32" s="16"/>
      <c r="Y32" s="16"/>
      <c r="AA32" s="14"/>
    </row>
    <row r="33" spans="2:27" s="16" customFormat="1" ht="11.25" x14ac:dyDescent="0.2">
      <c r="B33" s="14" t="s">
        <v>15</v>
      </c>
      <c r="C33" s="14"/>
      <c r="D33" s="14"/>
      <c r="E33" s="14"/>
      <c r="F33" s="34">
        <v>1.55</v>
      </c>
      <c r="G33" s="14"/>
      <c r="H33" s="14"/>
      <c r="I33" s="14"/>
      <c r="J33" s="14"/>
      <c r="K33" s="14"/>
    </row>
    <row r="34" spans="2:27" s="16" customFormat="1" ht="11.25" x14ac:dyDescent="0.2">
      <c r="B34" s="14"/>
      <c r="C34" s="14" t="s">
        <v>39</v>
      </c>
      <c r="D34" s="14"/>
      <c r="E34" s="14"/>
      <c r="F34" s="35">
        <f>+B11</f>
        <v>33295</v>
      </c>
      <c r="G34" s="20" t="s">
        <v>8</v>
      </c>
      <c r="H34" s="14"/>
      <c r="I34" s="14"/>
      <c r="J34" s="14"/>
      <c r="K34" s="14"/>
    </row>
    <row r="35" spans="2:27" s="16" customFormat="1" ht="11.25" x14ac:dyDescent="0.2">
      <c r="B35" s="14"/>
      <c r="C35" s="14" t="s">
        <v>16</v>
      </c>
      <c r="D35" s="14"/>
      <c r="E35" s="14"/>
      <c r="F35" s="21">
        <f>ROUND(F33*F34,0)</f>
        <v>51607</v>
      </c>
      <c r="G35" s="20"/>
      <c r="H35" s="14"/>
      <c r="I35" s="14"/>
      <c r="J35" s="14"/>
      <c r="K35" s="14"/>
    </row>
    <row r="36" spans="2:27" s="16" customFormat="1" ht="11.25" x14ac:dyDescent="0.2">
      <c r="B36" s="14"/>
      <c r="C36" s="14"/>
      <c r="D36" s="14"/>
      <c r="E36" s="14"/>
      <c r="F36" s="35"/>
      <c r="G36" s="20"/>
      <c r="H36" s="14"/>
      <c r="I36" s="14"/>
      <c r="J36" s="14"/>
      <c r="K36" s="14"/>
    </row>
    <row r="37" spans="2:27" s="16" customFormat="1" ht="11.25" x14ac:dyDescent="0.2">
      <c r="B37" s="14" t="s">
        <v>15</v>
      </c>
      <c r="C37" s="14"/>
      <c r="D37" s="14"/>
      <c r="E37" s="14"/>
      <c r="F37" s="34">
        <v>1.8180000000000001</v>
      </c>
      <c r="G37" s="14"/>
      <c r="H37" s="14"/>
      <c r="I37" s="14"/>
      <c r="J37" s="14"/>
      <c r="K37" s="14"/>
    </row>
    <row r="38" spans="2:27" s="16" customFormat="1" ht="11.25" x14ac:dyDescent="0.2">
      <c r="B38" s="14"/>
      <c r="C38" s="14" t="s">
        <v>40</v>
      </c>
      <c r="D38" s="14"/>
      <c r="E38" s="14"/>
      <c r="F38" s="14">
        <f>+B24</f>
        <v>167065</v>
      </c>
      <c r="G38" s="20" t="s">
        <v>9</v>
      </c>
      <c r="H38" s="14"/>
      <c r="I38" s="14"/>
      <c r="J38" s="14"/>
      <c r="K38" s="14"/>
    </row>
    <row r="39" spans="2:27" s="16" customFormat="1" ht="11.25" x14ac:dyDescent="0.2">
      <c r="B39" s="14"/>
      <c r="C39" s="14" t="s">
        <v>16</v>
      </c>
      <c r="D39" s="14"/>
      <c r="E39" s="14"/>
      <c r="F39" s="21">
        <f>ROUND(F37*F38,0)</f>
        <v>303724</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355331</v>
      </c>
      <c r="G41" s="37">
        <f>+F41</f>
        <v>355331</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108069</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
        <v>41</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
        <v>19</v>
      </c>
      <c r="C49" s="14"/>
      <c r="D49" s="14"/>
      <c r="E49" s="14"/>
      <c r="F49" s="14"/>
      <c r="G49" s="14"/>
      <c r="H49" s="14"/>
      <c r="I49" s="14"/>
      <c r="J49" s="14"/>
      <c r="K49" s="14"/>
    </row>
    <row r="50" spans="1:25" s="16" customFormat="1" ht="11.25" x14ac:dyDescent="0.2">
      <c r="B50" s="14"/>
      <c r="C50" s="14"/>
      <c r="D50" s="14"/>
      <c r="E50" s="14"/>
      <c r="F50" s="32" t="s">
        <v>20</v>
      </c>
      <c r="G50" s="14">
        <f>+J26</f>
        <v>200360</v>
      </c>
      <c r="H50" s="20" t="s">
        <v>12</v>
      </c>
      <c r="I50" s="14"/>
      <c r="J50" s="14"/>
      <c r="K50" s="14"/>
    </row>
    <row r="51" spans="1:25" s="16" customFormat="1" ht="11.25" x14ac:dyDescent="0.2">
      <c r="B51" s="14"/>
      <c r="C51" s="14"/>
      <c r="D51" s="14"/>
      <c r="E51" s="14"/>
      <c r="F51" s="32" t="s">
        <v>18</v>
      </c>
      <c r="G51" s="14">
        <f>+G44</f>
        <v>108069</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42</v>
      </c>
      <c r="G53" s="39">
        <f>ROUND(G51/G50,3)</f>
        <v>0.53900000000000003</v>
      </c>
      <c r="H53" s="14"/>
      <c r="I53" s="23">
        <f>+G53</f>
        <v>0.53900000000000003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
        <v>44</v>
      </c>
      <c r="C55" s="14"/>
      <c r="D55" s="14"/>
      <c r="E55" s="14"/>
      <c r="F55" s="32"/>
      <c r="G55" s="14"/>
      <c r="H55" s="14"/>
      <c r="I55" s="23"/>
      <c r="J55" s="14"/>
      <c r="K55" s="14"/>
    </row>
    <row r="56" spans="1:25" s="16" customFormat="1" ht="12" thickBot="1" x14ac:dyDescent="0.25">
      <c r="B56" s="31"/>
      <c r="C56" s="14"/>
      <c r="D56" s="14"/>
      <c r="E56" s="14"/>
      <c r="F56" s="32" t="s">
        <v>43</v>
      </c>
      <c r="G56" s="40">
        <f>+F26</f>
        <v>2.3130000000000002</v>
      </c>
      <c r="H56" s="14"/>
      <c r="I56" s="23">
        <f>+G56</f>
        <v>2.3130000000000002</v>
      </c>
      <c r="J56" s="20" t="s">
        <v>11</v>
      </c>
      <c r="K56" s="14"/>
    </row>
    <row r="57" spans="1:25" s="14" customFormat="1" ht="12" thickTop="1" x14ac:dyDescent="0.2">
      <c r="B57" s="31"/>
      <c r="I57" s="23"/>
      <c r="X57" s="16"/>
      <c r="Y57" s="16"/>
    </row>
    <row r="58" spans="1:25" s="16" customFormat="1" ht="12" thickBot="1" x14ac:dyDescent="0.25">
      <c r="B58" s="14"/>
      <c r="C58" s="14"/>
      <c r="D58" s="14"/>
      <c r="E58" s="14"/>
      <c r="F58" s="14"/>
      <c r="G58" s="32" t="s">
        <v>45</v>
      </c>
      <c r="H58" s="27"/>
      <c r="I58" s="39">
        <f>+I53+I56</f>
        <v>2.8520000000000003</v>
      </c>
      <c r="J58" s="14"/>
      <c r="K58" s="14"/>
    </row>
    <row r="59" spans="1:25" s="16" customFormat="1" ht="12" thickTop="1" x14ac:dyDescent="0.2">
      <c r="I59" s="23"/>
    </row>
    <row r="60" spans="1:25" s="16" customFormat="1" ht="11.25" x14ac:dyDescent="0.2"/>
    <row r="61" spans="1:25" s="16" customFormat="1" ht="11.25" x14ac:dyDescent="0.2"/>
    <row r="62" spans="1:25" s="16" customFormat="1" ht="11.25" x14ac:dyDescent="0.2">
      <c r="A62" s="41"/>
      <c r="B62" s="41"/>
      <c r="C62" s="41"/>
      <c r="D62" s="41"/>
      <c r="E62" s="41"/>
      <c r="F62" s="41"/>
    </row>
    <row r="63" spans="1:25" s="16" customFormat="1" ht="18.75" x14ac:dyDescent="0.3">
      <c r="A63" s="42"/>
      <c r="B63" s="43"/>
      <c r="C63" s="43"/>
      <c r="D63" s="43"/>
      <c r="E63" s="42"/>
      <c r="F63" s="43"/>
      <c r="G63" s="44"/>
      <c r="H63" s="44"/>
      <c r="I63" s="44"/>
      <c r="J63" s="44"/>
      <c r="K63" s="44"/>
      <c r="Y63" s="14"/>
    </row>
    <row r="64" spans="1:25" s="16" customFormat="1" ht="11.25" x14ac:dyDescent="0.2">
      <c r="A64" s="78"/>
      <c r="B64" s="46"/>
      <c r="C64" s="48"/>
      <c r="D64" s="47"/>
      <c r="E64" s="41"/>
      <c r="F64" s="41"/>
    </row>
    <row r="65" spans="1:27" s="16" customFormat="1" ht="11.25" x14ac:dyDescent="0.2">
      <c r="A65" s="78"/>
      <c r="B65" s="46"/>
      <c r="C65" s="49"/>
      <c r="D65" s="47"/>
      <c r="E65" s="41"/>
      <c r="F65" s="41"/>
    </row>
    <row r="66" spans="1:27" s="14" customFormat="1" ht="11.25" x14ac:dyDescent="0.2">
      <c r="A66" s="78"/>
      <c r="B66" s="49"/>
      <c r="C66" s="49"/>
      <c r="D66" s="41"/>
      <c r="E66" s="49"/>
      <c r="F66" s="41"/>
      <c r="X66" s="16"/>
      <c r="Y66" s="16"/>
    </row>
    <row r="67" spans="1:27" s="16" customFormat="1" ht="11.25" x14ac:dyDescent="0.2">
      <c r="A67" s="78"/>
      <c r="B67" s="49"/>
      <c r="C67" s="48"/>
      <c r="D67" s="41"/>
      <c r="E67" s="41"/>
      <c r="F67" s="41"/>
    </row>
    <row r="68" spans="1:27" s="16" customFormat="1" ht="11.25" x14ac:dyDescent="0.2">
      <c r="A68" s="78"/>
      <c r="B68" s="49"/>
      <c r="C68" s="49"/>
      <c r="D68" s="41"/>
      <c r="E68" s="41"/>
      <c r="F68" s="41"/>
    </row>
    <row r="69" spans="1:27" s="16" customFormat="1" ht="11.25" x14ac:dyDescent="0.2">
      <c r="A69" s="78"/>
      <c r="B69" s="50"/>
      <c r="C69" s="49"/>
      <c r="D69" s="41"/>
      <c r="E69" s="41"/>
      <c r="F69" s="41"/>
    </row>
    <row r="70" spans="1:27" s="16" customFormat="1" ht="11.25" x14ac:dyDescent="0.2">
      <c r="A70" s="78"/>
      <c r="B70" s="50"/>
      <c r="C70" s="49"/>
      <c r="D70" s="41"/>
      <c r="E70" s="41"/>
      <c r="F70" s="41"/>
    </row>
    <row r="71" spans="1:27" s="16" customFormat="1" ht="11.25" x14ac:dyDescent="0.2">
      <c r="A71" s="78"/>
      <c r="B71" s="50"/>
      <c r="C71" s="49"/>
      <c r="D71" s="41"/>
      <c r="E71" s="41"/>
      <c r="F71" s="41"/>
    </row>
    <row r="72" spans="1:27" s="16" customFormat="1" ht="11.25" x14ac:dyDescent="0.2">
      <c r="A72" s="78"/>
      <c r="B72" s="50"/>
      <c r="C72" s="49"/>
      <c r="D72" s="41"/>
      <c r="E72" s="41"/>
      <c r="F72" s="41"/>
    </row>
    <row r="73" spans="1:27" s="16" customFormat="1" ht="11.25" x14ac:dyDescent="0.2">
      <c r="A73" s="78"/>
      <c r="B73" s="50"/>
      <c r="C73" s="49"/>
      <c r="D73" s="41"/>
      <c r="E73" s="41"/>
      <c r="F73" s="41"/>
      <c r="Y73" s="14"/>
    </row>
    <row r="74" spans="1:27" s="16" customFormat="1" ht="11.25" x14ac:dyDescent="0.2">
      <c r="A74" s="78"/>
      <c r="B74" s="50"/>
      <c r="C74" s="49"/>
      <c r="D74" s="41"/>
      <c r="E74" s="41"/>
      <c r="F74" s="41"/>
    </row>
    <row r="75" spans="1:27" s="16" customFormat="1" ht="11.25" x14ac:dyDescent="0.2">
      <c r="A75" s="78"/>
      <c r="B75" s="50"/>
      <c r="C75" s="49"/>
      <c r="D75" s="41"/>
      <c r="E75" s="41"/>
      <c r="F75" s="41"/>
    </row>
    <row r="76" spans="1:27" s="16" customFormat="1" ht="11.25" x14ac:dyDescent="0.2">
      <c r="A76" s="78"/>
      <c r="B76" s="50"/>
      <c r="C76" s="49"/>
      <c r="D76" s="41"/>
      <c r="E76" s="41"/>
      <c r="F76" s="41"/>
    </row>
    <row r="77" spans="1:27" s="16" customFormat="1" ht="11.25"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1.25" x14ac:dyDescent="0.2">
      <c r="A78" s="78"/>
      <c r="B78" s="50"/>
      <c r="C78" s="49"/>
      <c r="D78" s="41"/>
      <c r="E78" s="41"/>
      <c r="F78" s="41"/>
    </row>
    <row r="79" spans="1:27" s="16" customFormat="1" ht="11.25" x14ac:dyDescent="0.2">
      <c r="A79" s="45"/>
      <c r="B79" s="49"/>
      <c r="C79" s="49"/>
      <c r="D79" s="41"/>
      <c r="E79" s="41"/>
      <c r="F79" s="41"/>
    </row>
    <row r="80" spans="1:27" s="16" customFormat="1" ht="11.25" x14ac:dyDescent="0.2">
      <c r="A80" s="79"/>
      <c r="B80" s="49"/>
      <c r="C80" s="48"/>
      <c r="D80" s="41"/>
      <c r="E80" s="41"/>
      <c r="F80" s="41"/>
    </row>
    <row r="81" spans="1:25" s="16" customFormat="1" x14ac:dyDescent="0.2">
      <c r="A81" s="52"/>
      <c r="B81" s="52"/>
      <c r="C81" s="52"/>
      <c r="D81" s="53"/>
      <c r="E81" s="41"/>
      <c r="F81" s="52"/>
    </row>
    <row r="82" spans="1:25" s="16" customFormat="1" ht="11.25" x14ac:dyDescent="0.2">
      <c r="A82" s="54"/>
      <c r="B82" s="49"/>
      <c r="C82" s="48"/>
      <c r="D82" s="41"/>
      <c r="E82" s="41"/>
      <c r="F82" s="55"/>
      <c r="Y82" s="14"/>
    </row>
    <row r="83" spans="1:25" s="16" customFormat="1" ht="11.25" x14ac:dyDescent="0.2"/>
    <row r="84" spans="1:25" s="16" customFormat="1" ht="11.25" x14ac:dyDescent="0.2"/>
    <row r="85" spans="1:25" s="16" customFormat="1" ht="11.25" x14ac:dyDescent="0.2"/>
    <row r="86" spans="1:25" s="16" customFormat="1" ht="11.25" x14ac:dyDescent="0.2">
      <c r="B86" s="8"/>
    </row>
    <row r="87" spans="1:25" s="14" customFormat="1" ht="11.25" x14ac:dyDescent="0.2">
      <c r="B87" s="31"/>
      <c r="X87" s="16"/>
      <c r="Y87" s="16"/>
    </row>
    <row r="88" spans="1:25" s="16" customFormat="1" ht="11.25" x14ac:dyDescent="0.2"/>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c r="A96" s="6"/>
    </row>
    <row r="97" spans="7:27" s="16" customFormat="1" x14ac:dyDescent="0.2">
      <c r="AA97" s="5"/>
    </row>
    <row r="98" spans="7:27" s="16" customFormat="1" x14ac:dyDescent="0.2">
      <c r="AA98" s="5"/>
    </row>
    <row r="99" spans="7:27" s="16" customFormat="1" x14ac:dyDescent="0.2">
      <c r="AA99" s="5"/>
    </row>
    <row r="100" spans="7:27" s="16" customFormat="1" x14ac:dyDescent="0.2">
      <c r="AA100" s="5"/>
    </row>
    <row r="101" spans="7:27" s="16" customFormat="1" x14ac:dyDescent="0.2">
      <c r="G101" s="56"/>
      <c r="I101" s="56"/>
      <c r="J101" s="56"/>
      <c r="L101" s="56"/>
      <c r="M101" s="56"/>
      <c r="N101" s="56"/>
      <c r="O101" s="56"/>
      <c r="P101" s="56"/>
      <c r="Q101" s="56"/>
      <c r="R101" s="56"/>
      <c r="S101" s="56"/>
      <c r="T101" s="56"/>
      <c r="U101" s="56"/>
      <c r="V101" s="56"/>
      <c r="W101" s="56"/>
      <c r="X101" s="56"/>
      <c r="Y101" s="56"/>
      <c r="AA101" s="5"/>
    </row>
    <row r="102" spans="7:27" s="16" customFormat="1" x14ac:dyDescent="0.2">
      <c r="AA102" s="5"/>
    </row>
    <row r="103" spans="7:27" s="16" customFormat="1" ht="13.5" thickBot="1" x14ac:dyDescent="0.25">
      <c r="G103" s="57"/>
      <c r="I103" s="57"/>
      <c r="J103" s="57"/>
      <c r="L103" s="57"/>
      <c r="M103" s="57"/>
      <c r="N103" s="57"/>
      <c r="O103" s="57"/>
      <c r="P103" s="57"/>
      <c r="Q103" s="57"/>
      <c r="R103" s="57"/>
      <c r="S103" s="57"/>
      <c r="T103" s="57"/>
      <c r="U103" s="57"/>
      <c r="V103" s="57"/>
      <c r="W103" s="57"/>
      <c r="X103" s="57"/>
      <c r="Y103" s="57"/>
      <c r="AA103" s="5"/>
    </row>
    <row r="104" spans="7:27" ht="13.5" thickTop="1" x14ac:dyDescent="0.2"/>
    <row r="105" spans="7:27" x14ac:dyDescent="0.2">
      <c r="W105" s="58"/>
      <c r="X105" s="58"/>
      <c r="Y105" s="58"/>
    </row>
    <row r="106" spans="7:27" x14ac:dyDescent="0.2">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2"/>
  <sheetViews>
    <sheetView showGridLines="0" tabSelected="1" zoomScaleNormal="100" workbookViewId="0">
      <pane ySplit="4" topLeftCell="A5" activePane="bottomLeft" state="frozenSplit"/>
      <selection activeCell="G25" sqref="G25"/>
      <selection pane="bottomLeft" activeCell="I66" sqref="I66"/>
    </sheetView>
  </sheetViews>
  <sheetFormatPr defaultRowHeight="12.75" x14ac:dyDescent="0.2"/>
  <cols>
    <col min="1" max="1" width="18.8554687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9.85546875" style="5" bestFit="1" customWidth="1"/>
    <col min="10" max="10" width="9.42578125" style="5" customWidth="1"/>
    <col min="11" max="11" width="4.7109375" style="5" bestFit="1" customWidth="1"/>
    <col min="12" max="14" width="9.5703125" style="5" customWidth="1"/>
    <col min="15" max="15" width="15.28515625" style="5" bestFit="1" customWidth="1"/>
    <col min="16" max="16" width="36.7109375" style="5" bestFit="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82</v>
      </c>
      <c r="B1" s="2"/>
      <c r="C1" s="2"/>
      <c r="D1" s="2"/>
      <c r="E1" s="2"/>
      <c r="F1" s="2"/>
      <c r="G1" s="3"/>
      <c r="H1" s="2"/>
      <c r="I1" s="2"/>
      <c r="J1" s="1" t="s">
        <v>85</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"&amp;YEAR(A21)</f>
        <v>For the Year Ended April 2017</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42" t="str">
        <f>"Total "&amp;F5</f>
        <v>Total Commodity</v>
      </c>
      <c r="P5" s="143"/>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4" t="str">
        <f>+F6</f>
        <v>Revenue</v>
      </c>
      <c r="P6" s="113"/>
    </row>
    <row r="7" spans="1:27" s="16" customFormat="1" ht="11.25" x14ac:dyDescent="0.2">
      <c r="A7" s="15" t="s">
        <v>5</v>
      </c>
      <c r="B7" s="12" t="s">
        <v>6</v>
      </c>
      <c r="C7" s="12"/>
      <c r="D7" s="12" t="s">
        <v>3</v>
      </c>
      <c r="E7" s="12"/>
      <c r="F7" s="12" t="s">
        <v>7</v>
      </c>
      <c r="G7" s="12"/>
      <c r="H7" s="12"/>
      <c r="I7" s="12"/>
      <c r="J7" s="12" t="s">
        <v>6</v>
      </c>
      <c r="K7" s="12"/>
      <c r="O7" s="144" t="str">
        <f>+F7</f>
        <v>per Customer</v>
      </c>
      <c r="P7" s="113"/>
    </row>
    <row r="8" spans="1:27" s="16" customFormat="1" ht="11.25" x14ac:dyDescent="0.2">
      <c r="A8" s="129">
        <f>'Single Family'!$C$6</f>
        <v>42491</v>
      </c>
      <c r="B8" s="112">
        <v>4795</v>
      </c>
      <c r="C8" s="114"/>
      <c r="D8" s="115">
        <f>VLOOKUP(A8,Value!$A$6:$O$17,15,)</f>
        <v>3826.705671179996</v>
      </c>
      <c r="E8" s="114"/>
      <c r="F8" s="16">
        <f t="shared" ref="F8:F17" si="0">ROUND(D8/B8,2)</f>
        <v>0.8</v>
      </c>
      <c r="G8" s="114"/>
      <c r="H8" s="114"/>
      <c r="I8" s="114"/>
      <c r="J8" s="14">
        <f t="shared" ref="J8:J17" si="1">+B8</f>
        <v>4795</v>
      </c>
      <c r="K8" s="13">
        <f t="shared" ref="K8:K17" si="2">YEAR(A8)</f>
        <v>2016</v>
      </c>
      <c r="O8" s="145">
        <f>VLOOKUP(A8,Value!$A$6:$O$17,13,FALSE)</f>
        <v>7653.5944711799957</v>
      </c>
      <c r="P8" s="113"/>
    </row>
    <row r="9" spans="1:27" s="16" customFormat="1" ht="11.25" x14ac:dyDescent="0.2">
      <c r="A9" s="17">
        <f t="shared" ref="A9:A17" si="3">EOMONTH(A8,1)</f>
        <v>42551</v>
      </c>
      <c r="B9" s="112">
        <v>4844</v>
      </c>
      <c r="C9" s="20"/>
      <c r="D9" s="115">
        <f>VLOOKUP(A9,Value!$A$6:$O$17,15,)</f>
        <v>4660.7453863999981</v>
      </c>
      <c r="E9" s="14"/>
      <c r="F9" s="16">
        <f t="shared" si="0"/>
        <v>0.96</v>
      </c>
      <c r="G9" s="14"/>
      <c r="H9" s="14"/>
      <c r="I9" s="14"/>
      <c r="J9" s="14">
        <f t="shared" si="1"/>
        <v>4844</v>
      </c>
      <c r="K9" s="13">
        <f t="shared" si="2"/>
        <v>2016</v>
      </c>
      <c r="O9" s="145">
        <f>VLOOKUP(A9,Value!$A$6:$O$17,13,FALSE)</f>
        <v>9322.0568863999979</v>
      </c>
      <c r="P9" s="113"/>
    </row>
    <row r="10" spans="1:27" s="16" customFormat="1" ht="11.25" x14ac:dyDescent="0.2">
      <c r="A10" s="17">
        <f t="shared" si="3"/>
        <v>42582</v>
      </c>
      <c r="B10" s="112">
        <v>4789</v>
      </c>
      <c r="C10" s="14"/>
      <c r="D10" s="115">
        <f>VLOOKUP(A10,Value!$A$6:$O$17,15,)</f>
        <v>2693.9197457699975</v>
      </c>
      <c r="E10" s="14"/>
      <c r="F10" s="16">
        <f t="shared" si="0"/>
        <v>0.56000000000000005</v>
      </c>
      <c r="G10" s="14"/>
      <c r="H10" s="14"/>
      <c r="I10" s="14"/>
      <c r="J10" s="14">
        <f t="shared" si="1"/>
        <v>4789</v>
      </c>
      <c r="K10" s="13">
        <f t="shared" si="2"/>
        <v>2016</v>
      </c>
      <c r="O10" s="145">
        <f>VLOOKUP(A10,Value!$A$6:$O$17,13,FALSE)</f>
        <v>5388.9253457699979</v>
      </c>
      <c r="P10" s="113"/>
    </row>
    <row r="11" spans="1:27" s="16" customFormat="1" ht="11.25" x14ac:dyDescent="0.2">
      <c r="A11" s="17" t="s">
        <v>92</v>
      </c>
      <c r="B11" s="21">
        <f>SUM(B8:B10)</f>
        <v>14428</v>
      </c>
      <c r="C11" s="20" t="s">
        <v>8</v>
      </c>
      <c r="D11" s="22">
        <f>SUM(D8:D10)</f>
        <v>11181.370803349992</v>
      </c>
      <c r="E11" s="14"/>
      <c r="G11" s="14"/>
      <c r="H11" s="14"/>
      <c r="I11" s="14"/>
      <c r="J11" s="14"/>
      <c r="K11" s="13"/>
      <c r="O11" s="145"/>
      <c r="P11" s="113"/>
    </row>
    <row r="12" spans="1:27" s="16" customFormat="1" ht="11.25" x14ac:dyDescent="0.2">
      <c r="A12" s="17"/>
      <c r="B12" s="14"/>
      <c r="C12" s="14"/>
      <c r="E12" s="14"/>
      <c r="G12" s="14"/>
      <c r="H12" s="14"/>
      <c r="I12" s="14"/>
      <c r="J12" s="14"/>
      <c r="K12" s="13"/>
      <c r="O12" s="145"/>
      <c r="P12" s="113"/>
    </row>
    <row r="13" spans="1:27" s="16" customFormat="1" ht="11.25" x14ac:dyDescent="0.2">
      <c r="A13" s="17">
        <f>EOMONTH(A10,1)</f>
        <v>42613</v>
      </c>
      <c r="B13" s="19">
        <v>4795</v>
      </c>
      <c r="C13" s="14"/>
      <c r="D13" s="115">
        <f>VLOOKUP(A13,Value!$A$6:$O$17,15,)</f>
        <v>4067.2556924999999</v>
      </c>
      <c r="E13" s="14"/>
      <c r="F13" s="16">
        <f t="shared" si="0"/>
        <v>0.85</v>
      </c>
      <c r="G13" s="23"/>
      <c r="H13" s="14"/>
      <c r="I13" s="14"/>
      <c r="J13" s="14">
        <f t="shared" si="1"/>
        <v>4795</v>
      </c>
      <c r="K13" s="13">
        <f t="shared" si="2"/>
        <v>2016</v>
      </c>
      <c r="O13" s="145">
        <f>VLOOKUP(A13,Value!$A$6:$O$17,13,FALSE)</f>
        <v>8134.9556924999997</v>
      </c>
      <c r="P13" s="113"/>
    </row>
    <row r="14" spans="1:27" s="16" customFormat="1" ht="11.25" x14ac:dyDescent="0.2">
      <c r="A14" s="17">
        <f t="shared" si="3"/>
        <v>42643</v>
      </c>
      <c r="B14" s="19">
        <v>4844</v>
      </c>
      <c r="C14" s="14"/>
      <c r="D14" s="115">
        <f>VLOOKUP(A14,Value!$A$6:$O$17,15,)</f>
        <v>3400.1808505199979</v>
      </c>
      <c r="E14" s="14"/>
      <c r="F14" s="16">
        <f t="shared" si="0"/>
        <v>0.7</v>
      </c>
      <c r="G14" s="23"/>
      <c r="H14" s="14"/>
      <c r="I14" s="14"/>
      <c r="J14" s="14">
        <f t="shared" si="1"/>
        <v>4844</v>
      </c>
      <c r="K14" s="13">
        <f t="shared" si="2"/>
        <v>2016</v>
      </c>
      <c r="O14" s="145">
        <f>VLOOKUP(A14,Value!$A$6:$O$17,13,FALSE)</f>
        <v>6800.4372505199981</v>
      </c>
      <c r="P14" s="113"/>
    </row>
    <row r="15" spans="1:27" s="16" customFormat="1" ht="11.25" x14ac:dyDescent="0.2">
      <c r="A15" s="17">
        <f t="shared" si="3"/>
        <v>42674</v>
      </c>
      <c r="B15" s="19">
        <v>4789</v>
      </c>
      <c r="C15" s="14"/>
      <c r="D15" s="115">
        <f>VLOOKUP(A15,Value!$A$6:$O$17,15,)</f>
        <v>4312.7617661999993</v>
      </c>
      <c r="E15" s="14"/>
      <c r="F15" s="16">
        <f t="shared" si="0"/>
        <v>0.9</v>
      </c>
      <c r="G15" s="23"/>
      <c r="H15" s="14"/>
      <c r="I15" s="14"/>
      <c r="J15" s="14">
        <f t="shared" si="1"/>
        <v>4789</v>
      </c>
      <c r="K15" s="13">
        <f t="shared" si="2"/>
        <v>2016</v>
      </c>
      <c r="O15" s="145">
        <f>VLOOKUP(A15,Value!$A$6:$O$17,13,FALSE)</f>
        <v>8626.2277661999997</v>
      </c>
      <c r="P15" s="113"/>
    </row>
    <row r="16" spans="1:27" s="16" customFormat="1" ht="11.25" x14ac:dyDescent="0.2">
      <c r="A16" s="17">
        <f t="shared" si="3"/>
        <v>42704</v>
      </c>
      <c r="B16" s="19">
        <v>4795</v>
      </c>
      <c r="C16" s="14"/>
      <c r="D16" s="115">
        <f>VLOOKUP(A16,Value!$A$6:$O$17,15,)</f>
        <v>5075.4903385500002</v>
      </c>
      <c r="E16" s="14"/>
      <c r="F16" s="16">
        <f t="shared" si="0"/>
        <v>1.06</v>
      </c>
      <c r="G16" s="23"/>
      <c r="H16" s="14"/>
      <c r="I16" s="14"/>
      <c r="J16" s="14">
        <f t="shared" si="1"/>
        <v>4795</v>
      </c>
      <c r="K16" s="13">
        <f t="shared" si="2"/>
        <v>2016</v>
      </c>
      <c r="O16" s="145">
        <f>VLOOKUP(A16,Value!$A$6:$O$17,13,FALSE)</f>
        <v>10151.11233855</v>
      </c>
      <c r="P16" s="113"/>
    </row>
    <row r="17" spans="1:27" s="16" customFormat="1" ht="11.25" x14ac:dyDescent="0.2">
      <c r="A17" s="17">
        <f t="shared" si="3"/>
        <v>42735</v>
      </c>
      <c r="B17" s="19">
        <v>4844</v>
      </c>
      <c r="C17" s="14"/>
      <c r="D17" s="115">
        <f>VLOOKUP(A17,Value!$A$6:$O$17,15,)</f>
        <v>4920.5033476339968</v>
      </c>
      <c r="E17" s="14"/>
      <c r="F17" s="16">
        <f t="shared" si="0"/>
        <v>1.02</v>
      </c>
      <c r="G17" s="23"/>
      <c r="H17" s="14"/>
      <c r="I17" s="14"/>
      <c r="J17" s="14">
        <f t="shared" si="1"/>
        <v>4844</v>
      </c>
      <c r="K17" s="13">
        <f t="shared" si="2"/>
        <v>2016</v>
      </c>
      <c r="O17" s="145">
        <f>VLOOKUP(A17,Value!$A$6:$O$17,13,FALSE)</f>
        <v>9840.9795976339974</v>
      </c>
      <c r="P17" s="113"/>
    </row>
    <row r="18" spans="1:27" s="16" customFormat="1" ht="11.25" x14ac:dyDescent="0.2">
      <c r="A18" s="17">
        <f>EOMONTH(A17,1)</f>
        <v>42766</v>
      </c>
      <c r="B18" s="19">
        <v>4789</v>
      </c>
      <c r="C18" s="14"/>
      <c r="D18" s="115">
        <f>VLOOKUP(A18,Value!$A$6:$O$17,15,)</f>
        <v>4069.2719887039975</v>
      </c>
      <c r="E18" s="14"/>
      <c r="F18" s="16">
        <f>ROUND(D18/B18,2)</f>
        <v>0.85</v>
      </c>
      <c r="G18" s="23"/>
      <c r="H18" s="14"/>
      <c r="I18" s="14"/>
      <c r="J18" s="14">
        <f>+B18</f>
        <v>4789</v>
      </c>
      <c r="K18" s="13">
        <f>YEAR(A18)</f>
        <v>2017</v>
      </c>
      <c r="O18" s="145">
        <f>VLOOKUP(A18,Value!$A$6:$O$17,13,FALSE)</f>
        <v>8139.5394887039974</v>
      </c>
      <c r="P18" s="113"/>
      <c r="X18" s="14"/>
      <c r="Y18" s="14"/>
    </row>
    <row r="19" spans="1:27" s="16" customFormat="1" ht="11.25" x14ac:dyDescent="0.2">
      <c r="A19" s="17">
        <f>EOMONTH(A18,1)</f>
        <v>42794</v>
      </c>
      <c r="B19" s="19">
        <v>4795</v>
      </c>
      <c r="C19" s="14"/>
      <c r="D19" s="115">
        <f>VLOOKUP(A19,Value!$A$6:$O$17,15,)</f>
        <v>3844.1425845059975</v>
      </c>
      <c r="E19" s="14"/>
      <c r="F19" s="16">
        <f>ROUND(D19/B19,2)</f>
        <v>0.8</v>
      </c>
      <c r="G19" s="23"/>
      <c r="H19" s="14"/>
      <c r="I19" s="14"/>
      <c r="J19" s="14">
        <f>+B19</f>
        <v>4795</v>
      </c>
      <c r="K19" s="13">
        <f>YEAR(A19)</f>
        <v>2017</v>
      </c>
      <c r="L19" s="14"/>
      <c r="M19" s="14"/>
      <c r="N19" s="14"/>
      <c r="O19" s="145">
        <f>VLOOKUP(A19,Value!$A$6:$O$17,13,FALSE)</f>
        <v>7688.1022845059979</v>
      </c>
      <c r="P19" s="35"/>
      <c r="Q19" s="14"/>
      <c r="R19" s="14"/>
      <c r="S19" s="14"/>
      <c r="T19" s="14"/>
      <c r="U19" s="14"/>
      <c r="V19" s="14"/>
      <c r="W19" s="14"/>
      <c r="Y19" s="14"/>
      <c r="AA19" s="14"/>
    </row>
    <row r="20" spans="1:27" s="16" customFormat="1" ht="11.25" x14ac:dyDescent="0.2">
      <c r="A20" s="17">
        <f>EOMONTH(A19,1)</f>
        <v>42825</v>
      </c>
      <c r="B20" s="19">
        <v>4844</v>
      </c>
      <c r="C20" s="14"/>
      <c r="D20" s="115">
        <f>VLOOKUP(A20,Value!$A$6:$O$17,15,)</f>
        <v>4626.4310296199974</v>
      </c>
      <c r="E20" s="14"/>
      <c r="F20" s="16">
        <f>ROUND(D20/B20,2)</f>
        <v>0.96</v>
      </c>
      <c r="G20" s="23"/>
      <c r="H20" s="20"/>
      <c r="I20" s="14"/>
      <c r="J20" s="14">
        <f>+B20</f>
        <v>4844</v>
      </c>
      <c r="K20" s="13">
        <f>YEAR(A20)</f>
        <v>2017</v>
      </c>
      <c r="O20" s="145">
        <f>VLOOKUP(A20,Value!$A$6:$O$17,13,FALSE)</f>
        <v>9253.0070296199974</v>
      </c>
      <c r="P20" s="113"/>
    </row>
    <row r="21" spans="1:27" s="16" customFormat="1" ht="11.25" x14ac:dyDescent="0.2">
      <c r="A21" s="17">
        <f>EOMONTH(A20,1)</f>
        <v>42855</v>
      </c>
      <c r="B21" s="19">
        <v>4789</v>
      </c>
      <c r="C21" s="14"/>
      <c r="D21" s="115">
        <f>VLOOKUP(A21,Value!$A$6:$O$17,15,)</f>
        <v>2899.0355844999976</v>
      </c>
      <c r="E21" s="14"/>
      <c r="F21" s="16">
        <f>ROUND(D21/B21,2)</f>
        <v>0.61</v>
      </c>
      <c r="G21" s="23"/>
      <c r="H21" s="20"/>
      <c r="I21" s="14"/>
      <c r="J21" s="14">
        <f>+B21</f>
        <v>4789</v>
      </c>
      <c r="K21" s="13">
        <f>YEAR(A21)</f>
        <v>2017</v>
      </c>
      <c r="O21" s="145">
        <f>VLOOKUP(A21,Value!$A$6:$O$17,13,FALSE)</f>
        <v>5798.0008844999975</v>
      </c>
      <c r="P21" s="113"/>
    </row>
    <row r="22" spans="1:27" s="16" customFormat="1" ht="11.25" x14ac:dyDescent="0.2">
      <c r="A22" s="17"/>
      <c r="B22" s="14"/>
      <c r="C22" s="14"/>
      <c r="E22" s="14"/>
      <c r="G22" s="14"/>
      <c r="H22" s="14"/>
      <c r="I22" s="14"/>
      <c r="J22" s="14"/>
      <c r="K22" s="13"/>
      <c r="O22" s="146"/>
    </row>
    <row r="23" spans="1:27" s="16" customFormat="1" ht="11.25" x14ac:dyDescent="0.2">
      <c r="A23" s="17" t="s">
        <v>93</v>
      </c>
      <c r="B23" s="21">
        <f>SUM(B12:B22)</f>
        <v>43284</v>
      </c>
      <c r="C23" s="20" t="s">
        <v>9</v>
      </c>
      <c r="D23" s="22">
        <f>SUM(D12:D22)</f>
        <v>37215.073182733977</v>
      </c>
      <c r="E23" s="14"/>
      <c r="G23" s="14"/>
      <c r="H23" s="14"/>
      <c r="I23" s="14"/>
      <c r="J23" s="14"/>
      <c r="K23" s="13"/>
      <c r="O23" s="146"/>
      <c r="P23" s="147" t="s">
        <v>86</v>
      </c>
    </row>
    <row r="24" spans="1:27" x14ac:dyDescent="0.2">
      <c r="D24" s="25"/>
      <c r="O24" s="146">
        <f>SUM(O8:O23)</f>
        <v>96796.939036083975</v>
      </c>
      <c r="P24" s="120"/>
    </row>
    <row r="25" spans="1:27" s="16" customFormat="1" ht="12" thickBot="1" x14ac:dyDescent="0.25">
      <c r="A25" s="26"/>
      <c r="B25" s="27">
        <f>+B11+B23</f>
        <v>57712</v>
      </c>
      <c r="C25" s="20"/>
      <c r="D25" s="28">
        <f>+D11+D23</f>
        <v>48396.44398608397</v>
      </c>
      <c r="E25" s="20" t="s">
        <v>10</v>
      </c>
      <c r="F25" s="23">
        <f>ROUND(D25/B25,3)</f>
        <v>0.83899999999999997</v>
      </c>
      <c r="G25" s="20" t="s">
        <v>11</v>
      </c>
      <c r="H25" s="14"/>
      <c r="I25" s="14"/>
      <c r="J25" s="27">
        <f>SUM(J8:J24)</f>
        <v>57712</v>
      </c>
      <c r="K25" s="20" t="s">
        <v>12</v>
      </c>
      <c r="O25" s="148">
        <f>ROUND(O24/J25,3)</f>
        <v>1.677</v>
      </c>
      <c r="P25" s="113" t="s">
        <v>87</v>
      </c>
    </row>
    <row r="26" spans="1:27" s="16" customFormat="1" ht="12" thickTop="1" x14ac:dyDescent="0.2">
      <c r="B26" s="14"/>
      <c r="C26" s="14"/>
      <c r="D26" s="14"/>
      <c r="E26" s="14"/>
      <c r="F26" s="14"/>
      <c r="G26" s="14"/>
      <c r="H26" s="14"/>
      <c r="I26" s="14"/>
      <c r="J26" s="14"/>
      <c r="K26" s="14"/>
      <c r="O26" s="149">
        <f>+J21</f>
        <v>4789</v>
      </c>
      <c r="P26" s="113" t="s">
        <v>88</v>
      </c>
    </row>
    <row r="27" spans="1:27" s="16" customFormat="1" ht="11.25" x14ac:dyDescent="0.2">
      <c r="B27" s="14"/>
      <c r="C27" s="14"/>
      <c r="D27" s="14"/>
      <c r="E27" s="14"/>
      <c r="F27" s="14"/>
      <c r="G27" s="14"/>
      <c r="H27" s="14"/>
      <c r="I27" s="14"/>
      <c r="J27" s="14"/>
      <c r="K27" s="14"/>
      <c r="O27" s="113"/>
      <c r="P27" s="113" t="s">
        <v>89</v>
      </c>
    </row>
    <row r="28" spans="1:27" s="16" customFormat="1" ht="12" thickBot="1" x14ac:dyDescent="0.25">
      <c r="B28" s="29" t="s">
        <v>13</v>
      </c>
      <c r="C28" s="30"/>
      <c r="D28" s="30"/>
      <c r="E28" s="30"/>
      <c r="F28" s="14"/>
      <c r="G28" s="14"/>
      <c r="H28" s="14"/>
      <c r="I28" s="14"/>
      <c r="J28" s="14"/>
      <c r="K28" s="14"/>
    </row>
    <row r="29" spans="1:27" s="16" customFormat="1" ht="12" thickTop="1" x14ac:dyDescent="0.2">
      <c r="A29" s="6"/>
      <c r="B29" s="31"/>
      <c r="C29" s="14"/>
      <c r="D29" s="14"/>
      <c r="E29" s="14"/>
      <c r="F29" s="14"/>
      <c r="G29" s="14"/>
      <c r="H29" s="14"/>
      <c r="I29" s="14"/>
      <c r="J29" s="14"/>
      <c r="K29" s="14"/>
      <c r="X29" s="14"/>
      <c r="Y29" s="14"/>
    </row>
    <row r="30" spans="1:27" s="16" customFormat="1" ht="11.25" x14ac:dyDescent="0.2">
      <c r="A30" s="8"/>
      <c r="B30" s="31"/>
      <c r="C30" s="14"/>
      <c r="D30" s="14"/>
      <c r="E30" s="14"/>
      <c r="F30" s="32" t="s">
        <v>14</v>
      </c>
      <c r="G30" s="14">
        <f>ROUND(D25,0)</f>
        <v>48396</v>
      </c>
      <c r="H30" s="20" t="s">
        <v>10</v>
      </c>
      <c r="I30" s="14"/>
      <c r="J30" s="14"/>
      <c r="K30" s="14"/>
    </row>
    <row r="31" spans="1:27" s="13" customFormat="1" ht="11.25" x14ac:dyDescent="0.2">
      <c r="A31" s="33"/>
      <c r="B31" s="31"/>
      <c r="C31" s="14"/>
      <c r="D31" s="14"/>
      <c r="E31" s="14"/>
      <c r="F31" s="14"/>
      <c r="G31" s="14"/>
      <c r="H31" s="20"/>
      <c r="I31" s="14"/>
      <c r="J31" s="14"/>
      <c r="K31" s="14"/>
      <c r="O31" s="16">
        <f>12*O26*O25</f>
        <v>96373.835999999996</v>
      </c>
      <c r="P31" s="13" t="s">
        <v>90</v>
      </c>
      <c r="W31" s="14"/>
      <c r="X31" s="16"/>
      <c r="Y31" s="16"/>
      <c r="AA31" s="14"/>
    </row>
    <row r="32" spans="1:27" s="16" customFormat="1" ht="11.25" x14ac:dyDescent="0.2">
      <c r="B32" s="14" t="s">
        <v>15</v>
      </c>
      <c r="C32" s="14"/>
      <c r="D32" s="14"/>
      <c r="E32" s="14"/>
      <c r="F32" s="34">
        <v>0.78</v>
      </c>
      <c r="G32" s="14"/>
      <c r="H32" s="14"/>
      <c r="I32" s="14"/>
      <c r="J32" s="14"/>
      <c r="K32" s="14"/>
      <c r="O32" s="16">
        <f>12*O26*G55</f>
        <v>48217.669965287503</v>
      </c>
      <c r="P32" s="16" t="s">
        <v>91</v>
      </c>
    </row>
    <row r="33" spans="2:27" s="16" customFormat="1" ht="11.25" x14ac:dyDescent="0.2">
      <c r="B33" s="14"/>
      <c r="C33" s="14" t="str">
        <f>"Customers from "&amp;TEXT($A$8,"mm/yy")&amp;" - "&amp;TEXT($A$10,"mm/yy")</f>
        <v>Customers from 05/16 - 07/16</v>
      </c>
      <c r="D33" s="14"/>
      <c r="E33" s="14"/>
      <c r="F33" s="35">
        <f>+B11</f>
        <v>14428</v>
      </c>
      <c r="G33" s="20" t="s">
        <v>8</v>
      </c>
      <c r="H33" s="14"/>
      <c r="I33" s="14"/>
      <c r="J33" s="14"/>
      <c r="K33" s="14"/>
      <c r="O33" s="150">
        <f>+O32/O31</f>
        <v>0.5003190903938648</v>
      </c>
    </row>
    <row r="34" spans="2:27" s="16" customFormat="1" ht="11.25" x14ac:dyDescent="0.2">
      <c r="B34" s="14"/>
      <c r="C34" s="14" t="s">
        <v>16</v>
      </c>
      <c r="D34" s="14"/>
      <c r="E34" s="14"/>
      <c r="F34" s="21">
        <f>ROUND(F32*F33,0)</f>
        <v>11254</v>
      </c>
      <c r="G34" s="20"/>
      <c r="H34" s="14"/>
      <c r="I34" s="14"/>
      <c r="J34" s="14"/>
      <c r="K34" s="14"/>
    </row>
    <row r="35" spans="2:27" s="16" customFormat="1" ht="11.25" x14ac:dyDescent="0.2">
      <c r="B35" s="14"/>
      <c r="C35" s="14"/>
      <c r="D35" s="14"/>
      <c r="E35" s="14"/>
      <c r="F35" s="35"/>
      <c r="G35" s="20"/>
      <c r="H35" s="14"/>
      <c r="I35" s="14"/>
      <c r="J35" s="14"/>
      <c r="K35" s="14"/>
    </row>
    <row r="36" spans="2:27" s="16" customFormat="1" ht="11.25" x14ac:dyDescent="0.2">
      <c r="B36" s="14" t="s">
        <v>15</v>
      </c>
      <c r="C36" s="14"/>
      <c r="D36" s="14"/>
      <c r="E36" s="14"/>
      <c r="F36" s="34">
        <v>0.73</v>
      </c>
      <c r="G36" s="14"/>
      <c r="H36" s="14"/>
      <c r="I36" s="14"/>
      <c r="J36" s="14"/>
      <c r="K36" s="14"/>
    </row>
    <row r="37" spans="2:27" s="16" customFormat="1" ht="11.25" x14ac:dyDescent="0.2">
      <c r="B37" s="14"/>
      <c r="C37" s="14" t="str">
        <f>"Customers from "&amp;TEXT($A$13,"mm/yy")&amp;" - "&amp;TEXT($A$21,"mm/yy")</f>
        <v>Customers from 08/16 - 04/17</v>
      </c>
      <c r="D37" s="14"/>
      <c r="E37" s="14"/>
      <c r="F37" s="14">
        <f>+B23</f>
        <v>43284</v>
      </c>
      <c r="G37" s="20" t="s">
        <v>9</v>
      </c>
      <c r="H37" s="14"/>
      <c r="I37" s="14"/>
      <c r="J37" s="14"/>
      <c r="K37" s="14"/>
    </row>
    <row r="38" spans="2:27" s="16" customFormat="1" ht="11.25" x14ac:dyDescent="0.2">
      <c r="B38" s="14"/>
      <c r="C38" s="14" t="s">
        <v>16</v>
      </c>
      <c r="D38" s="14"/>
      <c r="E38" s="14"/>
      <c r="F38" s="21">
        <f>ROUND(F36*F37,0)</f>
        <v>31597</v>
      </c>
      <c r="G38" s="20"/>
      <c r="H38" s="14"/>
      <c r="I38" s="14"/>
      <c r="J38" s="14"/>
      <c r="K38" s="14"/>
    </row>
    <row r="39" spans="2:27" s="16" customFormat="1" ht="11.25" x14ac:dyDescent="0.2">
      <c r="B39" s="14"/>
      <c r="C39" s="14"/>
      <c r="D39" s="14"/>
      <c r="E39" s="14"/>
      <c r="F39" s="36"/>
      <c r="G39" s="20"/>
      <c r="H39" s="14"/>
      <c r="I39" s="14"/>
      <c r="J39" s="14"/>
      <c r="K39" s="14"/>
    </row>
    <row r="40" spans="2:27" s="16" customFormat="1" ht="12" thickBot="1" x14ac:dyDescent="0.25">
      <c r="B40" s="14"/>
      <c r="C40" s="14" t="s">
        <v>17</v>
      </c>
      <c r="D40" s="14"/>
      <c r="E40" s="14"/>
      <c r="F40" s="27">
        <f>+F34+F38</f>
        <v>42851</v>
      </c>
      <c r="G40" s="37">
        <f>+F40</f>
        <v>42851</v>
      </c>
      <c r="H40" s="14"/>
      <c r="I40" s="14"/>
      <c r="J40" s="14"/>
      <c r="K40" s="14"/>
    </row>
    <row r="41" spans="2:27" s="16" customFormat="1" ht="12" thickTop="1" x14ac:dyDescent="0.2">
      <c r="B41" s="14"/>
      <c r="C41" s="14"/>
      <c r="D41" s="14"/>
      <c r="E41" s="14"/>
      <c r="F41" s="14"/>
      <c r="G41" s="14"/>
      <c r="H41" s="14"/>
      <c r="I41" s="14"/>
      <c r="J41" s="14"/>
      <c r="K41" s="14"/>
    </row>
    <row r="42" spans="2:27" s="16" customFormat="1" ht="11.25" x14ac:dyDescent="0.2">
      <c r="B42" s="14"/>
      <c r="C42" s="14"/>
      <c r="D42" s="14"/>
      <c r="E42" s="14"/>
      <c r="F42" s="14"/>
      <c r="G42" s="14"/>
      <c r="H42" s="14"/>
      <c r="I42" s="14"/>
      <c r="J42" s="14"/>
      <c r="K42" s="14"/>
    </row>
    <row r="43" spans="2:27" s="16" customFormat="1" ht="12" thickBot="1" x14ac:dyDescent="0.25">
      <c r="B43" s="14"/>
      <c r="C43" s="14"/>
      <c r="D43" s="14"/>
      <c r="E43" s="14"/>
      <c r="F43" s="32" t="s">
        <v>18</v>
      </c>
      <c r="G43" s="38">
        <f>+G30-G40</f>
        <v>5545</v>
      </c>
      <c r="H43" s="14"/>
      <c r="I43" s="14"/>
      <c r="J43" s="14"/>
      <c r="K43" s="14"/>
    </row>
    <row r="44" spans="2:27" s="16" customFormat="1" ht="12" thickTop="1" x14ac:dyDescent="0.2">
      <c r="B44" s="14"/>
      <c r="C44" s="14"/>
      <c r="D44" s="14"/>
      <c r="E44" s="14"/>
      <c r="F44" s="14"/>
      <c r="G44" s="14"/>
      <c r="H44" s="14"/>
      <c r="I44" s="14"/>
      <c r="J44" s="14"/>
      <c r="K44" s="14"/>
      <c r="Y44" s="14"/>
    </row>
    <row r="45" spans="2:27" s="16" customFormat="1" ht="11.25" x14ac:dyDescent="0.2">
      <c r="B45" s="14"/>
      <c r="C45" s="14"/>
      <c r="D45" s="14"/>
      <c r="E45" s="14"/>
      <c r="F45" s="14"/>
      <c r="G45" s="14"/>
      <c r="H45" s="14"/>
      <c r="I45" s="14"/>
      <c r="J45" s="14"/>
      <c r="K45" s="14"/>
    </row>
    <row r="46" spans="2:27" s="16" customFormat="1" ht="12" thickBot="1" x14ac:dyDescent="0.25">
      <c r="B46" s="29" t="str">
        <f>$K$21+1&amp;" Recycle Adjustment Calculation"</f>
        <v>2018 Recycle Adjustment Calculation</v>
      </c>
      <c r="C46" s="30"/>
      <c r="D46" s="30"/>
      <c r="E46" s="30"/>
      <c r="F46" s="30"/>
      <c r="G46" s="14"/>
      <c r="H46" s="14"/>
      <c r="I46" s="14"/>
      <c r="J46" s="14"/>
      <c r="K46" s="14"/>
    </row>
    <row r="47" spans="2:27" s="16" customFormat="1" ht="12" thickTop="1" x14ac:dyDescent="0.2">
      <c r="B47" s="31"/>
      <c r="C47" s="14"/>
      <c r="D47" s="14"/>
      <c r="E47" s="14"/>
      <c r="F47" s="14"/>
      <c r="G47" s="14"/>
      <c r="H47" s="14"/>
      <c r="I47" s="14"/>
      <c r="J47" s="14"/>
      <c r="K47" s="14"/>
      <c r="L47" s="14"/>
      <c r="M47" s="14"/>
      <c r="N47" s="14"/>
      <c r="O47" s="14"/>
      <c r="P47" s="14"/>
      <c r="Q47" s="14"/>
      <c r="R47" s="14"/>
      <c r="S47" s="14"/>
      <c r="T47" s="14"/>
      <c r="U47" s="14"/>
      <c r="V47" s="14"/>
      <c r="W47" s="14"/>
      <c r="AA47" s="14"/>
    </row>
    <row r="48" spans="2:27" s="16" customFormat="1" ht="11.25" x14ac:dyDescent="0.2">
      <c r="B48" s="14" t="str">
        <f>$K$10&amp;"/"&amp;$K$21&amp;" True-up Computation"</f>
        <v>2016/2017 True-up Computation</v>
      </c>
      <c r="C48" s="14"/>
      <c r="D48" s="14"/>
      <c r="E48" s="14"/>
      <c r="F48" s="14"/>
      <c r="G48" s="14"/>
      <c r="H48" s="14"/>
      <c r="I48" s="14"/>
      <c r="J48" s="14"/>
      <c r="K48" s="14"/>
    </row>
    <row r="49" spans="1:25" s="16" customFormat="1" ht="11.25" x14ac:dyDescent="0.2">
      <c r="B49" s="14"/>
      <c r="C49" s="14"/>
      <c r="D49" s="14"/>
      <c r="E49" s="14"/>
      <c r="F49" s="32" t="s">
        <v>20</v>
      </c>
      <c r="G49" s="14">
        <f>+B21*12</f>
        <v>57468</v>
      </c>
      <c r="H49" s="20" t="s">
        <v>12</v>
      </c>
      <c r="I49" s="14"/>
      <c r="J49" s="14"/>
      <c r="K49" s="14"/>
    </row>
    <row r="50" spans="1:25" s="16" customFormat="1" ht="11.25" x14ac:dyDescent="0.2">
      <c r="B50" s="14"/>
      <c r="C50" s="14"/>
      <c r="D50" s="14"/>
      <c r="E50" s="14"/>
      <c r="F50" s="32" t="s">
        <v>18</v>
      </c>
      <c r="G50" s="14">
        <f>+G43</f>
        <v>5545</v>
      </c>
      <c r="H50" s="14"/>
      <c r="I50" s="14"/>
      <c r="J50" s="14"/>
      <c r="K50" s="14"/>
    </row>
    <row r="51" spans="1:25" s="16" customFormat="1" ht="11.25" x14ac:dyDescent="0.2">
      <c r="B51" s="14"/>
      <c r="C51" s="14"/>
      <c r="D51" s="14"/>
      <c r="E51" s="14"/>
      <c r="F51" s="32"/>
      <c r="G51" s="14"/>
      <c r="H51" s="14"/>
      <c r="I51" s="14"/>
      <c r="J51" s="14"/>
      <c r="K51" s="14"/>
    </row>
    <row r="52" spans="1:25" s="16" customFormat="1" ht="12" thickBot="1" x14ac:dyDescent="0.25">
      <c r="B52" s="14"/>
      <c r="C52" s="14"/>
      <c r="D52" s="14"/>
      <c r="E52" s="14"/>
      <c r="F52" s="32" t="s">
        <v>97</v>
      </c>
      <c r="G52" s="39">
        <f>ROUND(G50/G49,3)</f>
        <v>9.6000000000000002E-2</v>
      </c>
      <c r="H52" s="14"/>
      <c r="I52" s="23">
        <f>+G52</f>
        <v>9.6000000000000002E-2</v>
      </c>
      <c r="J52" s="14"/>
      <c r="K52" s="14"/>
    </row>
    <row r="53" spans="1:25" s="16" customFormat="1" ht="12" thickTop="1" x14ac:dyDescent="0.2">
      <c r="B53" s="14"/>
      <c r="C53" s="14"/>
      <c r="D53" s="14"/>
      <c r="E53" s="14"/>
      <c r="F53" s="32"/>
      <c r="G53" s="14"/>
      <c r="H53" s="14"/>
      <c r="I53" s="23"/>
      <c r="J53" s="14"/>
      <c r="K53" s="14"/>
      <c r="N53" s="151" t="s">
        <v>94</v>
      </c>
      <c r="Y53" s="14"/>
    </row>
    <row r="54" spans="1:25" s="16" customFormat="1" ht="11.25" x14ac:dyDescent="0.2">
      <c r="B54" s="14" t="str">
        <f>$K$21+1&amp;" Projected Credit"</f>
        <v>2018 Projected Credit</v>
      </c>
      <c r="C54" s="14"/>
      <c r="D54" s="14"/>
      <c r="E54" s="14"/>
      <c r="F54" s="32"/>
      <c r="G54" s="14"/>
      <c r="H54" s="14"/>
      <c r="I54" s="23"/>
      <c r="J54" s="14"/>
      <c r="K54" s="14"/>
      <c r="N54" s="152">
        <f>+'[1]WUTC_AW of Kent_MF'!$O$56</f>
        <v>0.5</v>
      </c>
    </row>
    <row r="55" spans="1:25" s="16" customFormat="1" ht="12" thickBot="1" x14ac:dyDescent="0.25">
      <c r="B55" s="31"/>
      <c r="C55" s="14"/>
      <c r="D55" s="14"/>
      <c r="E55" s="14"/>
      <c r="F55" s="32" t="s">
        <v>79</v>
      </c>
      <c r="G55" s="153">
        <f>+F25/Value!P18*$N$54</f>
        <v>0.83903511459051128</v>
      </c>
      <c r="H55" s="14"/>
      <c r="I55" s="23">
        <f>+G55</f>
        <v>0.83903511459051128</v>
      </c>
      <c r="J55" s="20" t="s">
        <v>11</v>
      </c>
      <c r="K55" s="14"/>
    </row>
    <row r="56" spans="1:25" s="14" customFormat="1" ht="12" thickTop="1" x14ac:dyDescent="0.2">
      <c r="B56" s="31"/>
      <c r="I56" s="23"/>
      <c r="X56" s="16"/>
      <c r="Y56" s="16"/>
    </row>
    <row r="57" spans="1:25" s="16" customFormat="1" ht="12" thickBot="1" x14ac:dyDescent="0.25">
      <c r="B57" s="14"/>
      <c r="C57" s="14"/>
      <c r="D57" s="14"/>
      <c r="E57" s="14"/>
      <c r="F57" s="14"/>
      <c r="G57" s="32" t="str">
        <f>$K$21+1&amp;" Adjusted Credit"</f>
        <v>2018 Adjusted Credit</v>
      </c>
      <c r="H57" s="27"/>
      <c r="I57" s="39">
        <f>+I52+I55</f>
        <v>0.93503511459051125</v>
      </c>
      <c r="J57" s="14"/>
      <c r="K57" s="14"/>
    </row>
    <row r="58" spans="1:25" s="16" customFormat="1" ht="12" thickTop="1" x14ac:dyDescent="0.2">
      <c r="I58" s="23"/>
    </row>
    <row r="59" spans="1:25" s="16" customFormat="1" ht="11.25" x14ac:dyDescent="0.2"/>
    <row r="60" spans="1:25" s="16" customFormat="1" ht="11.25" x14ac:dyDescent="0.2"/>
    <row r="61" spans="1:25" s="16" customFormat="1" ht="11.25" x14ac:dyDescent="0.2"/>
    <row r="62" spans="1:25" s="16" customFormat="1" ht="11.25" x14ac:dyDescent="0.2">
      <c r="G62" s="139" t="s">
        <v>83</v>
      </c>
      <c r="I62" s="164">
        <f>'[2]2016-2017'!$C$8</f>
        <v>19026.311999999998</v>
      </c>
    </row>
    <row r="63" spans="1:25" s="16" customFormat="1" ht="11.25" x14ac:dyDescent="0.2">
      <c r="A63" s="113"/>
      <c r="B63" s="113"/>
      <c r="C63" s="113"/>
      <c r="D63" s="113"/>
      <c r="E63" s="113"/>
      <c r="F63" s="113"/>
    </row>
    <row r="64" spans="1:25" s="16" customFormat="1" ht="11.25" x14ac:dyDescent="0.2">
      <c r="A64" s="116"/>
      <c r="B64" s="35"/>
      <c r="C64" s="118"/>
      <c r="D64" s="113"/>
      <c r="E64" s="113"/>
      <c r="F64" s="113"/>
      <c r="G64" s="139" t="s">
        <v>84</v>
      </c>
      <c r="I64" s="165">
        <f>I62/(B16*12)</f>
        <v>0.33066235662148069</v>
      </c>
    </row>
    <row r="65" spans="1:27" s="16" customFormat="1" ht="11.25" x14ac:dyDescent="0.2">
      <c r="A65" s="116"/>
      <c r="B65" s="35"/>
      <c r="C65" s="35"/>
      <c r="D65" s="113"/>
      <c r="E65" s="113"/>
      <c r="F65" s="113"/>
    </row>
    <row r="66" spans="1:27" s="16" customFormat="1" ht="12" thickBot="1" x14ac:dyDescent="0.25">
      <c r="A66" s="116"/>
      <c r="B66" s="117"/>
      <c r="C66" s="35"/>
      <c r="D66" s="113"/>
      <c r="E66" s="113"/>
      <c r="F66" s="113"/>
      <c r="G66" s="32" t="str">
        <f>$K$21+1&amp;" Net Credit/(Debit)"</f>
        <v>2018 Net Credit/(Debit)</v>
      </c>
      <c r="H66" s="27"/>
      <c r="I66" s="166">
        <f>+I57+I64</f>
        <v>1.2656974712119919</v>
      </c>
    </row>
    <row r="67" spans="1:27" s="16" customFormat="1" ht="12" thickTop="1" x14ac:dyDescent="0.2">
      <c r="A67" s="116"/>
      <c r="B67" s="117"/>
      <c r="C67" s="35"/>
      <c r="D67" s="113"/>
      <c r="E67" s="113"/>
      <c r="F67" s="113"/>
    </row>
    <row r="68" spans="1:27" s="16" customFormat="1" ht="11.25" x14ac:dyDescent="0.2">
      <c r="A68" s="116"/>
      <c r="B68" s="117"/>
      <c r="C68" s="35"/>
      <c r="D68" s="113"/>
      <c r="E68" s="113"/>
      <c r="F68" s="113"/>
    </row>
    <row r="69" spans="1:27" s="16" customFormat="1" ht="11.25" x14ac:dyDescent="0.2">
      <c r="A69" s="116"/>
      <c r="B69" s="117"/>
      <c r="C69" s="35"/>
      <c r="D69" s="113"/>
      <c r="E69" s="113"/>
      <c r="F69" s="113"/>
      <c r="Y69" s="14"/>
    </row>
    <row r="70" spans="1:27" s="16" customFormat="1" ht="11.25" x14ac:dyDescent="0.2">
      <c r="A70" s="116"/>
      <c r="B70" s="117"/>
      <c r="C70" s="35"/>
      <c r="D70" s="113"/>
      <c r="E70" s="113"/>
      <c r="F70" s="113"/>
    </row>
    <row r="71" spans="1:27" s="16" customFormat="1" ht="11.25" x14ac:dyDescent="0.2">
      <c r="A71" s="116"/>
      <c r="B71" s="117"/>
      <c r="C71" s="35"/>
      <c r="D71" s="113"/>
      <c r="E71" s="113"/>
      <c r="F71" s="113"/>
    </row>
    <row r="72" spans="1:27" s="16" customFormat="1" ht="11.25" x14ac:dyDescent="0.2">
      <c r="A72" s="116"/>
      <c r="B72" s="117"/>
      <c r="C72" s="35"/>
      <c r="D72" s="113"/>
      <c r="E72" s="113"/>
      <c r="F72" s="113"/>
    </row>
    <row r="73" spans="1:27" s="16" customFormat="1" ht="11.25" x14ac:dyDescent="0.2">
      <c r="A73" s="116"/>
      <c r="B73" s="117"/>
      <c r="C73" s="35"/>
      <c r="D73" s="113"/>
      <c r="E73" s="119"/>
      <c r="F73" s="113"/>
      <c r="G73" s="14"/>
      <c r="H73" s="13"/>
      <c r="I73" s="14"/>
      <c r="J73" s="14"/>
      <c r="K73" s="13"/>
      <c r="L73" s="14"/>
      <c r="M73" s="14"/>
      <c r="N73" s="14"/>
      <c r="O73" s="14"/>
      <c r="P73" s="14"/>
      <c r="Q73" s="14"/>
      <c r="R73" s="14"/>
      <c r="S73" s="14"/>
      <c r="T73" s="14"/>
      <c r="U73" s="14"/>
      <c r="V73" s="13"/>
      <c r="W73" s="14"/>
      <c r="AA73" s="14"/>
    </row>
    <row r="74" spans="1:27" s="16" customFormat="1" ht="11.25" x14ac:dyDescent="0.2">
      <c r="A74" s="116"/>
      <c r="B74" s="117"/>
      <c r="C74" s="35"/>
      <c r="D74" s="113"/>
      <c r="E74" s="113"/>
      <c r="F74" s="113"/>
    </row>
    <row r="75" spans="1:27" s="16" customFormat="1" ht="11.25" x14ac:dyDescent="0.2">
      <c r="A75" s="116"/>
      <c r="B75" s="35"/>
      <c r="C75" s="35"/>
      <c r="D75" s="113"/>
      <c r="E75" s="113"/>
      <c r="F75" s="113"/>
    </row>
    <row r="76" spans="1:27" s="16" customFormat="1" ht="11.25" x14ac:dyDescent="0.2">
      <c r="A76" s="116"/>
      <c r="B76" s="35"/>
      <c r="C76" s="118"/>
      <c r="D76" s="113"/>
      <c r="E76" s="113"/>
      <c r="F76" s="113"/>
    </row>
    <row r="77" spans="1:27" s="16" customFormat="1" x14ac:dyDescent="0.2">
      <c r="A77" s="120"/>
      <c r="B77" s="120"/>
      <c r="C77" s="120"/>
      <c r="D77" s="121"/>
      <c r="E77" s="113"/>
      <c r="F77" s="120"/>
    </row>
    <row r="78" spans="1:27" s="16" customFormat="1" ht="11.25" x14ac:dyDescent="0.2">
      <c r="A78" s="122"/>
      <c r="B78" s="35"/>
      <c r="C78" s="118"/>
      <c r="D78" s="113"/>
      <c r="E78" s="113"/>
      <c r="F78" s="123"/>
      <c r="Y78" s="14"/>
    </row>
    <row r="79" spans="1:27" s="16" customFormat="1" ht="11.25" x14ac:dyDescent="0.2"/>
    <row r="80" spans="1:27" s="16" customFormat="1" ht="11.25" x14ac:dyDescent="0.2"/>
    <row r="81" spans="1:27" s="16" customFormat="1" ht="11.25" x14ac:dyDescent="0.2"/>
    <row r="82" spans="1:27" s="16" customFormat="1" ht="11.25" x14ac:dyDescent="0.2">
      <c r="B82" s="8"/>
    </row>
    <row r="83" spans="1:27" s="14" customFormat="1" ht="11.25" x14ac:dyDescent="0.2">
      <c r="B83" s="31"/>
      <c r="X83" s="16"/>
      <c r="Y83" s="16"/>
    </row>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row r="92" spans="1:27" s="16" customFormat="1" ht="11.25" x14ac:dyDescent="0.2">
      <c r="A92" s="6"/>
    </row>
    <row r="93" spans="1:27" s="16" customFormat="1" x14ac:dyDescent="0.2">
      <c r="AA93" s="5"/>
    </row>
    <row r="94" spans="1:27" s="16" customFormat="1" x14ac:dyDescent="0.2">
      <c r="AA94" s="5"/>
    </row>
    <row r="95" spans="1:27" s="16" customFormat="1" x14ac:dyDescent="0.2">
      <c r="AA95" s="5"/>
    </row>
    <row r="96" spans="1:27" s="16" customFormat="1" x14ac:dyDescent="0.2">
      <c r="AA96" s="5"/>
    </row>
    <row r="97" spans="7:27" s="16" customFormat="1" x14ac:dyDescent="0.2">
      <c r="G97" s="56"/>
      <c r="I97" s="56"/>
      <c r="J97" s="56"/>
      <c r="L97" s="56"/>
      <c r="M97" s="56"/>
      <c r="N97" s="56"/>
      <c r="O97" s="56"/>
      <c r="P97" s="56"/>
      <c r="Q97" s="56"/>
      <c r="R97" s="56"/>
      <c r="S97" s="56"/>
      <c r="T97" s="56"/>
      <c r="U97" s="56"/>
      <c r="V97" s="56"/>
      <c r="W97" s="56"/>
      <c r="X97" s="56"/>
      <c r="Y97" s="56"/>
      <c r="AA97" s="5"/>
    </row>
    <row r="98" spans="7:27" s="16" customFormat="1" x14ac:dyDescent="0.2">
      <c r="AA98" s="5"/>
    </row>
    <row r="99" spans="7:27" s="16" customFormat="1" ht="13.5" thickBot="1" x14ac:dyDescent="0.25">
      <c r="G99" s="57"/>
      <c r="I99" s="57"/>
      <c r="J99" s="57"/>
      <c r="L99" s="57"/>
      <c r="M99" s="57"/>
      <c r="N99" s="57"/>
      <c r="O99" s="57"/>
      <c r="P99" s="57"/>
      <c r="Q99" s="57"/>
      <c r="R99" s="57"/>
      <c r="S99" s="57"/>
      <c r="T99" s="57"/>
      <c r="U99" s="57"/>
      <c r="V99" s="57"/>
      <c r="W99" s="57"/>
      <c r="X99" s="57"/>
      <c r="Y99" s="57"/>
      <c r="AA99" s="5"/>
    </row>
    <row r="100" spans="7:27" ht="13.5" thickTop="1" x14ac:dyDescent="0.2"/>
    <row r="101" spans="7:27" x14ac:dyDescent="0.2">
      <c r="W101" s="58"/>
      <c r="X101" s="58"/>
      <c r="Y101" s="58"/>
    </row>
    <row r="102" spans="7:27" x14ac:dyDescent="0.2">
      <c r="W102" s="58"/>
      <c r="AA102" s="58"/>
    </row>
  </sheetData>
  <phoneticPr fontId="0" type="noConversion"/>
  <printOptions horizontalCentered="1"/>
  <pageMargins left="0" right="0" top="0.52" bottom="0.44" header="0" footer="0"/>
  <pageSetup scale="57"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8"/>
  <sheetViews>
    <sheetView showGridLines="0" zoomScaleNormal="100" workbookViewId="0">
      <selection activeCell="O24" sqref="O24"/>
    </sheetView>
  </sheetViews>
  <sheetFormatPr defaultRowHeight="12.75" x14ac:dyDescent="0.2"/>
  <cols>
    <col min="1" max="1" width="8.140625" customWidth="1"/>
    <col min="2" max="2" width="2.140625" customWidth="1"/>
    <col min="3" max="13" width="11.7109375" customWidth="1"/>
    <col min="14" max="14" width="3" customWidth="1"/>
    <col min="15" max="15" width="11.7109375" style="72" customWidth="1"/>
    <col min="16" max="16" width="14.5703125" bestFit="1" customWidth="1"/>
    <col min="17" max="17" width="9.7109375" customWidth="1"/>
  </cols>
  <sheetData>
    <row r="1" spans="1:18" x14ac:dyDescent="0.2">
      <c r="A1" s="59" t="s">
        <v>46</v>
      </c>
      <c r="B1" s="60"/>
    </row>
    <row r="2" spans="1:18" x14ac:dyDescent="0.2">
      <c r="A2" s="61" t="str">
        <f>'WUTC_AW of Kent (SeaTac)_SF'!A1</f>
        <v>Rabanco Ltd (dba Allied Waste of Kent)</v>
      </c>
      <c r="B2" s="61"/>
      <c r="O2" s="73"/>
    </row>
    <row r="3" spans="1:18" x14ac:dyDescent="0.2">
      <c r="A3" s="61"/>
      <c r="B3" s="61"/>
      <c r="O3" s="73"/>
    </row>
    <row r="4" spans="1:18" x14ac:dyDescent="0.2">
      <c r="A4" s="61"/>
      <c r="B4" s="61"/>
      <c r="O4" s="73" t="str">
        <f>+TEXT(P18,"00.0%")&amp;" of"</f>
        <v>50.0% of</v>
      </c>
    </row>
    <row r="5" spans="1:18" x14ac:dyDescent="0.2">
      <c r="B5" s="70"/>
      <c r="C5" s="63" t="s">
        <v>21</v>
      </c>
      <c r="D5" s="63" t="s">
        <v>22</v>
      </c>
      <c r="E5" s="63" t="s">
        <v>33</v>
      </c>
      <c r="F5" s="63" t="s">
        <v>23</v>
      </c>
      <c r="G5" s="63" t="s">
        <v>24</v>
      </c>
      <c r="H5" s="63" t="s">
        <v>25</v>
      </c>
      <c r="I5" s="63" t="s">
        <v>26</v>
      </c>
      <c r="J5" s="63" t="s">
        <v>27</v>
      </c>
      <c r="K5" s="63" t="s">
        <v>28</v>
      </c>
      <c r="L5" s="63" t="s">
        <v>29</v>
      </c>
      <c r="M5" s="63" t="s">
        <v>30</v>
      </c>
      <c r="O5" s="73" t="s">
        <v>30</v>
      </c>
      <c r="P5" s="63" t="s">
        <v>95</v>
      </c>
      <c r="Q5" s="63" t="s">
        <v>96</v>
      </c>
    </row>
    <row r="6" spans="1:18" ht="15.75" customHeight="1" x14ac:dyDescent="0.2">
      <c r="A6" s="65">
        <f>+Pricing!A6</f>
        <v>42491</v>
      </c>
      <c r="B6" s="66"/>
      <c r="C6" s="71">
        <f>'Commodity Tonnages'!C6*Pricing!C6</f>
        <v>793.07234999999991</v>
      </c>
      <c r="D6" s="74">
        <f>'Commodity Tonnages'!D6*Pricing!D6</f>
        <v>-51.541089600000006</v>
      </c>
      <c r="E6" s="74">
        <f>'Commodity Tonnages'!E6*Pricing!E6</f>
        <v>0</v>
      </c>
      <c r="F6" s="74">
        <f>'Commodity Tonnages'!F6*Pricing!F6</f>
        <v>161.64166094999999</v>
      </c>
      <c r="G6" s="74">
        <f>'Commodity Tonnages'!G6*Pricing!G6</f>
        <v>1866.9002625000001</v>
      </c>
      <c r="H6" s="74">
        <f>'Commodity Tonnages'!H6*Pricing!H6</f>
        <v>2958.482394839999</v>
      </c>
      <c r="I6" s="74">
        <f>'Commodity Tonnages'!I6*Pricing!I6</f>
        <v>398.0348631</v>
      </c>
      <c r="J6" s="74">
        <f>'Commodity Tonnages'!J6*Pricing!J6</f>
        <v>398.0348631</v>
      </c>
      <c r="K6" s="74">
        <f>'Commodity Tonnages'!K6*Pricing!K6</f>
        <v>2073.2461595999998</v>
      </c>
      <c r="L6" s="74">
        <f>'Commodity Tonnages'!L6*Pricing!L6</f>
        <v>-944.27699331000201</v>
      </c>
      <c r="M6" s="131">
        <f>SUM(C6:L6)</f>
        <v>7653.5944711799957</v>
      </c>
      <c r="O6" s="161">
        <f>M6-Q6</f>
        <v>3826.705671179996</v>
      </c>
      <c r="P6" s="140">
        <f>IFERROR(O6/M6,0)</f>
        <v>0.49998803641735312</v>
      </c>
      <c r="Q6" s="156">
        <v>3826.8887999999997</v>
      </c>
      <c r="R6" s="132"/>
    </row>
    <row r="7" spans="1:18" ht="15.75" customHeight="1" x14ac:dyDescent="0.2">
      <c r="A7" s="65">
        <f>+Pricing!A7</f>
        <v>42551</v>
      </c>
      <c r="B7" s="66"/>
      <c r="C7" s="71">
        <f>'Commodity Tonnages'!C7*Pricing!C7</f>
        <v>935.02402500000005</v>
      </c>
      <c r="D7" s="74">
        <f>'Commodity Tonnages'!D7*Pricing!D7</f>
        <v>-221.06736080000002</v>
      </c>
      <c r="E7" s="74">
        <f>'Commodity Tonnages'!E7*Pricing!E7</f>
        <v>0</v>
      </c>
      <c r="F7" s="74">
        <f>'Commodity Tonnages'!F7*Pricing!F7</f>
        <v>171.443085</v>
      </c>
      <c r="G7" s="74">
        <f>'Commodity Tonnages'!G7*Pricing!G7</f>
        <v>2361.1307849999998</v>
      </c>
      <c r="H7" s="74">
        <f>'Commodity Tonnages'!H7*Pricing!H7</f>
        <v>3707.9073545999995</v>
      </c>
      <c r="I7" s="74">
        <f>'Commodity Tonnages'!I7*Pricing!I7</f>
        <v>465.27501524999997</v>
      </c>
      <c r="J7" s="74">
        <f>'Commodity Tonnages'!J7*Pricing!J7</f>
        <v>465.27501524999997</v>
      </c>
      <c r="K7" s="74">
        <f>'Commodity Tonnages'!K7*Pricing!K7</f>
        <v>2577.9545351999996</v>
      </c>
      <c r="L7" s="74">
        <f>'Commodity Tonnages'!L7*Pricing!L7</f>
        <v>-1140.8855681000025</v>
      </c>
      <c r="M7" s="131">
        <f t="shared" ref="M7:M17" si="0">SUM(C7:L7)</f>
        <v>9322.0568863999979</v>
      </c>
      <c r="O7" s="161">
        <f t="shared" ref="O7:O17" si="1">M7-Q7</f>
        <v>4660.7453863999981</v>
      </c>
      <c r="P7" s="140">
        <f t="shared" ref="P7:P17" si="2">IFERROR(O7/M7,0)</f>
        <v>0.49996963579996878</v>
      </c>
      <c r="Q7" s="156">
        <v>4661.3114999999998</v>
      </c>
      <c r="R7" s="132"/>
    </row>
    <row r="8" spans="1:18" ht="15.75" customHeight="1" x14ac:dyDescent="0.2">
      <c r="A8" s="65">
        <f>+Pricing!A8</f>
        <v>42582</v>
      </c>
      <c r="B8" s="66"/>
      <c r="C8" s="71">
        <f>'Commodity Tonnages'!C8*Pricing!C8</f>
        <v>492.01582500000001</v>
      </c>
      <c r="D8" s="74">
        <f>'Commodity Tonnages'!D8*Pricing!D8</f>
        <v>-119.86560872000001</v>
      </c>
      <c r="E8" s="74">
        <f>'Commodity Tonnages'!E8*Pricing!E8</f>
        <v>0</v>
      </c>
      <c r="F8" s="74">
        <f>'Commodity Tonnages'!F8*Pricing!F8</f>
        <v>81.259231350000007</v>
      </c>
      <c r="G8" s="74">
        <f>'Commodity Tonnages'!G8*Pricing!G8</f>
        <v>1376.3778600000001</v>
      </c>
      <c r="H8" s="74">
        <f>'Commodity Tonnages'!H8*Pricing!H8</f>
        <v>2123.84559958</v>
      </c>
      <c r="I8" s="74">
        <f>'Commodity Tonnages'!I8*Pricing!I8</f>
        <v>254.76790493500005</v>
      </c>
      <c r="J8" s="74">
        <f>'Commodity Tonnages'!J8*Pricing!J8</f>
        <v>254.76790493500005</v>
      </c>
      <c r="K8" s="74">
        <f>'Commodity Tonnages'!K8*Pricing!K8</f>
        <v>1527.4116475200001</v>
      </c>
      <c r="L8" s="74">
        <f>'Commodity Tonnages'!L8*Pricing!L8</f>
        <v>-601.65501883000138</v>
      </c>
      <c r="M8" s="131">
        <f t="shared" si="0"/>
        <v>5388.9253457699979</v>
      </c>
      <c r="O8" s="161">
        <f t="shared" si="1"/>
        <v>2693.9197457699975</v>
      </c>
      <c r="P8" s="140">
        <f t="shared" si="2"/>
        <v>0.49989925132003776</v>
      </c>
      <c r="Q8" s="156">
        <v>2695.0056000000004</v>
      </c>
      <c r="R8" s="132"/>
    </row>
    <row r="9" spans="1:18" ht="15.75" customHeight="1" x14ac:dyDescent="0.2">
      <c r="A9" s="65">
        <f>+Pricing!A9</f>
        <v>42613</v>
      </c>
      <c r="B9" s="66"/>
      <c r="C9" s="71">
        <f>'Commodity Tonnages'!C9*Pricing!C9</f>
        <v>680.79375000000005</v>
      </c>
      <c r="D9" s="74">
        <f>'Commodity Tonnages'!D9*Pricing!D9</f>
        <v>-30.568720000000003</v>
      </c>
      <c r="E9" s="74">
        <f>'Commodity Tonnages'!E9*Pricing!E9</f>
        <v>0</v>
      </c>
      <c r="F9" s="74">
        <f>'Commodity Tonnages'!F9*Pricing!F9</f>
        <v>111.20484375000001</v>
      </c>
      <c r="G9" s="74">
        <f>'Commodity Tonnages'!G9*Pricing!G9</f>
        <v>2071.0633125000004</v>
      </c>
      <c r="H9" s="74">
        <f>'Commodity Tonnages'!H9*Pricing!H9</f>
        <v>3201.8174824999996</v>
      </c>
      <c r="I9" s="74">
        <f>'Commodity Tonnages'!I9*Pricing!I9</f>
        <v>333.05192374999996</v>
      </c>
      <c r="J9" s="74">
        <f>'Commodity Tonnages'!J9*Pricing!J9</f>
        <v>333.05192374999996</v>
      </c>
      <c r="K9" s="74">
        <f>'Commodity Tonnages'!K9*Pricing!K9</f>
        <v>2245.1328900000003</v>
      </c>
      <c r="L9" s="74">
        <f>'Commodity Tonnages'!L9*Pricing!L9</f>
        <v>-810.59171375000187</v>
      </c>
      <c r="M9" s="131">
        <f t="shared" si="0"/>
        <v>8134.9556924999997</v>
      </c>
      <c r="O9" s="161">
        <f t="shared" si="1"/>
        <v>4067.2556924999999</v>
      </c>
      <c r="P9" s="140">
        <f t="shared" si="2"/>
        <v>0.49997269146158907</v>
      </c>
      <c r="Q9" s="156">
        <v>4067.7</v>
      </c>
      <c r="R9" s="132"/>
    </row>
    <row r="10" spans="1:18" ht="15.75" customHeight="1" x14ac:dyDescent="0.2">
      <c r="A10" s="65">
        <f>+Pricing!A10</f>
        <v>42643</v>
      </c>
      <c r="B10" s="66"/>
      <c r="C10" s="71">
        <f>'Commodity Tonnages'!C10*Pricing!C10</f>
        <v>623.04480000000001</v>
      </c>
      <c r="D10" s="74">
        <f>'Commodity Tonnages'!D10*Pricing!D10</f>
        <v>-110.71633247999999</v>
      </c>
      <c r="E10" s="74">
        <f>'Commodity Tonnages'!E10*Pricing!E10</f>
        <v>0</v>
      </c>
      <c r="F10" s="74">
        <f>'Commodity Tonnages'!F10*Pricing!F10</f>
        <v>103.6590786</v>
      </c>
      <c r="G10" s="74">
        <f>'Commodity Tonnages'!G10*Pricing!G10</f>
        <v>1873.2350519999998</v>
      </c>
      <c r="H10" s="74">
        <f>'Commodity Tonnages'!H10*Pricing!H10</f>
        <v>2653.1597776799999</v>
      </c>
      <c r="I10" s="74">
        <f>'Commodity Tonnages'!I10*Pricing!I10</f>
        <v>263.78535377999998</v>
      </c>
      <c r="J10" s="74">
        <f>'Commodity Tonnages'!J10*Pricing!J10</f>
        <v>263.78535377999998</v>
      </c>
      <c r="K10" s="74">
        <f>'Commodity Tonnages'!K10*Pricing!K10</f>
        <v>1885.5637099199996</v>
      </c>
      <c r="L10" s="74">
        <f>'Commodity Tonnages'!L10*Pricing!L10</f>
        <v>-755.07954276000157</v>
      </c>
      <c r="M10" s="131">
        <f t="shared" si="0"/>
        <v>6800.4372505199981</v>
      </c>
      <c r="O10" s="161">
        <f t="shared" si="1"/>
        <v>3400.1808505199979</v>
      </c>
      <c r="P10" s="140">
        <f t="shared" si="2"/>
        <v>0.4999944452483554</v>
      </c>
      <c r="Q10" s="156">
        <v>3400.2564000000002</v>
      </c>
      <c r="R10" s="132"/>
    </row>
    <row r="11" spans="1:18" ht="15.75" customHeight="1" x14ac:dyDescent="0.2">
      <c r="A11" s="65">
        <f>+Pricing!A11</f>
        <v>42674</v>
      </c>
      <c r="B11" s="66"/>
      <c r="C11" s="71">
        <f>'Commodity Tonnages'!C11*Pricing!C11</f>
        <v>827.63099999999997</v>
      </c>
      <c r="D11" s="74">
        <f>'Commodity Tonnages'!D11*Pricing!D11</f>
        <v>-161.22197520000003</v>
      </c>
      <c r="E11" s="74">
        <f>'Commodity Tonnages'!E11*Pricing!E11</f>
        <v>0</v>
      </c>
      <c r="F11" s="74">
        <f>'Commodity Tonnages'!F11*Pricing!F11</f>
        <v>117.6605892</v>
      </c>
      <c r="G11" s="74">
        <f>'Commodity Tonnages'!G11*Pricing!G11</f>
        <v>2344.4992350000002</v>
      </c>
      <c r="H11" s="74">
        <f>'Commodity Tonnages'!H11*Pricing!H11</f>
        <v>3342.0468203999999</v>
      </c>
      <c r="I11" s="74">
        <f>'Commodity Tonnages'!I11*Pricing!I11</f>
        <v>307.07862075000003</v>
      </c>
      <c r="J11" s="74">
        <f>'Commodity Tonnages'!J11*Pricing!J11</f>
        <v>307.07862075000003</v>
      </c>
      <c r="K11" s="74">
        <f>'Commodity Tonnages'!K11*Pricing!K11</f>
        <v>2509.8892632000002</v>
      </c>
      <c r="L11" s="74">
        <f>'Commodity Tonnages'!L11*Pricing!L11</f>
        <v>-968.43440790000227</v>
      </c>
      <c r="M11" s="131">
        <f t="shared" si="0"/>
        <v>8626.2277661999997</v>
      </c>
      <c r="O11" s="161">
        <f t="shared" si="1"/>
        <v>4312.7617661999993</v>
      </c>
      <c r="P11" s="140">
        <f t="shared" si="2"/>
        <v>0.49995918066279443</v>
      </c>
      <c r="Q11" s="156">
        <v>4313.4660000000003</v>
      </c>
      <c r="R11" s="132"/>
    </row>
    <row r="12" spans="1:18" ht="15.75" customHeight="1" x14ac:dyDescent="0.2">
      <c r="A12" s="65">
        <f>+Pricing!A12</f>
        <v>42704</v>
      </c>
      <c r="B12" s="66"/>
      <c r="C12" s="71">
        <f>'Commodity Tonnages'!C12*Pricing!C12</f>
        <v>965.51858249999998</v>
      </c>
      <c r="D12" s="74">
        <f>'Commodity Tonnages'!D12*Pricing!D12</f>
        <v>-444.60355680000004</v>
      </c>
      <c r="E12" s="74">
        <f>'Commodity Tonnages'!E12*Pricing!E12</f>
        <v>0</v>
      </c>
      <c r="F12" s="74">
        <f>'Commodity Tonnages'!F12*Pricing!F12</f>
        <v>167.60471805</v>
      </c>
      <c r="G12" s="74">
        <f>'Commodity Tonnages'!G12*Pricing!G12</f>
        <v>2743.5599099999999</v>
      </c>
      <c r="H12" s="74">
        <f>'Commodity Tonnages'!H12*Pricing!H12</f>
        <v>4040.7463818000001</v>
      </c>
      <c r="I12" s="74">
        <f>'Commodity Tonnages'!I12*Pricing!I12</f>
        <v>370.07094105000004</v>
      </c>
      <c r="J12" s="74">
        <f>'Commodity Tonnages'!J12*Pricing!J12</f>
        <v>370.07094105000004</v>
      </c>
      <c r="K12" s="74">
        <f>'Commodity Tonnages'!K12*Pricing!K12</f>
        <v>3034.8482868000001</v>
      </c>
      <c r="L12" s="74">
        <f>'Commodity Tonnages'!L12*Pricing!L12</f>
        <v>-1096.7038659000025</v>
      </c>
      <c r="M12" s="131">
        <f t="shared" si="0"/>
        <v>10151.11233855</v>
      </c>
      <c r="O12" s="161">
        <f t="shared" si="1"/>
        <v>5075.4903385500002</v>
      </c>
      <c r="P12" s="140">
        <f t="shared" si="2"/>
        <v>0.49999351492498517</v>
      </c>
      <c r="Q12" s="156">
        <v>5075.6219999999994</v>
      </c>
      <c r="R12" s="132"/>
    </row>
    <row r="13" spans="1:18" ht="15.75" customHeight="1" x14ac:dyDescent="0.2">
      <c r="A13" s="65">
        <f>+Pricing!A13</f>
        <v>42735</v>
      </c>
      <c r="B13" s="66"/>
      <c r="C13" s="71">
        <f>'Commodity Tonnages'!C13*Pricing!C13</f>
        <v>954.86983252499999</v>
      </c>
      <c r="D13" s="74">
        <f>'Commodity Tonnages'!D13*Pricing!D13</f>
        <v>-513.75344904000008</v>
      </c>
      <c r="E13" s="74">
        <f>'Commodity Tonnages'!E13*Pricing!E13</f>
        <v>0</v>
      </c>
      <c r="F13" s="74">
        <f>'Commodity Tonnages'!F13*Pricing!F13</f>
        <v>164.30476408499999</v>
      </c>
      <c r="G13" s="74">
        <f>'Commodity Tonnages'!G13*Pricing!G13</f>
        <v>2591.79507405</v>
      </c>
      <c r="H13" s="74">
        <f>'Commodity Tonnages'!H13*Pricing!H13</f>
        <v>4077.533843404</v>
      </c>
      <c r="I13" s="74">
        <f>'Commodity Tonnages'!I13*Pricing!I13</f>
        <v>329.27249139399999</v>
      </c>
      <c r="J13" s="74">
        <f>'Commodity Tonnages'!J13*Pricing!J13</f>
        <v>329.27249139399999</v>
      </c>
      <c r="K13" s="74">
        <f>'Commodity Tonnages'!K13*Pricing!K13</f>
        <v>2958.2826716520003</v>
      </c>
      <c r="L13" s="74">
        <f>'Commodity Tonnages'!L13*Pricing!L13</f>
        <v>-1050.5981218300024</v>
      </c>
      <c r="M13" s="131">
        <f t="shared" si="0"/>
        <v>9840.9795976339974</v>
      </c>
      <c r="O13" s="161">
        <f t="shared" si="1"/>
        <v>4920.5033476339968</v>
      </c>
      <c r="P13" s="140">
        <f t="shared" si="2"/>
        <v>0.50000137677523504</v>
      </c>
      <c r="Q13" s="156">
        <v>4920.4762500000006</v>
      </c>
      <c r="R13" s="132"/>
    </row>
    <row r="14" spans="1:18" ht="15.75" customHeight="1" x14ac:dyDescent="0.2">
      <c r="A14" s="65">
        <f>+Pricing!A14</f>
        <v>42766</v>
      </c>
      <c r="B14" s="66"/>
      <c r="C14" s="71">
        <f>'Commodity Tonnages'!C14*Pricing!C14</f>
        <v>778.7136220499998</v>
      </c>
      <c r="D14" s="74">
        <f>'Commodity Tonnages'!D14*Pricing!D14</f>
        <v>-227.79442400000002</v>
      </c>
      <c r="E14" s="74">
        <f>'Commodity Tonnages'!E14*Pricing!E14</f>
        <v>0</v>
      </c>
      <c r="F14" s="74">
        <f>'Commodity Tonnages'!F14*Pricing!F14</f>
        <v>159.379435215</v>
      </c>
      <c r="G14" s="74">
        <f>'Commodity Tonnages'!G14*Pricing!G14</f>
        <v>2148.98001045</v>
      </c>
      <c r="H14" s="74">
        <f>'Commodity Tonnages'!H14*Pricing!H14</f>
        <v>3030.2832314299999</v>
      </c>
      <c r="I14" s="74">
        <f>'Commodity Tonnages'!I14*Pricing!I14</f>
        <v>294.41963710249996</v>
      </c>
      <c r="J14" s="74">
        <f>'Commodity Tonnages'!J14*Pricing!J14</f>
        <v>294.41963710249996</v>
      </c>
      <c r="K14" s="74">
        <f>'Commodity Tonnages'!K14*Pricing!K14</f>
        <v>2495.8162068839997</v>
      </c>
      <c r="L14" s="74">
        <f>'Commodity Tonnages'!L14*Pricing!L14</f>
        <v>-834.67786753000178</v>
      </c>
      <c r="M14" s="131">
        <f t="shared" si="0"/>
        <v>8139.5394887039974</v>
      </c>
      <c r="O14" s="161">
        <f t="shared" si="1"/>
        <v>4069.2719887039975</v>
      </c>
      <c r="P14" s="140">
        <f t="shared" si="2"/>
        <v>0.49993884719784309</v>
      </c>
      <c r="Q14" s="156">
        <v>4070.2674999999999</v>
      </c>
      <c r="R14" s="132"/>
    </row>
    <row r="15" spans="1:18" ht="15.75" customHeight="1" x14ac:dyDescent="0.2">
      <c r="A15" s="65">
        <f>+Pricing!A15</f>
        <v>42794</v>
      </c>
      <c r="B15" s="66"/>
      <c r="C15" s="71">
        <f>'Commodity Tonnages'!C15*Pricing!C15</f>
        <v>637.70721209999988</v>
      </c>
      <c r="D15" s="74">
        <f>'Commodity Tonnages'!D15*Pricing!D15</f>
        <v>-168.82287240000002</v>
      </c>
      <c r="E15" s="74">
        <f>'Commodity Tonnages'!E15*Pricing!E15</f>
        <v>0</v>
      </c>
      <c r="F15" s="74">
        <f>'Commodity Tonnages'!F15*Pricing!F15</f>
        <v>109.78691031000001</v>
      </c>
      <c r="G15" s="74">
        <f>'Commodity Tonnages'!G15*Pricing!G15</f>
        <v>1964.2602388500004</v>
      </c>
      <c r="H15" s="74">
        <f>'Commodity Tonnages'!H15*Pricing!H15</f>
        <v>3000.9513158939994</v>
      </c>
      <c r="I15" s="74">
        <f>'Commodity Tonnages'!I15*Pricing!I15</f>
        <v>254.06277378299998</v>
      </c>
      <c r="J15" s="74">
        <f>'Commodity Tonnages'!J15*Pricing!J15</f>
        <v>254.06277378299998</v>
      </c>
      <c r="K15" s="74">
        <f>'Commodity Tonnages'!K15*Pricing!K15</f>
        <v>2281.0755234960002</v>
      </c>
      <c r="L15" s="74">
        <f>'Commodity Tonnages'!L15*Pricing!L15</f>
        <v>-644.98159131000148</v>
      </c>
      <c r="M15" s="131">
        <f t="shared" si="0"/>
        <v>7688.1022845059979</v>
      </c>
      <c r="O15" s="161">
        <f t="shared" si="1"/>
        <v>3844.1425845059975</v>
      </c>
      <c r="P15" s="140">
        <f t="shared" si="2"/>
        <v>0.50001189399537294</v>
      </c>
      <c r="Q15" s="156">
        <v>3843.9597000000003</v>
      </c>
      <c r="R15" s="132"/>
    </row>
    <row r="16" spans="1:18" ht="15.75" customHeight="1" x14ac:dyDescent="0.2">
      <c r="A16" s="65">
        <f>+Pricing!A16</f>
        <v>42825</v>
      </c>
      <c r="B16" s="66"/>
      <c r="C16" s="71">
        <f>'Commodity Tonnages'!C16*Pricing!C16</f>
        <v>780.01667099999997</v>
      </c>
      <c r="D16" s="74">
        <f>'Commodity Tonnages'!D16*Pricing!D16</f>
        <v>-199.89927359999999</v>
      </c>
      <c r="E16" s="74">
        <f>'Commodity Tonnages'!E16*Pricing!E16</f>
        <v>0</v>
      </c>
      <c r="F16" s="74">
        <f>'Commodity Tonnages'!F16*Pricing!F16</f>
        <v>159.57284805</v>
      </c>
      <c r="G16" s="74">
        <f>'Commodity Tonnages'!G16*Pricing!G16</f>
        <v>2247.5997179999999</v>
      </c>
      <c r="H16" s="74">
        <f>'Commodity Tonnages'!H16*Pricing!H16</f>
        <v>3572.0122443599994</v>
      </c>
      <c r="I16" s="74">
        <f>'Commodity Tonnages'!I16*Pricing!I16</f>
        <v>264.97418230500006</v>
      </c>
      <c r="J16" s="74">
        <f>'Commodity Tonnages'!J16*Pricing!J16</f>
        <v>264.97418230500006</v>
      </c>
      <c r="K16" s="74">
        <f>'Commodity Tonnages'!K16*Pricing!K16</f>
        <v>3028.1190093</v>
      </c>
      <c r="L16" s="74">
        <f>'Commodity Tonnages'!L16*Pricing!L16</f>
        <v>-864.36255210000184</v>
      </c>
      <c r="M16" s="131">
        <f t="shared" si="0"/>
        <v>9253.0070296199974</v>
      </c>
      <c r="O16" s="161">
        <f t="shared" si="1"/>
        <v>4626.4310296199974</v>
      </c>
      <c r="P16" s="140">
        <f t="shared" si="2"/>
        <v>0.49999216630985266</v>
      </c>
      <c r="Q16" s="156">
        <v>4626.576</v>
      </c>
      <c r="R16" s="132"/>
    </row>
    <row r="17" spans="1:18" ht="15.75" customHeight="1" x14ac:dyDescent="0.2">
      <c r="A17" s="65">
        <f>+Pricing!A17</f>
        <v>42855</v>
      </c>
      <c r="B17" s="66"/>
      <c r="C17" s="71">
        <f>'Commodity Tonnages'!C17*Pricing!C17</f>
        <v>768.69887324999991</v>
      </c>
      <c r="D17" s="74">
        <f>'Commodity Tonnages'!D17*Pricing!D17</f>
        <v>-199.7766628</v>
      </c>
      <c r="E17" s="74">
        <f>'Commodity Tonnages'!E17*Pricing!E17</f>
        <v>0</v>
      </c>
      <c r="F17" s="74">
        <f>'Commodity Tonnages'!F17*Pricing!F17</f>
        <v>138.77079810000001</v>
      </c>
      <c r="G17" s="74">
        <f>'Commodity Tonnages'!G17*Pricing!G17</f>
        <v>1286.6280569999999</v>
      </c>
      <c r="H17" s="74">
        <f>'Commodity Tonnages'!H17*Pricing!H17</f>
        <v>1884.2160710999999</v>
      </c>
      <c r="I17" s="74">
        <f>'Commodity Tonnages'!I17*Pricing!I17</f>
        <v>244.83951591000002</v>
      </c>
      <c r="J17" s="74">
        <f>'Commodity Tonnages'!J17*Pricing!J17</f>
        <v>244.83951591000002</v>
      </c>
      <c r="K17" s="74">
        <f>'Commodity Tonnages'!K17*Pricing!K17</f>
        <v>2292.79046634</v>
      </c>
      <c r="L17" s="74">
        <f>'Commodity Tonnages'!L17*Pricing!L17</f>
        <v>-863.00575031000199</v>
      </c>
      <c r="M17" s="131">
        <f t="shared" si="0"/>
        <v>5798.0008844999975</v>
      </c>
      <c r="O17" s="161">
        <f t="shared" si="1"/>
        <v>2899.0355844999976</v>
      </c>
      <c r="P17" s="140">
        <f t="shared" si="2"/>
        <v>0.50000606109772994</v>
      </c>
      <c r="Q17" s="156">
        <v>2898.9652999999998</v>
      </c>
      <c r="R17" s="132"/>
    </row>
    <row r="18" spans="1:18" ht="15.75" customHeight="1" x14ac:dyDescent="0.2">
      <c r="A18" s="69" t="s">
        <v>32</v>
      </c>
      <c r="B18" s="66"/>
      <c r="C18" s="133">
        <f t="shared" ref="C18:L18" si="3">SUM(C6:C17)</f>
        <v>9237.1065434249995</v>
      </c>
      <c r="D18" s="134">
        <f t="shared" si="3"/>
        <v>-2449.6313254399997</v>
      </c>
      <c r="E18" s="134">
        <f t="shared" si="3"/>
        <v>0</v>
      </c>
      <c r="F18" s="133">
        <f t="shared" si="3"/>
        <v>1646.2879626600002</v>
      </c>
      <c r="G18" s="133">
        <f t="shared" si="3"/>
        <v>24876.029515350005</v>
      </c>
      <c r="H18" s="133">
        <f t="shared" si="3"/>
        <v>37593.002517588</v>
      </c>
      <c r="I18" s="133">
        <f t="shared" si="3"/>
        <v>3779.6332231094998</v>
      </c>
      <c r="J18" s="133">
        <f t="shared" si="3"/>
        <v>3779.6332231094998</v>
      </c>
      <c r="K18" s="133">
        <f t="shared" si="3"/>
        <v>28910.130369912</v>
      </c>
      <c r="L18" s="134">
        <f t="shared" si="3"/>
        <v>-10575.252993630022</v>
      </c>
      <c r="M18" s="135">
        <f>SUM(C18:L18)</f>
        <v>96796.93903608399</v>
      </c>
      <c r="O18" s="160">
        <f>SUM(O6:O17)</f>
        <v>48396.443986083978</v>
      </c>
      <c r="P18" s="141">
        <f>+O18/M18</f>
        <v>0.49997907442137957</v>
      </c>
    </row>
    <row r="19" spans="1:18" x14ac:dyDescent="0.2">
      <c r="A19" s="66"/>
      <c r="B19" s="66"/>
      <c r="C19" s="71"/>
      <c r="D19" s="71"/>
      <c r="E19" s="71"/>
      <c r="F19" s="71"/>
      <c r="G19" s="71"/>
      <c r="H19" s="71"/>
      <c r="I19" s="71"/>
      <c r="J19" s="71"/>
      <c r="K19" s="71"/>
      <c r="L19" s="71"/>
      <c r="M19" s="71"/>
      <c r="O19" s="80"/>
    </row>
    <row r="20" spans="1:18" x14ac:dyDescent="0.2">
      <c r="A20" s="66"/>
      <c r="B20" s="66"/>
      <c r="C20" s="66"/>
      <c r="D20" s="66"/>
      <c r="E20" s="66"/>
      <c r="F20" s="66"/>
      <c r="G20" s="66"/>
      <c r="H20" s="66"/>
      <c r="I20" s="66"/>
      <c r="J20" s="66"/>
      <c r="K20" s="66"/>
      <c r="L20" s="66"/>
      <c r="M20" s="67"/>
      <c r="O20" s="81"/>
    </row>
    <row r="21" spans="1:18" x14ac:dyDescent="0.2">
      <c r="A21" s="66"/>
      <c r="B21" s="66"/>
      <c r="C21" s="66"/>
      <c r="D21" s="66"/>
      <c r="E21" s="66"/>
      <c r="F21" s="66"/>
      <c r="G21" s="66"/>
      <c r="H21" s="66"/>
      <c r="I21" s="66"/>
      <c r="J21" s="66"/>
      <c r="K21" s="66"/>
      <c r="L21" s="66"/>
      <c r="M21" s="67"/>
      <c r="O21" s="82"/>
    </row>
    <row r="22" spans="1:18" x14ac:dyDescent="0.2">
      <c r="A22" s="66"/>
      <c r="B22" s="66"/>
      <c r="C22" s="66"/>
      <c r="D22" s="66"/>
      <c r="E22" s="66"/>
      <c r="F22" s="66"/>
      <c r="G22" s="66"/>
      <c r="H22" s="66"/>
      <c r="I22" s="66"/>
      <c r="J22" s="66"/>
      <c r="K22" s="66"/>
      <c r="L22" s="66"/>
      <c r="M22" s="67"/>
    </row>
    <row r="23" spans="1:18" x14ac:dyDescent="0.2">
      <c r="A23" s="66"/>
      <c r="B23" s="66"/>
      <c r="C23" s="66"/>
      <c r="D23" s="66"/>
      <c r="E23" s="66"/>
      <c r="F23" s="66"/>
      <c r="G23" s="66"/>
      <c r="H23" s="66"/>
      <c r="I23" s="66"/>
      <c r="J23" s="66"/>
      <c r="K23" s="66"/>
      <c r="L23" s="66"/>
      <c r="M23" s="67"/>
    </row>
    <row r="24" spans="1:18" x14ac:dyDescent="0.2">
      <c r="A24" s="66"/>
      <c r="B24" s="66"/>
      <c r="C24" s="66"/>
      <c r="D24" s="66"/>
      <c r="E24" s="66"/>
      <c r="F24" s="66"/>
      <c r="G24" s="66"/>
      <c r="H24" s="66"/>
      <c r="I24" s="66"/>
      <c r="J24" s="66"/>
      <c r="K24" s="66"/>
      <c r="L24" s="66"/>
      <c r="M24" s="67"/>
    </row>
    <row r="25" spans="1:18" x14ac:dyDescent="0.2">
      <c r="A25" s="66"/>
      <c r="B25" s="66"/>
      <c r="C25" s="66"/>
      <c r="D25" s="66"/>
      <c r="E25" s="66"/>
      <c r="F25" s="66"/>
      <c r="G25" s="66"/>
      <c r="H25" s="66"/>
      <c r="I25" s="66"/>
      <c r="J25" s="66"/>
      <c r="K25" s="66"/>
      <c r="L25" s="66"/>
      <c r="M25" s="67"/>
    </row>
    <row r="26" spans="1:18" x14ac:dyDescent="0.2">
      <c r="A26" s="66"/>
      <c r="B26" s="66"/>
      <c r="C26" s="66"/>
      <c r="D26" s="66"/>
      <c r="E26" s="66"/>
      <c r="F26" s="66"/>
      <c r="G26" s="66"/>
      <c r="H26" s="66"/>
      <c r="I26" s="66"/>
      <c r="J26" s="66"/>
      <c r="K26" s="66"/>
      <c r="L26" s="66"/>
      <c r="M26" s="67"/>
    </row>
    <row r="27" spans="1:18" x14ac:dyDescent="0.2">
      <c r="A27" s="66"/>
      <c r="B27" s="66"/>
      <c r="C27" s="66"/>
      <c r="D27" s="66"/>
      <c r="E27" s="66"/>
      <c r="F27" s="66"/>
      <c r="G27" s="66"/>
      <c r="H27" s="66"/>
      <c r="I27" s="66"/>
      <c r="J27" s="66"/>
      <c r="K27" s="66"/>
      <c r="L27" s="66"/>
      <c r="M27" s="67"/>
    </row>
    <row r="28" spans="1:18" x14ac:dyDescent="0.2">
      <c r="A28" s="66"/>
      <c r="B28" s="66"/>
      <c r="C28" s="66"/>
      <c r="D28" s="66"/>
      <c r="E28" s="66"/>
      <c r="F28" s="66"/>
      <c r="G28" s="66"/>
      <c r="H28" s="66"/>
      <c r="I28" s="66"/>
      <c r="J28" s="66"/>
      <c r="K28" s="66"/>
      <c r="L28" s="66"/>
      <c r="M28" s="66"/>
    </row>
    <row r="29" spans="1:18" x14ac:dyDescent="0.2">
      <c r="A29" s="66"/>
      <c r="B29" s="66"/>
      <c r="C29" s="66"/>
      <c r="D29" s="66"/>
      <c r="E29" s="66"/>
      <c r="F29" s="66"/>
      <c r="G29" s="66"/>
      <c r="H29" s="66"/>
      <c r="I29" s="66"/>
      <c r="J29" s="66"/>
      <c r="K29" s="66"/>
      <c r="L29" s="66"/>
      <c r="M29" s="66"/>
    </row>
    <row r="30" spans="1:18" x14ac:dyDescent="0.2">
      <c r="A30" s="66"/>
      <c r="B30" s="66"/>
      <c r="C30" s="66"/>
      <c r="D30" s="66"/>
      <c r="E30" s="66"/>
      <c r="F30" s="66"/>
      <c r="G30" s="66"/>
      <c r="H30" s="66"/>
      <c r="I30" s="66"/>
      <c r="J30" s="66"/>
      <c r="K30" s="66"/>
      <c r="L30" s="66"/>
      <c r="M30" s="66"/>
    </row>
    <row r="31" spans="1:18" x14ac:dyDescent="0.2">
      <c r="A31" s="66"/>
      <c r="B31" s="66"/>
      <c r="C31" s="66"/>
      <c r="D31" s="66"/>
      <c r="E31" s="66"/>
      <c r="F31" s="66"/>
      <c r="G31" s="66"/>
      <c r="H31" s="66"/>
      <c r="I31" s="66"/>
      <c r="J31" s="66"/>
      <c r="K31" s="66"/>
      <c r="L31" s="66"/>
      <c r="M31" s="66"/>
    </row>
    <row r="32" spans="1:18"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honeticPr fontId="0" type="noConversion"/>
  <pageMargins left="0.5" right="0.5" top="0.75" bottom="0.75" header="0.5" footer="0.5"/>
  <pageSetup scale="73"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zoomScaleNormal="100" workbookViewId="0">
      <selection activeCell="E24" sqref="E24"/>
    </sheetView>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59" t="str">
        <f>"Single-Family Tonnages by Commodity ("&amp;TEXT(A6,"mmmm yyyy")&amp;" through "&amp;TEXT(A17,"mmmm yyyy")&amp;")"</f>
        <v>Single-Family Tonnages by Commodity (May 2016 through April 2017)</v>
      </c>
      <c r="B1" s="60"/>
    </row>
    <row r="2" spans="1:16" x14ac:dyDescent="0.2">
      <c r="A2" s="61" t="str">
        <f>'WUTC_AW of Kent (SeaTac)_SF'!A1</f>
        <v>Rabanco Ltd (dba Allied Waste of Kent)</v>
      </c>
      <c r="B2" s="61"/>
    </row>
    <row r="3" spans="1:16" x14ac:dyDescent="0.2">
      <c r="A3" s="61"/>
      <c r="B3" s="61"/>
    </row>
    <row r="4" spans="1:16" x14ac:dyDescent="0.2">
      <c r="A4" s="61"/>
      <c r="B4" s="61"/>
    </row>
    <row r="5" spans="1:16" x14ac:dyDescent="0.2">
      <c r="A5" s="60"/>
      <c r="B5" s="62"/>
      <c r="C5" s="63" t="s">
        <v>21</v>
      </c>
      <c r="D5" s="63" t="s">
        <v>22</v>
      </c>
      <c r="E5" s="63" t="s">
        <v>33</v>
      </c>
      <c r="F5" s="63" t="s">
        <v>23</v>
      </c>
      <c r="G5" s="63" t="s">
        <v>24</v>
      </c>
      <c r="H5" s="63" t="s">
        <v>25</v>
      </c>
      <c r="I5" s="63" t="s">
        <v>26</v>
      </c>
      <c r="J5" s="63" t="s">
        <v>27</v>
      </c>
      <c r="K5" s="63" t="s">
        <v>28</v>
      </c>
      <c r="L5" s="63" t="s">
        <v>29</v>
      </c>
      <c r="M5" s="63"/>
      <c r="N5" s="63" t="s">
        <v>30</v>
      </c>
    </row>
    <row r="6" spans="1:16" ht="15.75" customHeight="1" x14ac:dyDescent="0.2">
      <c r="A6" s="130">
        <f>'Single Family'!$C$6</f>
        <v>42491</v>
      </c>
      <c r="B6" s="66" t="s">
        <v>67</v>
      </c>
      <c r="C6" s="108">
        <f>'Single Family'!C32</f>
        <v>0.99382499999999985</v>
      </c>
      <c r="D6" s="109">
        <f>'Single Family'!C34</f>
        <v>23.427768</v>
      </c>
      <c r="E6" s="108">
        <f>'Single Family'!C35</f>
        <v>0</v>
      </c>
      <c r="F6" s="108">
        <f>'Single Family'!C30</f>
        <v>2.1864149999999998</v>
      </c>
      <c r="G6" s="108">
        <f>'Single Family'!C27</f>
        <v>25.839449999999999</v>
      </c>
      <c r="H6" s="108">
        <f>'Single Family'!C37</f>
        <v>42.64171799999999</v>
      </c>
      <c r="I6" s="108">
        <f>'Single Family'!C31/2</f>
        <v>2.9748494999999999</v>
      </c>
      <c r="J6" s="108">
        <f>'Single Family'!C31/2</f>
        <v>2.9748494999999999</v>
      </c>
      <c r="K6" s="108">
        <f>'Single Family'!C28</f>
        <v>23.613281999999998</v>
      </c>
      <c r="L6" s="108">
        <f>'Single Family'!C36</f>
        <v>7.8578430000000168</v>
      </c>
      <c r="M6" s="64"/>
      <c r="N6" s="136">
        <f t="shared" ref="N6:N17" si="0">SUM(C6:L6)</f>
        <v>132.51</v>
      </c>
      <c r="O6" s="75"/>
      <c r="P6" s="68"/>
    </row>
    <row r="7" spans="1:16" ht="15.75" customHeight="1" x14ac:dyDescent="0.2">
      <c r="A7" s="65">
        <f t="shared" ref="A7:A17" si="1">EOMONTH(A6,1)</f>
        <v>42551</v>
      </c>
      <c r="B7" s="66" t="s">
        <v>68</v>
      </c>
      <c r="C7" s="108">
        <f>'Single Family'!D32</f>
        <v>1.20075</v>
      </c>
      <c r="D7" s="109">
        <f>'Single Family'!D34</f>
        <v>28.305680000000002</v>
      </c>
      <c r="E7" s="108">
        <f>'Single Family'!D35</f>
        <v>0</v>
      </c>
      <c r="F7" s="108">
        <f>'Single Family'!D30</f>
        <v>2.6416499999999998</v>
      </c>
      <c r="G7" s="108">
        <f>'Single Family'!D27</f>
        <v>31.2195</v>
      </c>
      <c r="H7" s="108">
        <f>'Single Family'!D37</f>
        <v>51.520179999999996</v>
      </c>
      <c r="I7" s="108">
        <f>'Single Family'!D31/2</f>
        <v>3.5942449999999999</v>
      </c>
      <c r="J7" s="108">
        <f>'Single Family'!D31/2</f>
        <v>3.5942449999999999</v>
      </c>
      <c r="K7" s="108">
        <f>'Single Family'!D28</f>
        <v>28.529819999999997</v>
      </c>
      <c r="L7" s="108">
        <f>'Single Family'!D36</f>
        <v>9.4939300000000202</v>
      </c>
      <c r="M7" s="64"/>
      <c r="N7" s="136">
        <f t="shared" si="0"/>
        <v>160.10000000000002</v>
      </c>
      <c r="P7" s="68"/>
    </row>
    <row r="8" spans="1:16" ht="15.75" customHeight="1" x14ac:dyDescent="0.2">
      <c r="A8" s="65">
        <f t="shared" si="1"/>
        <v>42582</v>
      </c>
      <c r="B8" s="66" t="s">
        <v>69</v>
      </c>
      <c r="C8" s="108">
        <f>'Single Family'!E32</f>
        <v>0.63322500000000004</v>
      </c>
      <c r="D8" s="109">
        <f>'Single Family'!E34</f>
        <v>14.927224000000002</v>
      </c>
      <c r="E8" s="108">
        <f>'Single Family'!E35</f>
        <v>0</v>
      </c>
      <c r="F8" s="108">
        <f>'Single Family'!E30</f>
        <v>1.3930950000000002</v>
      </c>
      <c r="G8" s="108">
        <f>'Single Family'!E27</f>
        <v>16.463850000000001</v>
      </c>
      <c r="H8" s="108">
        <f>'Single Family'!E37</f>
        <v>27.169574000000001</v>
      </c>
      <c r="I8" s="108">
        <f>'Single Family'!E31/2</f>
        <v>1.8954535000000003</v>
      </c>
      <c r="J8" s="108">
        <f>'Single Family'!E31/2</f>
        <v>1.8954535000000003</v>
      </c>
      <c r="K8" s="108">
        <f>'Single Family'!E28</f>
        <v>15.045426000000001</v>
      </c>
      <c r="L8" s="108">
        <f>'Single Family'!E36</f>
        <v>5.0066990000000118</v>
      </c>
      <c r="M8" s="64"/>
      <c r="N8" s="136">
        <f t="shared" si="0"/>
        <v>84.430000000000021</v>
      </c>
      <c r="P8" s="68"/>
    </row>
    <row r="9" spans="1:16" ht="15.75" customHeight="1" x14ac:dyDescent="0.2">
      <c r="A9" s="65">
        <f t="shared" si="1"/>
        <v>42613</v>
      </c>
      <c r="B9" s="66" t="s">
        <v>70</v>
      </c>
      <c r="C9" s="108">
        <f>'Single Family'!F32</f>
        <v>0.85312500000000002</v>
      </c>
      <c r="D9" s="109">
        <f>'Single Family'!F34</f>
        <v>20.111000000000001</v>
      </c>
      <c r="E9" s="108">
        <f>'Single Family'!F35</f>
        <v>0</v>
      </c>
      <c r="F9" s="108">
        <f>'Single Family'!F30</f>
        <v>1.8768750000000001</v>
      </c>
      <c r="G9" s="108">
        <f>'Single Family'!F27</f>
        <v>22.181250000000002</v>
      </c>
      <c r="H9" s="108">
        <f>'Single Family'!F37</f>
        <v>36.604749999999996</v>
      </c>
      <c r="I9" s="108">
        <f>'Single Family'!F31/2</f>
        <v>2.5536875000000001</v>
      </c>
      <c r="J9" s="108">
        <f>'Single Family'!F31/2</f>
        <v>2.5536875000000001</v>
      </c>
      <c r="K9" s="108">
        <f>'Single Family'!F28</f>
        <v>20.270250000000001</v>
      </c>
      <c r="L9" s="108">
        <f>'Single Family'!F36</f>
        <v>6.7453750000000152</v>
      </c>
      <c r="M9" s="64"/>
      <c r="N9" s="136">
        <f t="shared" si="0"/>
        <v>113.75</v>
      </c>
      <c r="P9" s="68"/>
    </row>
    <row r="10" spans="1:16" ht="15.75" customHeight="1" x14ac:dyDescent="0.2">
      <c r="A10" s="65">
        <f t="shared" si="1"/>
        <v>42643</v>
      </c>
      <c r="B10" s="66" t="s">
        <v>71</v>
      </c>
      <c r="C10" s="108">
        <f>'Single Family'!G32</f>
        <v>0.79469999999999996</v>
      </c>
      <c r="D10" s="109">
        <f>'Single Family'!G34</f>
        <v>18.733727999999999</v>
      </c>
      <c r="E10" s="108">
        <f>'Single Family'!G35</f>
        <v>0</v>
      </c>
      <c r="F10" s="108">
        <f>'Single Family'!G30</f>
        <v>1.74834</v>
      </c>
      <c r="G10" s="108">
        <f>'Single Family'!G27</f>
        <v>20.662199999999999</v>
      </c>
      <c r="H10" s="108">
        <f>'Single Family'!G37</f>
        <v>34.097927999999996</v>
      </c>
      <c r="I10" s="108">
        <f>'Single Family'!G31/2</f>
        <v>2.3788019999999999</v>
      </c>
      <c r="J10" s="108">
        <f>'Single Family'!G31/2</f>
        <v>2.3788019999999999</v>
      </c>
      <c r="K10" s="108">
        <f>'Single Family'!G28</f>
        <v>18.882071999999997</v>
      </c>
      <c r="L10" s="108">
        <f>'Single Family'!G36</f>
        <v>6.2834280000000131</v>
      </c>
      <c r="M10" s="64"/>
      <c r="N10" s="136">
        <f t="shared" si="0"/>
        <v>105.95999999999998</v>
      </c>
      <c r="P10" s="68"/>
    </row>
    <row r="11" spans="1:16" ht="15.75" customHeight="1" x14ac:dyDescent="0.2">
      <c r="A11" s="65">
        <f t="shared" si="1"/>
        <v>42674</v>
      </c>
      <c r="B11" s="66" t="s">
        <v>72</v>
      </c>
      <c r="C11" s="108">
        <f>'Single Family'!H32</f>
        <v>1.01925</v>
      </c>
      <c r="D11" s="109">
        <f>'Single Family'!H34</f>
        <v>24.027120000000004</v>
      </c>
      <c r="E11" s="108">
        <f>'Single Family'!H35</f>
        <v>0</v>
      </c>
      <c r="F11" s="108">
        <f>'Single Family'!H30</f>
        <v>2.2423500000000001</v>
      </c>
      <c r="G11" s="108">
        <f>'Single Family'!H27</f>
        <v>26.500500000000002</v>
      </c>
      <c r="H11" s="108">
        <f>'Single Family'!H37</f>
        <v>43.732619999999997</v>
      </c>
      <c r="I11" s="108">
        <f>'Single Family'!H31/2</f>
        <v>3.0509550000000001</v>
      </c>
      <c r="J11" s="108">
        <f>'Single Family'!H31/2</f>
        <v>3.0509550000000001</v>
      </c>
      <c r="K11" s="108">
        <f>'Single Family'!H28</f>
        <v>24.217380000000002</v>
      </c>
      <c r="L11" s="108">
        <f>'Single Family'!H36</f>
        <v>8.0588700000000184</v>
      </c>
      <c r="M11" s="64"/>
      <c r="N11" s="136">
        <f t="shared" si="0"/>
        <v>135.90000000000003</v>
      </c>
      <c r="P11" s="68"/>
    </row>
    <row r="12" spans="1:16" ht="15.75" customHeight="1" x14ac:dyDescent="0.2">
      <c r="A12" s="65">
        <f t="shared" si="1"/>
        <v>42704</v>
      </c>
      <c r="B12" s="66" t="s">
        <v>73</v>
      </c>
      <c r="C12" s="108">
        <f>'Single Family'!I32</f>
        <v>1.15425</v>
      </c>
      <c r="D12" s="109">
        <f>'Single Family'!I34</f>
        <v>27.209520000000001</v>
      </c>
      <c r="E12" s="108">
        <f>'Single Family'!I35</f>
        <v>0</v>
      </c>
      <c r="F12" s="108">
        <f>'Single Family'!I30</f>
        <v>2.5393500000000002</v>
      </c>
      <c r="G12" s="108">
        <f>'Single Family'!I27</f>
        <v>30.0105</v>
      </c>
      <c r="H12" s="108">
        <f>'Single Family'!I37</f>
        <v>49.525019999999998</v>
      </c>
      <c r="I12" s="108">
        <f>'Single Family'!I31/2</f>
        <v>3.4550550000000002</v>
      </c>
      <c r="J12" s="108">
        <f>'Single Family'!I31/2</f>
        <v>3.4550550000000002</v>
      </c>
      <c r="K12" s="108">
        <f>'Single Family'!I28</f>
        <v>27.424980000000001</v>
      </c>
      <c r="L12" s="108">
        <f>'Single Family'!I36</f>
        <v>9.1262700000000212</v>
      </c>
      <c r="M12" s="64"/>
      <c r="N12" s="136">
        <f t="shared" si="0"/>
        <v>153.90000000000003</v>
      </c>
      <c r="P12" s="68"/>
    </row>
    <row r="13" spans="1:16" ht="15.75" customHeight="1" x14ac:dyDescent="0.2">
      <c r="A13" s="65">
        <f t="shared" si="1"/>
        <v>42735</v>
      </c>
      <c r="B13" s="66" t="s">
        <v>74</v>
      </c>
      <c r="C13" s="108">
        <f>'Single Family'!J32</f>
        <v>1.1057250000000001</v>
      </c>
      <c r="D13" s="109">
        <f>'Single Family'!J34</f>
        <v>26.065624000000003</v>
      </c>
      <c r="E13" s="108">
        <f>'Single Family'!J35</f>
        <v>0</v>
      </c>
      <c r="F13" s="108">
        <f>'Single Family'!J30</f>
        <v>2.4325950000000001</v>
      </c>
      <c r="G13" s="108">
        <f>'Single Family'!J27</f>
        <v>28.748850000000001</v>
      </c>
      <c r="H13" s="108">
        <f>'Single Family'!J37</f>
        <v>47.442974</v>
      </c>
      <c r="I13" s="108">
        <f>'Single Family'!J31/2</f>
        <v>3.3098035000000001</v>
      </c>
      <c r="J13" s="108">
        <f>'Single Family'!J31/2</f>
        <v>3.3098035000000001</v>
      </c>
      <c r="K13" s="108">
        <f>'Single Family'!J28</f>
        <v>26.272026</v>
      </c>
      <c r="L13" s="108">
        <f>'Single Family'!J36</f>
        <v>8.7425990000000198</v>
      </c>
      <c r="M13" s="64"/>
      <c r="N13" s="136">
        <f t="shared" si="0"/>
        <v>147.43000000000004</v>
      </c>
      <c r="P13" s="68"/>
    </row>
    <row r="14" spans="1:16" ht="15.75" customHeight="1" x14ac:dyDescent="0.2">
      <c r="A14" s="65">
        <f t="shared" si="1"/>
        <v>42766</v>
      </c>
      <c r="B14" s="66" t="s">
        <v>75</v>
      </c>
      <c r="C14" s="108">
        <f>'Single Family'!K32</f>
        <v>0.87847499999999989</v>
      </c>
      <c r="D14" s="109">
        <f>'Single Family'!K34</f>
        <v>20.708584000000002</v>
      </c>
      <c r="E14" s="108">
        <f>'Single Family'!K35</f>
        <v>0</v>
      </c>
      <c r="F14" s="108">
        <f>'Single Family'!K30</f>
        <v>1.9326449999999999</v>
      </c>
      <c r="G14" s="108">
        <f>'Single Family'!K27</f>
        <v>22.840350000000001</v>
      </c>
      <c r="H14" s="108">
        <f>'Single Family'!K37</f>
        <v>37.692433999999999</v>
      </c>
      <c r="I14" s="108">
        <f>'Single Family'!K31/2</f>
        <v>2.6295685</v>
      </c>
      <c r="J14" s="108">
        <f>'Single Family'!K31/2</f>
        <v>2.6295685</v>
      </c>
      <c r="K14" s="108">
        <f>'Single Family'!K28</f>
        <v>20.872565999999999</v>
      </c>
      <c r="L14" s="108">
        <f>'Single Family'!K36</f>
        <v>6.9458090000000148</v>
      </c>
      <c r="M14" s="64"/>
      <c r="N14" s="136">
        <f t="shared" si="0"/>
        <v>117.13000000000004</v>
      </c>
      <c r="P14" s="68"/>
    </row>
    <row r="15" spans="1:16" ht="15.75" customHeight="1" x14ac:dyDescent="0.2">
      <c r="A15" s="65">
        <f t="shared" si="1"/>
        <v>42794</v>
      </c>
      <c r="B15" s="66" t="s">
        <v>76</v>
      </c>
      <c r="C15" s="108">
        <f>'Single Family'!L32</f>
        <v>0.67882500000000001</v>
      </c>
      <c r="D15" s="109">
        <f>'Single Family'!L34</f>
        <v>16.002168000000001</v>
      </c>
      <c r="E15" s="108">
        <f>'Single Family'!L35</f>
        <v>0</v>
      </c>
      <c r="F15" s="108">
        <f>'Single Family'!L30</f>
        <v>1.4934150000000002</v>
      </c>
      <c r="G15" s="108">
        <f>'Single Family'!L27</f>
        <v>17.649450000000002</v>
      </c>
      <c r="H15" s="108">
        <f>'Single Family'!L37</f>
        <v>29.126117999999998</v>
      </c>
      <c r="I15" s="108">
        <f>'Single Family'!L31/2</f>
        <v>2.0319495000000001</v>
      </c>
      <c r="J15" s="108">
        <f>'Single Family'!L31/2</f>
        <v>2.0319495000000001</v>
      </c>
      <c r="K15" s="108">
        <f>'Single Family'!L28</f>
        <v>16.128882000000001</v>
      </c>
      <c r="L15" s="108">
        <f>'Single Family'!L36</f>
        <v>5.3672430000000118</v>
      </c>
      <c r="M15" s="64"/>
      <c r="N15" s="136">
        <f t="shared" si="0"/>
        <v>90.51</v>
      </c>
      <c r="P15" s="68"/>
    </row>
    <row r="16" spans="1:16" ht="15.75" customHeight="1" x14ac:dyDescent="0.2">
      <c r="A16" s="65">
        <f t="shared" si="1"/>
        <v>42825</v>
      </c>
      <c r="B16" s="66" t="s">
        <v>77</v>
      </c>
      <c r="C16" s="108">
        <f>'Single Family'!M32</f>
        <v>0.81224999999999992</v>
      </c>
      <c r="D16" s="109">
        <f>'Single Family'!M34</f>
        <v>19.14744</v>
      </c>
      <c r="E16" s="108">
        <f>'Single Family'!M35</f>
        <v>0</v>
      </c>
      <c r="F16" s="108">
        <f>'Single Family'!M30</f>
        <v>1.78695</v>
      </c>
      <c r="G16" s="108">
        <f>'Single Family'!M27</f>
        <v>21.118500000000001</v>
      </c>
      <c r="H16" s="108">
        <f>'Single Family'!M37</f>
        <v>34.850939999999994</v>
      </c>
      <c r="I16" s="108">
        <f>'Single Family'!M31/2</f>
        <v>2.4313350000000002</v>
      </c>
      <c r="J16" s="108">
        <f>'Single Family'!M31/2</f>
        <v>2.4313350000000002</v>
      </c>
      <c r="K16" s="108">
        <f>'Single Family'!M28</f>
        <v>19.299060000000001</v>
      </c>
      <c r="L16" s="108">
        <f>'Single Family'!M36</f>
        <v>6.4221900000000138</v>
      </c>
      <c r="M16" s="64"/>
      <c r="N16" s="136">
        <f t="shared" si="0"/>
        <v>108.30000000000001</v>
      </c>
      <c r="P16" s="68"/>
    </row>
    <row r="17" spans="1:16" ht="15.75" customHeight="1" x14ac:dyDescent="0.2">
      <c r="A17" s="65">
        <f t="shared" si="1"/>
        <v>42855</v>
      </c>
      <c r="B17" s="66" t="s">
        <v>78</v>
      </c>
      <c r="C17" s="108">
        <f>'Single Family'!N32</f>
        <v>0.81097499999999989</v>
      </c>
      <c r="D17" s="109">
        <f>'Single Family'!N34</f>
        <v>19.117384000000001</v>
      </c>
      <c r="E17" s="108">
        <f>'Single Family'!N35</f>
        <v>0</v>
      </c>
      <c r="F17" s="108">
        <f>'Single Family'!N30</f>
        <v>1.7841450000000001</v>
      </c>
      <c r="G17" s="108">
        <f>'Single Family'!N27</f>
        <v>21.085349999999998</v>
      </c>
      <c r="H17" s="108">
        <f>'Single Family'!N37</f>
        <v>34.796233999999998</v>
      </c>
      <c r="I17" s="108">
        <f>'Single Family'!N31/2</f>
        <v>2.4275185000000001</v>
      </c>
      <c r="J17" s="108">
        <f>'Single Family'!N31/2</f>
        <v>2.4275185000000001</v>
      </c>
      <c r="K17" s="108">
        <f>'Single Family'!N28</f>
        <v>19.268765999999999</v>
      </c>
      <c r="L17" s="108">
        <f>'Single Family'!N36</f>
        <v>6.4121090000000143</v>
      </c>
      <c r="M17" s="64"/>
      <c r="N17" s="136">
        <f t="shared" si="0"/>
        <v>108.13000000000002</v>
      </c>
      <c r="P17" s="68"/>
    </row>
    <row r="18" spans="1:16" ht="15.75" customHeight="1" x14ac:dyDescent="0.2">
      <c r="A18" s="69" t="s">
        <v>32</v>
      </c>
      <c r="B18" s="66"/>
      <c r="C18" s="137">
        <f t="shared" ref="C18:L18" si="2">SUM(C6:C17)</f>
        <v>10.935375000000001</v>
      </c>
      <c r="D18" s="137">
        <f t="shared" si="2"/>
        <v>257.78324000000003</v>
      </c>
      <c r="E18" s="137">
        <f t="shared" si="2"/>
        <v>0</v>
      </c>
      <c r="F18" s="137">
        <f t="shared" si="2"/>
        <v>24.057825000000001</v>
      </c>
      <c r="G18" s="137">
        <f t="shared" si="2"/>
        <v>284.31975</v>
      </c>
      <c r="H18" s="137">
        <f t="shared" si="2"/>
        <v>469.20048999999995</v>
      </c>
      <c r="I18" s="137">
        <f t="shared" si="2"/>
        <v>32.733222500000004</v>
      </c>
      <c r="J18" s="137">
        <f t="shared" si="2"/>
        <v>32.733222500000004</v>
      </c>
      <c r="K18" s="137">
        <f t="shared" si="2"/>
        <v>259.82451000000003</v>
      </c>
      <c r="L18" s="137">
        <f t="shared" si="2"/>
        <v>86.462365000000204</v>
      </c>
      <c r="M18" s="64"/>
      <c r="N18" s="138">
        <f>SUM(N6:N17)</f>
        <v>1458.0500000000004</v>
      </c>
      <c r="O18" s="67"/>
    </row>
    <row r="19" spans="1:16" x14ac:dyDescent="0.2">
      <c r="A19" s="65"/>
      <c r="B19" s="66"/>
      <c r="C19" s="66"/>
      <c r="D19" s="66"/>
      <c r="E19" s="66"/>
      <c r="F19" s="66"/>
      <c r="G19" s="66"/>
      <c r="H19" s="66"/>
      <c r="I19" s="66"/>
      <c r="J19" s="66"/>
      <c r="K19" s="66"/>
      <c r="L19" s="66"/>
      <c r="M19" s="64"/>
      <c r="N19" s="67"/>
    </row>
    <row r="20" spans="1:16" x14ac:dyDescent="0.2">
      <c r="A20" s="59"/>
      <c r="B20" s="66"/>
      <c r="C20" s="66"/>
      <c r="D20" s="66"/>
      <c r="E20" s="66"/>
      <c r="F20" s="66"/>
      <c r="G20" s="66"/>
      <c r="H20" s="66"/>
      <c r="I20" s="66"/>
      <c r="J20" s="66"/>
      <c r="K20" s="66"/>
      <c r="L20" s="66"/>
      <c r="M20" s="64"/>
      <c r="N20" s="67"/>
    </row>
    <row r="21" spans="1:16" x14ac:dyDescent="0.2">
      <c r="A21" s="65"/>
      <c r="B21" s="66"/>
      <c r="C21" s="66"/>
      <c r="D21" s="66"/>
      <c r="E21" s="66"/>
      <c r="F21" s="66"/>
      <c r="G21" s="66"/>
      <c r="H21" s="66"/>
      <c r="I21" s="66"/>
      <c r="J21" s="66"/>
      <c r="K21" s="66"/>
      <c r="L21" s="66"/>
      <c r="M21" s="64"/>
      <c r="N21" s="67"/>
    </row>
    <row r="22" spans="1:16" x14ac:dyDescent="0.2">
      <c r="A22" s="65"/>
      <c r="B22" s="66"/>
      <c r="C22" s="66"/>
      <c r="D22" s="66"/>
      <c r="E22" s="66"/>
      <c r="F22" s="66"/>
      <c r="G22" s="66"/>
      <c r="H22" s="66"/>
      <c r="I22" s="66"/>
      <c r="J22" s="66"/>
      <c r="K22" s="66"/>
      <c r="L22" s="66"/>
      <c r="M22" s="64"/>
      <c r="N22" s="67"/>
    </row>
    <row r="23" spans="1:16" x14ac:dyDescent="0.2">
      <c r="A23" s="66"/>
      <c r="B23" s="66"/>
      <c r="C23" s="66"/>
      <c r="D23" s="66"/>
      <c r="E23" s="66"/>
      <c r="F23" s="66"/>
      <c r="G23" s="66"/>
      <c r="H23" s="66"/>
      <c r="I23" s="66"/>
      <c r="J23" s="66"/>
      <c r="K23" s="66"/>
      <c r="L23" s="66"/>
      <c r="M23" s="64"/>
      <c r="N23" s="67"/>
    </row>
    <row r="24" spans="1:16" x14ac:dyDescent="0.2">
      <c r="A24" s="66"/>
      <c r="B24" s="66"/>
      <c r="C24" s="66"/>
      <c r="D24" s="66"/>
      <c r="E24" s="66"/>
      <c r="F24" s="66"/>
      <c r="G24" s="66"/>
      <c r="H24" s="66"/>
      <c r="I24" s="66"/>
      <c r="J24" s="66"/>
      <c r="K24" s="66"/>
      <c r="L24" s="66"/>
      <c r="M24" s="64"/>
      <c r="N24" s="67"/>
    </row>
    <row r="25" spans="1:16" x14ac:dyDescent="0.2">
      <c r="A25" s="66"/>
      <c r="B25" s="66"/>
      <c r="C25" s="66"/>
      <c r="E25" s="66"/>
      <c r="F25" s="66"/>
      <c r="G25" s="66"/>
      <c r="H25" s="66"/>
      <c r="I25" s="66"/>
      <c r="J25" s="66"/>
      <c r="K25" s="66"/>
      <c r="L25" s="66"/>
      <c r="M25" s="64"/>
      <c r="N25" s="67"/>
    </row>
    <row r="26" spans="1:16" x14ac:dyDescent="0.2">
      <c r="A26" s="66"/>
      <c r="B26" s="66"/>
      <c r="C26" s="66"/>
      <c r="D26" s="66"/>
      <c r="E26" s="66"/>
      <c r="F26" s="66"/>
      <c r="G26" s="66"/>
      <c r="H26" s="66"/>
      <c r="I26" s="66"/>
      <c r="J26" s="66"/>
      <c r="K26" s="66"/>
      <c r="L26" s="66"/>
      <c r="M26" s="64"/>
      <c r="N26" s="67"/>
    </row>
    <row r="27" spans="1:16" x14ac:dyDescent="0.2">
      <c r="A27" s="66"/>
      <c r="B27" s="66"/>
      <c r="C27" s="66"/>
      <c r="D27" s="66"/>
      <c r="E27" s="66"/>
      <c r="F27" s="66"/>
      <c r="G27" s="66"/>
      <c r="H27" s="66"/>
      <c r="I27" s="66"/>
      <c r="J27" s="66"/>
      <c r="K27" s="66"/>
      <c r="L27" s="66"/>
      <c r="M27" s="64"/>
      <c r="N27" s="67"/>
    </row>
    <row r="28" spans="1:16" x14ac:dyDescent="0.2">
      <c r="A28" s="66"/>
      <c r="B28" s="66"/>
      <c r="C28" s="66"/>
      <c r="D28" s="66"/>
      <c r="E28" s="66"/>
      <c r="F28" s="66"/>
      <c r="G28" s="66"/>
      <c r="H28" s="66"/>
      <c r="I28" s="66"/>
      <c r="J28" s="66"/>
      <c r="K28" s="66"/>
      <c r="L28" s="66"/>
      <c r="M28" s="64"/>
      <c r="N28" s="66"/>
    </row>
    <row r="29" spans="1:16" x14ac:dyDescent="0.2">
      <c r="A29" s="66"/>
      <c r="B29" s="66"/>
      <c r="C29" s="66"/>
      <c r="D29" s="66"/>
      <c r="E29" s="66"/>
      <c r="F29" s="66"/>
      <c r="G29" s="66"/>
      <c r="H29" s="66"/>
      <c r="I29" s="66"/>
      <c r="J29" s="66"/>
      <c r="K29" s="66"/>
      <c r="L29" s="66"/>
      <c r="M29" s="64"/>
      <c r="N29" s="66"/>
    </row>
    <row r="30" spans="1:16" x14ac:dyDescent="0.2">
      <c r="A30" s="66"/>
      <c r="B30" s="66"/>
      <c r="C30" s="66"/>
      <c r="D30" s="66"/>
      <c r="E30" s="66"/>
      <c r="F30" s="66"/>
      <c r="G30" s="66"/>
      <c r="H30" s="66"/>
      <c r="I30" s="66"/>
      <c r="J30" s="66"/>
      <c r="K30" s="66"/>
      <c r="L30" s="66"/>
      <c r="M30" s="64"/>
      <c r="N30" s="66"/>
    </row>
    <row r="31" spans="1:16" x14ac:dyDescent="0.2">
      <c r="A31" s="66"/>
      <c r="B31" s="66"/>
      <c r="C31" s="66"/>
      <c r="D31" s="66"/>
      <c r="E31" s="66"/>
      <c r="F31" s="66"/>
      <c r="G31" s="66"/>
      <c r="H31" s="66"/>
      <c r="I31" s="66"/>
      <c r="J31" s="66"/>
      <c r="K31" s="66"/>
      <c r="L31" s="66"/>
      <c r="M31" s="64"/>
      <c r="N31" s="66"/>
    </row>
    <row r="32" spans="1:16" x14ac:dyDescent="0.2">
      <c r="A32" s="66"/>
      <c r="B32" s="66"/>
      <c r="C32" s="66"/>
      <c r="D32" s="66"/>
      <c r="E32" s="66"/>
      <c r="F32" s="66"/>
      <c r="G32" s="66"/>
      <c r="H32" s="66"/>
      <c r="I32" s="66"/>
      <c r="J32" s="66"/>
      <c r="K32" s="66"/>
      <c r="L32" s="66"/>
      <c r="M32" s="64"/>
      <c r="N32" s="66"/>
    </row>
    <row r="33" spans="1:14" x14ac:dyDescent="0.2">
      <c r="A33" s="66"/>
      <c r="B33" s="66"/>
      <c r="C33" s="66"/>
      <c r="D33" s="66"/>
      <c r="E33" s="66"/>
      <c r="F33" s="66"/>
      <c r="G33" s="66"/>
      <c r="H33" s="66"/>
      <c r="I33" s="66"/>
      <c r="J33" s="66"/>
      <c r="K33" s="66"/>
      <c r="L33" s="66"/>
      <c r="M33" s="64"/>
      <c r="N33" s="66"/>
    </row>
    <row r="34" spans="1:14" x14ac:dyDescent="0.2">
      <c r="A34" s="66"/>
      <c r="B34" s="66"/>
      <c r="C34" s="66"/>
      <c r="D34" s="66"/>
      <c r="E34" s="66"/>
      <c r="F34" s="66"/>
      <c r="G34" s="66"/>
      <c r="H34" s="66"/>
      <c r="I34" s="66"/>
      <c r="J34" s="66"/>
      <c r="K34" s="66"/>
      <c r="L34" s="66"/>
      <c r="M34" s="64"/>
      <c r="N34" s="66"/>
    </row>
    <row r="35" spans="1:14" x14ac:dyDescent="0.2">
      <c r="A35" s="66"/>
      <c r="B35" s="66"/>
      <c r="C35" s="66"/>
      <c r="D35" s="66"/>
      <c r="E35" s="66"/>
      <c r="F35" s="66"/>
      <c r="G35" s="66"/>
      <c r="H35" s="66"/>
      <c r="I35" s="66"/>
      <c r="J35" s="66"/>
      <c r="K35" s="66"/>
      <c r="L35" s="66"/>
      <c r="M35" s="64"/>
      <c r="N35" s="66"/>
    </row>
    <row r="36" spans="1:14" x14ac:dyDescent="0.2">
      <c r="A36" s="66"/>
      <c r="B36" s="66"/>
      <c r="C36" s="66"/>
      <c r="D36" s="66"/>
      <c r="E36" s="66"/>
      <c r="F36" s="66"/>
      <c r="G36" s="66"/>
      <c r="H36" s="66"/>
      <c r="I36" s="66"/>
      <c r="J36" s="66"/>
      <c r="K36" s="66"/>
      <c r="L36" s="66"/>
      <c r="M36" s="64"/>
      <c r="N36" s="66"/>
    </row>
    <row r="37" spans="1:14" x14ac:dyDescent="0.2">
      <c r="A37" s="66"/>
      <c r="B37" s="66"/>
      <c r="C37" s="66"/>
      <c r="D37" s="66"/>
      <c r="E37" s="66"/>
      <c r="F37" s="66"/>
      <c r="G37" s="66"/>
      <c r="H37" s="66"/>
      <c r="I37" s="66"/>
      <c r="J37" s="66"/>
      <c r="K37" s="66"/>
      <c r="L37" s="66"/>
      <c r="M37" s="64"/>
      <c r="N37" s="66"/>
    </row>
    <row r="38" spans="1:14" x14ac:dyDescent="0.2">
      <c r="A38" s="66"/>
      <c r="B38" s="66"/>
      <c r="C38" s="66"/>
      <c r="D38" s="66"/>
      <c r="E38" s="66"/>
      <c r="F38" s="66"/>
      <c r="G38" s="66"/>
      <c r="H38" s="66"/>
      <c r="I38" s="66"/>
      <c r="J38" s="66"/>
      <c r="K38" s="66"/>
      <c r="L38" s="66"/>
      <c r="M38" s="64"/>
      <c r="N38" s="66"/>
    </row>
    <row r="39" spans="1:14" x14ac:dyDescent="0.2">
      <c r="A39" s="66"/>
      <c r="B39" s="66"/>
      <c r="C39" s="66"/>
      <c r="D39" s="66"/>
      <c r="E39" s="66"/>
      <c r="F39" s="66"/>
      <c r="G39" s="66"/>
      <c r="H39" s="66"/>
      <c r="I39" s="66"/>
      <c r="J39" s="66"/>
      <c r="K39" s="66"/>
      <c r="L39" s="66"/>
      <c r="M39" s="66"/>
      <c r="N39" s="66"/>
    </row>
    <row r="40" spans="1:14" x14ac:dyDescent="0.2">
      <c r="A40" s="66"/>
      <c r="B40" s="66"/>
      <c r="C40" s="66"/>
      <c r="D40" s="66"/>
      <c r="E40" s="66"/>
      <c r="F40" s="66"/>
      <c r="G40" s="66"/>
      <c r="H40" s="66"/>
      <c r="I40" s="66"/>
      <c r="J40" s="66"/>
      <c r="K40" s="66"/>
      <c r="L40" s="66"/>
      <c r="M40" s="66"/>
      <c r="N40" s="66"/>
    </row>
    <row r="41" spans="1:14" x14ac:dyDescent="0.2">
      <c r="A41" s="66"/>
      <c r="B41" s="66"/>
      <c r="C41" s="66"/>
      <c r="D41" s="66"/>
      <c r="E41" s="66"/>
      <c r="F41" s="66"/>
      <c r="G41" s="66"/>
      <c r="H41" s="66"/>
      <c r="I41" s="66"/>
      <c r="J41" s="66"/>
      <c r="K41" s="66"/>
      <c r="L41" s="66"/>
      <c r="M41" s="66"/>
      <c r="N41" s="66"/>
    </row>
    <row r="42" spans="1:14" x14ac:dyDescent="0.2">
      <c r="A42" s="66"/>
      <c r="B42" s="66"/>
      <c r="C42" s="66"/>
      <c r="D42" s="66"/>
      <c r="E42" s="66"/>
      <c r="F42" s="66"/>
      <c r="G42" s="66"/>
      <c r="H42" s="66"/>
      <c r="I42" s="66"/>
      <c r="J42" s="66"/>
      <c r="K42" s="66"/>
      <c r="L42" s="66"/>
      <c r="M42" s="66"/>
      <c r="N42" s="66"/>
    </row>
    <row r="43" spans="1:14" x14ac:dyDescent="0.2">
      <c r="A43" s="66"/>
      <c r="B43" s="66"/>
      <c r="C43" s="66"/>
      <c r="D43" s="66"/>
      <c r="E43" s="66"/>
      <c r="F43" s="66"/>
      <c r="G43" s="66"/>
      <c r="H43" s="66"/>
      <c r="I43" s="66"/>
      <c r="J43" s="66"/>
      <c r="K43" s="66"/>
      <c r="L43" s="66"/>
      <c r="M43" s="66"/>
      <c r="N43" s="66"/>
    </row>
    <row r="44" spans="1:14" x14ac:dyDescent="0.2">
      <c r="A44" s="66"/>
      <c r="B44" s="66"/>
      <c r="C44" s="66"/>
      <c r="D44" s="66"/>
      <c r="E44" s="66"/>
      <c r="F44" s="66"/>
      <c r="G44" s="66"/>
      <c r="H44" s="66"/>
      <c r="I44" s="66"/>
      <c r="J44" s="66"/>
      <c r="K44" s="66"/>
      <c r="L44" s="66"/>
      <c r="M44" s="66"/>
      <c r="N44" s="66"/>
    </row>
    <row r="45" spans="1:14" x14ac:dyDescent="0.2">
      <c r="A45" s="66"/>
      <c r="B45" s="66"/>
      <c r="C45" s="66"/>
      <c r="D45" s="66"/>
      <c r="E45" s="66"/>
      <c r="F45" s="66"/>
      <c r="G45" s="66"/>
      <c r="H45" s="66"/>
      <c r="I45" s="66"/>
      <c r="J45" s="66"/>
      <c r="K45" s="66"/>
      <c r="L45" s="66"/>
      <c r="M45" s="66"/>
      <c r="N45" s="66"/>
    </row>
    <row r="46" spans="1:14" x14ac:dyDescent="0.2">
      <c r="A46" s="66"/>
      <c r="B46" s="66"/>
      <c r="C46" s="66"/>
      <c r="D46" s="66"/>
      <c r="E46" s="66"/>
      <c r="F46" s="66"/>
      <c r="G46" s="66"/>
      <c r="H46" s="66"/>
      <c r="I46" s="66"/>
      <c r="J46" s="66"/>
      <c r="K46" s="66"/>
      <c r="L46" s="66"/>
      <c r="M46" s="66"/>
      <c r="N46" s="66"/>
    </row>
    <row r="47" spans="1:14" x14ac:dyDescent="0.2">
      <c r="A47" s="66"/>
      <c r="B47" s="66"/>
      <c r="C47" s="66"/>
      <c r="D47" s="66"/>
      <c r="E47" s="66"/>
      <c r="F47" s="66"/>
      <c r="G47" s="66"/>
      <c r="H47" s="66"/>
      <c r="I47" s="66"/>
      <c r="J47" s="66"/>
      <c r="K47" s="66"/>
      <c r="L47" s="66"/>
      <c r="M47" s="66"/>
      <c r="N47" s="66"/>
    </row>
    <row r="48" spans="1:14" x14ac:dyDescent="0.2">
      <c r="A48" s="66"/>
      <c r="B48" s="66"/>
      <c r="C48" s="66"/>
      <c r="D48" s="66"/>
      <c r="E48" s="66"/>
      <c r="F48" s="66"/>
      <c r="G48" s="66"/>
      <c r="H48" s="66"/>
      <c r="I48" s="66"/>
      <c r="J48" s="66"/>
      <c r="K48" s="66"/>
      <c r="L48" s="66"/>
      <c r="M48" s="66"/>
      <c r="N48" s="66"/>
    </row>
    <row r="49" spans="1:14" x14ac:dyDescent="0.2">
      <c r="A49" s="66"/>
      <c r="B49" s="66"/>
      <c r="C49" s="66"/>
      <c r="D49" s="66"/>
      <c r="E49" s="66"/>
      <c r="F49" s="66"/>
      <c r="G49" s="66"/>
      <c r="H49" s="66"/>
      <c r="I49" s="66"/>
      <c r="J49" s="66"/>
      <c r="K49" s="66"/>
      <c r="L49" s="66"/>
      <c r="M49" s="66"/>
      <c r="N49" s="66"/>
    </row>
    <row r="50" spans="1:14" x14ac:dyDescent="0.2">
      <c r="A50" s="66"/>
      <c r="B50" s="66"/>
      <c r="C50" s="66"/>
      <c r="D50" s="66"/>
      <c r="E50" s="66"/>
      <c r="F50" s="66"/>
      <c r="G50" s="66"/>
      <c r="H50" s="66"/>
      <c r="I50" s="66"/>
      <c r="J50" s="66"/>
      <c r="K50" s="66"/>
      <c r="L50" s="66"/>
      <c r="M50" s="66"/>
      <c r="N50" s="66"/>
    </row>
    <row r="51" spans="1:14" x14ac:dyDescent="0.2">
      <c r="A51" s="66"/>
      <c r="B51" s="66"/>
      <c r="C51" s="66"/>
      <c r="D51" s="66"/>
      <c r="E51" s="66"/>
      <c r="F51" s="66"/>
      <c r="G51" s="66"/>
      <c r="H51" s="66"/>
      <c r="I51" s="66"/>
      <c r="J51" s="66"/>
      <c r="K51" s="66"/>
      <c r="L51" s="66"/>
      <c r="M51" s="66"/>
      <c r="N51" s="66"/>
    </row>
    <row r="52" spans="1:14" x14ac:dyDescent="0.2">
      <c r="A52" s="66"/>
      <c r="B52" s="66"/>
      <c r="C52" s="66"/>
      <c r="D52" s="66"/>
      <c r="E52" s="66"/>
      <c r="F52" s="66"/>
      <c r="G52" s="66"/>
      <c r="H52" s="66"/>
      <c r="I52" s="66"/>
      <c r="J52" s="66"/>
      <c r="K52" s="66"/>
      <c r="L52" s="66"/>
      <c r="M52" s="66"/>
      <c r="N52" s="66"/>
    </row>
    <row r="53" spans="1:14" x14ac:dyDescent="0.2">
      <c r="A53" s="66"/>
      <c r="B53" s="66"/>
      <c r="C53" s="66"/>
      <c r="D53" s="66"/>
      <c r="E53" s="66"/>
      <c r="F53" s="66"/>
      <c r="G53" s="66"/>
      <c r="H53" s="66"/>
      <c r="I53" s="66"/>
      <c r="J53" s="66"/>
      <c r="K53" s="66"/>
      <c r="L53" s="66"/>
      <c r="M53" s="66"/>
      <c r="N53" s="66"/>
    </row>
    <row r="54" spans="1:14" x14ac:dyDescent="0.2">
      <c r="A54" s="66"/>
      <c r="B54" s="66"/>
      <c r="C54" s="66"/>
      <c r="D54" s="66"/>
      <c r="E54" s="66"/>
      <c r="F54" s="66"/>
      <c r="G54" s="66"/>
      <c r="H54" s="66"/>
      <c r="I54" s="66"/>
      <c r="J54" s="66"/>
      <c r="K54" s="66"/>
      <c r="L54" s="66"/>
      <c r="M54" s="66"/>
      <c r="N54" s="66"/>
    </row>
    <row r="55" spans="1:14" x14ac:dyDescent="0.2">
      <c r="A55" s="66"/>
      <c r="B55" s="66"/>
      <c r="C55" s="66"/>
      <c r="D55" s="66"/>
      <c r="E55" s="66"/>
      <c r="F55" s="66"/>
      <c r="G55" s="66"/>
      <c r="H55" s="66"/>
      <c r="I55" s="66"/>
      <c r="J55" s="66"/>
      <c r="K55" s="66"/>
      <c r="L55" s="66"/>
      <c r="M55" s="66"/>
      <c r="N55" s="66"/>
    </row>
    <row r="56" spans="1:14" x14ac:dyDescent="0.2">
      <c r="A56" s="66"/>
      <c r="B56" s="66"/>
      <c r="C56" s="66"/>
      <c r="D56" s="66"/>
      <c r="E56" s="66"/>
      <c r="F56" s="66"/>
      <c r="G56" s="66"/>
      <c r="H56" s="66"/>
      <c r="I56" s="66"/>
      <c r="J56" s="66"/>
      <c r="K56" s="66"/>
      <c r="L56" s="66"/>
      <c r="M56" s="66"/>
      <c r="N56" s="66"/>
    </row>
    <row r="57" spans="1:14" x14ac:dyDescent="0.2">
      <c r="A57" s="66"/>
      <c r="B57" s="66"/>
      <c r="C57" s="66"/>
      <c r="D57" s="66"/>
      <c r="E57" s="66"/>
      <c r="F57" s="66"/>
      <c r="G57" s="66"/>
      <c r="H57" s="66"/>
      <c r="I57" s="66"/>
      <c r="J57" s="66"/>
      <c r="K57" s="66"/>
      <c r="L57" s="66"/>
      <c r="M57" s="66"/>
      <c r="N57" s="66"/>
    </row>
    <row r="58" spans="1:14" x14ac:dyDescent="0.2">
      <c r="A58" s="66"/>
      <c r="B58" s="66"/>
      <c r="C58" s="66"/>
      <c r="D58" s="66"/>
      <c r="E58" s="66"/>
      <c r="F58" s="66"/>
      <c r="G58" s="66"/>
      <c r="H58" s="66"/>
      <c r="I58" s="66"/>
      <c r="J58" s="66"/>
      <c r="K58" s="66"/>
      <c r="L58" s="66"/>
      <c r="M58" s="66"/>
      <c r="N58" s="66"/>
    </row>
    <row r="59" spans="1:14" x14ac:dyDescent="0.2">
      <c r="A59" s="66"/>
      <c r="B59" s="66"/>
      <c r="C59" s="66"/>
      <c r="D59" s="66"/>
      <c r="E59" s="66"/>
      <c r="F59" s="66"/>
      <c r="G59" s="66"/>
      <c r="H59" s="66"/>
      <c r="I59" s="66"/>
      <c r="J59" s="66"/>
      <c r="K59" s="66"/>
      <c r="L59" s="66"/>
      <c r="M59" s="66"/>
      <c r="N59" s="66"/>
    </row>
    <row r="60" spans="1:14" x14ac:dyDescent="0.2">
      <c r="A60" s="66"/>
      <c r="B60" s="66"/>
      <c r="C60" s="66"/>
      <c r="D60" s="66"/>
      <c r="E60" s="66"/>
      <c r="F60" s="66"/>
      <c r="G60" s="66"/>
      <c r="H60" s="66"/>
      <c r="I60" s="66"/>
      <c r="J60" s="66"/>
      <c r="K60" s="66"/>
      <c r="L60" s="66"/>
      <c r="M60" s="66"/>
      <c r="N60" s="66"/>
    </row>
    <row r="61" spans="1:14" x14ac:dyDescent="0.2">
      <c r="A61" s="66"/>
      <c r="B61" s="66"/>
      <c r="C61" s="66"/>
      <c r="D61" s="66"/>
      <c r="E61" s="66"/>
      <c r="F61" s="66"/>
      <c r="G61" s="66"/>
      <c r="H61" s="66"/>
      <c r="I61" s="66"/>
      <c r="J61" s="66"/>
      <c r="K61" s="66"/>
      <c r="L61" s="66"/>
      <c r="M61" s="66"/>
      <c r="N61" s="66"/>
    </row>
    <row r="62" spans="1:14" x14ac:dyDescent="0.2">
      <c r="A62" s="66"/>
      <c r="B62" s="66"/>
      <c r="C62" s="66"/>
      <c r="D62" s="66"/>
      <c r="E62" s="66"/>
      <c r="F62" s="66"/>
      <c r="G62" s="66"/>
      <c r="H62" s="66"/>
      <c r="I62" s="66"/>
      <c r="J62" s="66"/>
      <c r="K62" s="66"/>
      <c r="L62" s="66"/>
      <c r="M62" s="66"/>
      <c r="N62" s="66"/>
    </row>
    <row r="63" spans="1:14" x14ac:dyDescent="0.2">
      <c r="A63" s="66"/>
      <c r="B63" s="66"/>
      <c r="C63" s="66"/>
      <c r="D63" s="66"/>
      <c r="E63" s="66"/>
      <c r="F63" s="66"/>
      <c r="G63" s="66"/>
      <c r="H63" s="66"/>
      <c r="I63" s="66"/>
      <c r="J63" s="66"/>
      <c r="K63" s="66"/>
      <c r="L63" s="66"/>
      <c r="M63" s="66"/>
      <c r="N63" s="66"/>
    </row>
    <row r="64" spans="1:14" x14ac:dyDescent="0.2">
      <c r="A64" s="66"/>
      <c r="B64" s="66"/>
      <c r="C64" s="66"/>
      <c r="D64" s="66"/>
      <c r="E64" s="66"/>
      <c r="F64" s="66"/>
      <c r="G64" s="66"/>
      <c r="H64" s="66"/>
      <c r="I64" s="66"/>
      <c r="J64" s="66"/>
      <c r="K64" s="66"/>
      <c r="L64" s="66"/>
      <c r="M64" s="66"/>
      <c r="N64" s="66"/>
    </row>
    <row r="65" spans="1:14" x14ac:dyDescent="0.2">
      <c r="A65" s="66"/>
      <c r="B65" s="66"/>
      <c r="C65" s="66"/>
      <c r="D65" s="66"/>
      <c r="E65" s="66"/>
      <c r="F65" s="66"/>
      <c r="G65" s="66"/>
      <c r="H65" s="66"/>
      <c r="I65" s="66"/>
      <c r="J65" s="66"/>
      <c r="K65" s="66"/>
      <c r="L65" s="66"/>
      <c r="M65" s="66"/>
      <c r="N65" s="66"/>
    </row>
    <row r="66" spans="1:14" x14ac:dyDescent="0.2">
      <c r="A66" s="66"/>
      <c r="B66" s="66"/>
      <c r="C66" s="66"/>
      <c r="D66" s="66"/>
      <c r="E66" s="66"/>
      <c r="F66" s="66"/>
      <c r="G66" s="66"/>
      <c r="H66" s="66"/>
      <c r="I66" s="66"/>
      <c r="J66" s="66"/>
      <c r="K66" s="66"/>
      <c r="L66" s="66"/>
      <c r="M66" s="66"/>
      <c r="N66" s="66"/>
    </row>
    <row r="67" spans="1:14" x14ac:dyDescent="0.2">
      <c r="A67" s="66"/>
      <c r="B67" s="66"/>
      <c r="C67" s="66"/>
      <c r="D67" s="66"/>
      <c r="E67" s="66"/>
      <c r="F67" s="66"/>
      <c r="G67" s="66"/>
      <c r="H67" s="66"/>
      <c r="I67" s="66"/>
      <c r="J67" s="66"/>
      <c r="K67" s="66"/>
      <c r="L67" s="66"/>
      <c r="M67" s="66"/>
      <c r="N67" s="66"/>
    </row>
    <row r="68" spans="1:14" x14ac:dyDescent="0.2">
      <c r="A68" s="66"/>
      <c r="B68" s="66"/>
      <c r="C68" s="66"/>
      <c r="D68" s="66"/>
      <c r="E68" s="66"/>
      <c r="F68" s="66"/>
      <c r="G68" s="66"/>
      <c r="H68" s="66"/>
      <c r="I68" s="66"/>
      <c r="J68" s="66"/>
      <c r="K68" s="66"/>
      <c r="L68" s="66"/>
      <c r="M68" s="66"/>
      <c r="N68" s="66"/>
    </row>
    <row r="69" spans="1:14" x14ac:dyDescent="0.2">
      <c r="A69" s="66"/>
      <c r="B69" s="66"/>
      <c r="C69" s="66"/>
      <c r="D69" s="66"/>
      <c r="E69" s="66"/>
      <c r="F69" s="66"/>
      <c r="G69" s="66"/>
      <c r="H69" s="66"/>
      <c r="I69" s="66"/>
      <c r="J69" s="66"/>
      <c r="K69" s="66"/>
      <c r="L69" s="66"/>
      <c r="M69" s="66"/>
      <c r="N69" s="66"/>
    </row>
    <row r="70" spans="1:14" x14ac:dyDescent="0.2">
      <c r="A70" s="66"/>
      <c r="B70" s="66"/>
      <c r="C70" s="66"/>
      <c r="D70" s="66"/>
      <c r="E70" s="66"/>
      <c r="F70" s="66"/>
      <c r="G70" s="66"/>
      <c r="H70" s="66"/>
      <c r="I70" s="66"/>
      <c r="J70" s="66"/>
      <c r="K70" s="66"/>
      <c r="L70" s="66"/>
      <c r="M70" s="66"/>
      <c r="N70" s="66"/>
    </row>
    <row r="71" spans="1:14" x14ac:dyDescent="0.2">
      <c r="A71" s="66"/>
      <c r="B71" s="66"/>
      <c r="C71" s="66"/>
      <c r="D71" s="66"/>
      <c r="E71" s="66"/>
      <c r="F71" s="66"/>
      <c r="G71" s="66"/>
      <c r="H71" s="66"/>
      <c r="I71" s="66"/>
      <c r="J71" s="66"/>
      <c r="K71" s="66"/>
      <c r="L71" s="66"/>
      <c r="M71" s="66"/>
      <c r="N71" s="66"/>
    </row>
    <row r="72" spans="1:14" x14ac:dyDescent="0.2">
      <c r="A72" s="66"/>
      <c r="B72" s="66"/>
      <c r="C72" s="66"/>
      <c r="D72" s="66"/>
      <c r="E72" s="66"/>
      <c r="F72" s="66"/>
      <c r="G72" s="66"/>
      <c r="H72" s="66"/>
      <c r="I72" s="66"/>
      <c r="J72" s="66"/>
      <c r="K72" s="66"/>
      <c r="L72" s="66"/>
      <c r="M72" s="66"/>
      <c r="N72" s="66"/>
    </row>
    <row r="73" spans="1:14" x14ac:dyDescent="0.2">
      <c r="A73" s="66"/>
      <c r="B73" s="66"/>
      <c r="C73" s="66"/>
      <c r="D73" s="66"/>
      <c r="E73" s="66"/>
      <c r="F73" s="66"/>
      <c r="G73" s="66"/>
      <c r="H73" s="66"/>
      <c r="I73" s="66"/>
      <c r="J73" s="66"/>
      <c r="K73" s="66"/>
      <c r="L73" s="66"/>
      <c r="M73" s="66"/>
      <c r="N73" s="66"/>
    </row>
    <row r="74" spans="1:14" x14ac:dyDescent="0.2">
      <c r="A74" s="66"/>
      <c r="B74" s="66"/>
      <c r="C74" s="66"/>
      <c r="D74" s="66"/>
      <c r="E74" s="66"/>
      <c r="F74" s="66"/>
      <c r="G74" s="66"/>
      <c r="H74" s="66"/>
      <c r="I74" s="66"/>
      <c r="J74" s="66"/>
      <c r="K74" s="66"/>
      <c r="L74" s="66"/>
      <c r="M74" s="66"/>
      <c r="N74" s="66"/>
    </row>
    <row r="75" spans="1:14" x14ac:dyDescent="0.2">
      <c r="A75" s="66"/>
      <c r="B75" s="66"/>
      <c r="C75" s="66"/>
      <c r="D75" s="66"/>
      <c r="E75" s="66"/>
      <c r="F75" s="66"/>
      <c r="G75" s="66"/>
      <c r="H75" s="66"/>
      <c r="I75" s="66"/>
      <c r="J75" s="66"/>
      <c r="K75" s="66"/>
      <c r="L75" s="66"/>
      <c r="M75" s="66"/>
      <c r="N75" s="66"/>
    </row>
    <row r="76" spans="1:14" x14ac:dyDescent="0.2">
      <c r="A76" s="66"/>
      <c r="B76" s="66"/>
      <c r="C76" s="66"/>
      <c r="D76" s="66"/>
      <c r="E76" s="66"/>
      <c r="F76" s="66"/>
      <c r="G76" s="66"/>
      <c r="H76" s="66"/>
      <c r="I76" s="66"/>
      <c r="J76" s="66"/>
      <c r="K76" s="66"/>
      <c r="L76" s="66"/>
      <c r="M76" s="66"/>
      <c r="N76" s="66"/>
    </row>
    <row r="77" spans="1:14" x14ac:dyDescent="0.2">
      <c r="A77" s="66"/>
      <c r="B77" s="66"/>
      <c r="C77" s="66"/>
      <c r="D77" s="66"/>
      <c r="E77" s="66"/>
      <c r="F77" s="66"/>
      <c r="G77" s="66"/>
      <c r="H77" s="66"/>
      <c r="I77" s="66"/>
      <c r="J77" s="66"/>
      <c r="K77" s="66"/>
      <c r="L77" s="66"/>
      <c r="M77" s="66"/>
      <c r="N77" s="66"/>
    </row>
    <row r="78" spans="1:14" x14ac:dyDescent="0.2">
      <c r="A78" s="66"/>
      <c r="B78" s="66"/>
      <c r="C78" s="66"/>
      <c r="D78" s="66"/>
      <c r="E78" s="66"/>
      <c r="F78" s="66"/>
      <c r="G78" s="66"/>
      <c r="H78" s="66"/>
      <c r="I78" s="66"/>
      <c r="J78" s="66"/>
      <c r="K78" s="66"/>
      <c r="L78" s="66"/>
      <c r="M78" s="66"/>
      <c r="N78" s="66"/>
    </row>
    <row r="79" spans="1:14" x14ac:dyDescent="0.2">
      <c r="A79" s="66"/>
      <c r="B79" s="66"/>
      <c r="C79" s="66"/>
      <c r="D79" s="66"/>
      <c r="E79" s="66"/>
      <c r="F79" s="66"/>
      <c r="G79" s="66"/>
      <c r="H79" s="66"/>
      <c r="I79" s="66"/>
      <c r="J79" s="66"/>
      <c r="K79" s="66"/>
      <c r="L79" s="66"/>
      <c r="M79" s="66"/>
      <c r="N79" s="66"/>
    </row>
    <row r="80" spans="1:14" x14ac:dyDescent="0.2">
      <c r="A80" s="66"/>
      <c r="B80" s="66"/>
      <c r="C80" s="66"/>
      <c r="D80" s="66"/>
      <c r="E80" s="66"/>
      <c r="F80" s="66"/>
      <c r="G80" s="66"/>
      <c r="H80" s="66"/>
      <c r="I80" s="66"/>
      <c r="J80" s="66"/>
      <c r="K80" s="66"/>
      <c r="L80" s="66"/>
      <c r="M80" s="66"/>
      <c r="N80" s="66"/>
    </row>
    <row r="81" spans="1:14" x14ac:dyDescent="0.2">
      <c r="A81" s="66"/>
      <c r="B81" s="66"/>
      <c r="C81" s="66"/>
      <c r="D81" s="66"/>
      <c r="E81" s="66"/>
      <c r="F81" s="66"/>
      <c r="G81" s="66"/>
      <c r="H81" s="66"/>
      <c r="I81" s="66"/>
      <c r="J81" s="66"/>
      <c r="K81" s="66"/>
      <c r="L81" s="66"/>
      <c r="M81" s="66"/>
      <c r="N81" s="66"/>
    </row>
    <row r="82" spans="1:14" x14ac:dyDescent="0.2">
      <c r="A82" s="66"/>
      <c r="B82" s="66"/>
      <c r="C82" s="66"/>
      <c r="D82" s="66"/>
      <c r="E82" s="66"/>
      <c r="F82" s="66"/>
      <c r="G82" s="66"/>
      <c r="H82" s="66"/>
      <c r="I82" s="66"/>
      <c r="J82" s="66"/>
      <c r="K82" s="66"/>
      <c r="L82" s="66"/>
      <c r="M82" s="66"/>
      <c r="N82" s="66"/>
    </row>
    <row r="83" spans="1:14" x14ac:dyDescent="0.2">
      <c r="A83" s="66"/>
      <c r="B83" s="66"/>
      <c r="C83" s="66"/>
      <c r="D83" s="66"/>
      <c r="E83" s="66"/>
      <c r="F83" s="66"/>
      <c r="G83" s="66"/>
      <c r="H83" s="66"/>
      <c r="I83" s="66"/>
      <c r="J83" s="66"/>
      <c r="K83" s="66"/>
      <c r="L83" s="66"/>
      <c r="M83" s="66"/>
      <c r="N83" s="66"/>
    </row>
    <row r="84" spans="1:14" x14ac:dyDescent="0.2">
      <c r="A84" s="66"/>
      <c r="B84" s="66"/>
      <c r="C84" s="66"/>
      <c r="D84" s="66"/>
      <c r="E84" s="66"/>
      <c r="F84" s="66"/>
      <c r="G84" s="66"/>
      <c r="H84" s="66"/>
      <c r="I84" s="66"/>
      <c r="J84" s="66"/>
      <c r="K84" s="66"/>
      <c r="L84" s="66"/>
      <c r="M84" s="66"/>
      <c r="N84" s="66"/>
    </row>
    <row r="85" spans="1:14" x14ac:dyDescent="0.2">
      <c r="A85" s="66"/>
      <c r="B85" s="66"/>
      <c r="C85" s="66"/>
      <c r="D85" s="66"/>
      <c r="E85" s="66"/>
      <c r="F85" s="66"/>
      <c r="G85" s="66"/>
      <c r="H85" s="66"/>
      <c r="I85" s="66"/>
      <c r="J85" s="66"/>
      <c r="K85" s="66"/>
      <c r="L85" s="66"/>
      <c r="M85" s="66"/>
      <c r="N85" s="66"/>
    </row>
    <row r="86" spans="1:14" x14ac:dyDescent="0.2">
      <c r="A86" s="66"/>
      <c r="B86" s="66"/>
      <c r="C86" s="66"/>
      <c r="D86" s="66"/>
      <c r="E86" s="66"/>
      <c r="F86" s="66"/>
      <c r="G86" s="66"/>
      <c r="H86" s="66"/>
      <c r="I86" s="66"/>
      <c r="J86" s="66"/>
      <c r="K86" s="66"/>
      <c r="L86" s="66"/>
      <c r="M86" s="66"/>
      <c r="N86" s="66"/>
    </row>
    <row r="87" spans="1:14" x14ac:dyDescent="0.2">
      <c r="A87" s="66"/>
      <c r="B87" s="66"/>
      <c r="C87" s="66"/>
      <c r="D87" s="66"/>
      <c r="E87" s="66"/>
      <c r="F87" s="66"/>
      <c r="G87" s="66"/>
      <c r="H87" s="66"/>
      <c r="I87" s="66"/>
      <c r="J87" s="66"/>
      <c r="K87" s="66"/>
      <c r="L87" s="66"/>
      <c r="M87" s="66"/>
      <c r="N87" s="66"/>
    </row>
    <row r="88" spans="1:14" x14ac:dyDescent="0.2">
      <c r="A88" s="66"/>
      <c r="B88" s="66"/>
      <c r="C88" s="66"/>
      <c r="D88" s="66"/>
      <c r="E88" s="66"/>
      <c r="F88" s="66"/>
      <c r="G88" s="66"/>
      <c r="H88" s="66"/>
      <c r="I88" s="66"/>
      <c r="J88" s="66"/>
      <c r="K88" s="66"/>
      <c r="L88" s="66"/>
      <c r="M88" s="66"/>
      <c r="N88" s="66"/>
    </row>
    <row r="89" spans="1:14" x14ac:dyDescent="0.2">
      <c r="A89" s="66"/>
      <c r="B89" s="66"/>
      <c r="C89" s="66"/>
      <c r="D89" s="66"/>
      <c r="E89" s="66"/>
      <c r="F89" s="66"/>
      <c r="G89" s="66"/>
      <c r="H89" s="66"/>
      <c r="I89" s="66"/>
      <c r="J89" s="66"/>
      <c r="K89" s="66"/>
      <c r="L89" s="66"/>
      <c r="M89" s="66"/>
      <c r="N89" s="66"/>
    </row>
    <row r="90" spans="1:14" x14ac:dyDescent="0.2">
      <c r="A90" s="66"/>
      <c r="B90" s="66"/>
      <c r="C90" s="66"/>
      <c r="D90" s="66"/>
      <c r="E90" s="66"/>
      <c r="F90" s="66"/>
      <c r="G90" s="66"/>
      <c r="H90" s="66"/>
      <c r="I90" s="66"/>
      <c r="J90" s="66"/>
      <c r="K90" s="66"/>
      <c r="L90" s="66"/>
      <c r="M90" s="66"/>
      <c r="N90" s="66"/>
    </row>
    <row r="91" spans="1:14" x14ac:dyDescent="0.2">
      <c r="A91" s="66"/>
      <c r="B91" s="66"/>
      <c r="C91" s="66"/>
      <c r="D91" s="66"/>
      <c r="E91" s="66"/>
      <c r="F91" s="66"/>
      <c r="G91" s="66"/>
      <c r="H91" s="66"/>
      <c r="I91" s="66"/>
      <c r="J91" s="66"/>
      <c r="K91" s="66"/>
      <c r="L91" s="66"/>
      <c r="M91" s="66"/>
      <c r="N91" s="66"/>
    </row>
    <row r="92" spans="1:14" x14ac:dyDescent="0.2">
      <c r="A92" s="66"/>
      <c r="B92" s="66"/>
      <c r="C92" s="66"/>
      <c r="D92" s="66"/>
      <c r="E92" s="66"/>
      <c r="F92" s="66"/>
      <c r="G92" s="66"/>
      <c r="H92" s="66"/>
      <c r="I92" s="66"/>
      <c r="J92" s="66"/>
      <c r="K92" s="66"/>
      <c r="L92" s="66"/>
      <c r="M92" s="66"/>
      <c r="N92" s="66"/>
    </row>
    <row r="93" spans="1:14" x14ac:dyDescent="0.2">
      <c r="A93" s="66"/>
      <c r="B93" s="66"/>
      <c r="C93" s="66"/>
      <c r="D93" s="66"/>
      <c r="E93" s="66"/>
      <c r="F93" s="66"/>
      <c r="G93" s="66"/>
      <c r="H93" s="66"/>
      <c r="I93" s="66"/>
      <c r="J93" s="66"/>
      <c r="K93" s="66"/>
      <c r="L93" s="66"/>
      <c r="M93" s="66"/>
      <c r="N93" s="66"/>
    </row>
    <row r="94" spans="1:14" x14ac:dyDescent="0.2">
      <c r="A94" s="66"/>
      <c r="B94" s="66"/>
      <c r="C94" s="66"/>
      <c r="D94" s="66"/>
      <c r="E94" s="66"/>
      <c r="F94" s="66"/>
      <c r="G94" s="66"/>
      <c r="H94" s="66"/>
      <c r="I94" s="66"/>
      <c r="J94" s="66"/>
      <c r="K94" s="66"/>
      <c r="L94" s="66"/>
      <c r="M94" s="66"/>
      <c r="N94" s="66"/>
    </row>
    <row r="95" spans="1:14" x14ac:dyDescent="0.2">
      <c r="A95" s="66"/>
      <c r="B95" s="66"/>
      <c r="C95" s="66"/>
      <c r="D95" s="66"/>
      <c r="E95" s="66"/>
      <c r="F95" s="66"/>
      <c r="G95" s="66"/>
      <c r="H95" s="66"/>
      <c r="I95" s="66"/>
      <c r="J95" s="66"/>
      <c r="K95" s="66"/>
      <c r="L95" s="66"/>
      <c r="M95" s="66"/>
      <c r="N95" s="66"/>
    </row>
    <row r="96" spans="1:14" x14ac:dyDescent="0.2">
      <c r="A96" s="66"/>
      <c r="B96" s="66"/>
      <c r="C96" s="66"/>
      <c r="D96" s="66"/>
      <c r="E96" s="66"/>
      <c r="F96" s="66"/>
      <c r="G96" s="66"/>
      <c r="H96" s="66"/>
      <c r="I96" s="66"/>
      <c r="J96" s="66"/>
      <c r="K96" s="66"/>
      <c r="L96" s="66"/>
      <c r="M96" s="66"/>
      <c r="N96" s="66"/>
    </row>
    <row r="97" spans="1:14" x14ac:dyDescent="0.2">
      <c r="A97" s="66"/>
      <c r="B97" s="66"/>
      <c r="C97" s="66"/>
      <c r="D97" s="66"/>
      <c r="E97" s="66"/>
      <c r="F97" s="66"/>
      <c r="G97" s="66"/>
      <c r="H97" s="66"/>
      <c r="I97" s="66"/>
      <c r="J97" s="66"/>
      <c r="K97" s="66"/>
      <c r="L97" s="66"/>
      <c r="M97" s="66"/>
      <c r="N97" s="66"/>
    </row>
    <row r="98" spans="1:14" x14ac:dyDescent="0.2">
      <c r="A98" s="66"/>
      <c r="B98" s="66"/>
      <c r="C98" s="66"/>
      <c r="D98" s="66"/>
      <c r="E98" s="66"/>
      <c r="F98" s="66"/>
      <c r="G98" s="66"/>
      <c r="H98" s="66"/>
      <c r="I98" s="66"/>
      <c r="J98" s="66"/>
      <c r="K98" s="66"/>
      <c r="L98" s="66"/>
      <c r="M98" s="66"/>
      <c r="N98" s="66"/>
    </row>
    <row r="99" spans="1:14" x14ac:dyDescent="0.2">
      <c r="A99" s="66"/>
      <c r="B99" s="66"/>
      <c r="C99" s="66"/>
      <c r="D99" s="66"/>
      <c r="E99" s="66"/>
      <c r="F99" s="66"/>
      <c r="G99" s="66"/>
      <c r="H99" s="66"/>
      <c r="I99" s="66"/>
      <c r="J99" s="66"/>
      <c r="K99" s="66"/>
      <c r="L99" s="66"/>
      <c r="M99" s="66"/>
      <c r="N99" s="66"/>
    </row>
    <row r="100" spans="1:14" x14ac:dyDescent="0.2">
      <c r="A100" s="66"/>
      <c r="B100" s="66"/>
      <c r="C100" s="66"/>
      <c r="D100" s="66"/>
      <c r="E100" s="66"/>
      <c r="F100" s="66"/>
      <c r="G100" s="66"/>
      <c r="H100" s="66"/>
      <c r="I100" s="66"/>
      <c r="J100" s="66"/>
      <c r="K100" s="66"/>
      <c r="L100" s="66"/>
      <c r="M100" s="66"/>
      <c r="N100" s="66"/>
    </row>
    <row r="101" spans="1:14" x14ac:dyDescent="0.2">
      <c r="A101" s="66"/>
      <c r="B101" s="66"/>
      <c r="C101" s="66"/>
      <c r="D101" s="66"/>
      <c r="E101" s="66"/>
      <c r="F101" s="66"/>
      <c r="G101" s="66"/>
      <c r="H101" s="66"/>
      <c r="I101" s="66"/>
      <c r="J101" s="66"/>
      <c r="K101" s="66"/>
      <c r="L101" s="66"/>
      <c r="M101" s="66"/>
      <c r="N101" s="66"/>
    </row>
    <row r="102" spans="1:14" x14ac:dyDescent="0.2">
      <c r="A102" s="66"/>
      <c r="B102" s="66"/>
      <c r="C102" s="66"/>
      <c r="D102" s="66"/>
      <c r="E102" s="66"/>
      <c r="F102" s="66"/>
      <c r="G102" s="66"/>
      <c r="H102" s="66"/>
      <c r="I102" s="66"/>
      <c r="J102" s="66"/>
      <c r="K102" s="66"/>
      <c r="L102" s="66"/>
      <c r="M102" s="66"/>
      <c r="N102" s="66"/>
    </row>
    <row r="103" spans="1:14" x14ac:dyDescent="0.2">
      <c r="A103" s="66"/>
      <c r="B103" s="66"/>
      <c r="C103" s="66"/>
      <c r="D103" s="66"/>
      <c r="E103" s="66"/>
      <c r="F103" s="66"/>
      <c r="G103" s="66"/>
      <c r="H103" s="66"/>
      <c r="I103" s="66"/>
      <c r="J103" s="66"/>
      <c r="K103" s="66"/>
      <c r="L103" s="66"/>
      <c r="M103" s="66"/>
      <c r="N103" s="66"/>
    </row>
    <row r="104" spans="1:14" x14ac:dyDescent="0.2">
      <c r="A104" s="66"/>
      <c r="B104" s="66"/>
      <c r="C104" s="66"/>
      <c r="D104" s="66"/>
      <c r="E104" s="66"/>
      <c r="F104" s="66"/>
      <c r="G104" s="66"/>
      <c r="H104" s="66"/>
      <c r="I104" s="66"/>
      <c r="J104" s="66"/>
      <c r="K104" s="66"/>
      <c r="L104" s="66"/>
      <c r="M104" s="66"/>
      <c r="N104" s="66"/>
    </row>
    <row r="105" spans="1:14" x14ac:dyDescent="0.2">
      <c r="A105" s="66"/>
      <c r="B105" s="66"/>
      <c r="C105" s="66"/>
      <c r="D105" s="66"/>
      <c r="E105" s="66"/>
      <c r="F105" s="66"/>
      <c r="G105" s="66"/>
      <c r="H105" s="66"/>
      <c r="I105" s="66"/>
      <c r="J105" s="66"/>
      <c r="K105" s="66"/>
      <c r="L105" s="66"/>
      <c r="M105" s="66"/>
      <c r="N105" s="66"/>
    </row>
    <row r="106" spans="1:14" x14ac:dyDescent="0.2">
      <c r="A106" s="66"/>
      <c r="B106" s="66"/>
      <c r="C106" s="66"/>
      <c r="D106" s="66"/>
      <c r="E106" s="66"/>
      <c r="F106" s="66"/>
      <c r="G106" s="66"/>
      <c r="H106" s="66"/>
      <c r="I106" s="66"/>
      <c r="J106" s="66"/>
      <c r="K106" s="66"/>
      <c r="L106" s="66"/>
      <c r="M106" s="66"/>
      <c r="N106" s="66"/>
    </row>
    <row r="107" spans="1:14" x14ac:dyDescent="0.2">
      <c r="A107" s="66"/>
      <c r="B107" s="66"/>
      <c r="C107" s="66"/>
      <c r="D107" s="66"/>
      <c r="E107" s="66"/>
      <c r="F107" s="66"/>
      <c r="G107" s="66"/>
      <c r="H107" s="66"/>
      <c r="I107" s="66"/>
      <c r="J107" s="66"/>
      <c r="K107" s="66"/>
      <c r="L107" s="66"/>
      <c r="M107" s="66"/>
      <c r="N107" s="66"/>
    </row>
    <row r="108" spans="1:14" x14ac:dyDescent="0.2">
      <c r="A108" s="66"/>
      <c r="B108" s="66"/>
      <c r="C108" s="66"/>
      <c r="D108" s="66"/>
      <c r="E108" s="66"/>
      <c r="F108" s="66"/>
      <c r="G108" s="66"/>
      <c r="H108" s="66"/>
      <c r="I108" s="66"/>
      <c r="J108" s="66"/>
      <c r="K108" s="66"/>
      <c r="L108" s="66"/>
      <c r="M108" s="66"/>
      <c r="N108" s="66"/>
    </row>
    <row r="109" spans="1:14" x14ac:dyDescent="0.2">
      <c r="A109" s="66"/>
      <c r="B109" s="66"/>
      <c r="C109" s="66"/>
      <c r="D109" s="66"/>
      <c r="E109" s="66"/>
      <c r="F109" s="66"/>
      <c r="G109" s="66"/>
      <c r="H109" s="66"/>
      <c r="I109" s="66"/>
      <c r="J109" s="66"/>
      <c r="K109" s="66"/>
      <c r="L109" s="66"/>
      <c r="M109" s="66"/>
      <c r="N109" s="66"/>
    </row>
    <row r="110" spans="1:14" x14ac:dyDescent="0.2">
      <c r="A110" s="66"/>
      <c r="B110" s="66"/>
      <c r="C110" s="66"/>
      <c r="D110" s="66"/>
      <c r="E110" s="66"/>
      <c r="F110" s="66"/>
      <c r="G110" s="66"/>
      <c r="H110" s="66"/>
      <c r="I110" s="66"/>
      <c r="J110" s="66"/>
      <c r="K110" s="66"/>
      <c r="L110" s="66"/>
      <c r="M110" s="66"/>
      <c r="N110" s="66"/>
    </row>
    <row r="111" spans="1:14" x14ac:dyDescent="0.2">
      <c r="A111" s="66"/>
      <c r="B111" s="66"/>
      <c r="C111" s="66"/>
      <c r="D111" s="66"/>
      <c r="E111" s="66"/>
      <c r="F111" s="66"/>
      <c r="G111" s="66"/>
      <c r="H111" s="66"/>
      <c r="I111" s="66"/>
      <c r="J111" s="66"/>
      <c r="K111" s="66"/>
      <c r="L111" s="66"/>
      <c r="M111" s="66"/>
      <c r="N111" s="66"/>
    </row>
    <row r="112" spans="1:14" x14ac:dyDescent="0.2">
      <c r="A112" s="66"/>
      <c r="B112" s="66"/>
      <c r="C112" s="66"/>
      <c r="D112" s="66"/>
      <c r="E112" s="66"/>
      <c r="F112" s="66"/>
      <c r="G112" s="66"/>
      <c r="H112" s="66"/>
      <c r="I112" s="66"/>
      <c r="J112" s="66"/>
      <c r="K112" s="66"/>
      <c r="L112" s="66"/>
      <c r="M112" s="66"/>
      <c r="N112" s="66"/>
    </row>
    <row r="113" spans="1:14" x14ac:dyDescent="0.2">
      <c r="A113" s="66"/>
      <c r="B113" s="66"/>
      <c r="C113" s="66"/>
      <c r="D113" s="66"/>
      <c r="E113" s="66"/>
      <c r="F113" s="66"/>
      <c r="G113" s="66"/>
      <c r="H113" s="66"/>
      <c r="I113" s="66"/>
      <c r="J113" s="66"/>
      <c r="K113" s="66"/>
      <c r="L113" s="66"/>
      <c r="M113" s="66"/>
      <c r="N113" s="66"/>
    </row>
    <row r="114" spans="1:14" x14ac:dyDescent="0.2">
      <c r="A114" s="66"/>
      <c r="B114" s="66"/>
      <c r="C114" s="66"/>
      <c r="D114" s="66"/>
      <c r="E114" s="66"/>
      <c r="F114" s="66"/>
      <c r="G114" s="66"/>
      <c r="H114" s="66"/>
      <c r="I114" s="66"/>
      <c r="J114" s="66"/>
      <c r="K114" s="66"/>
      <c r="L114" s="66"/>
      <c r="M114" s="66"/>
      <c r="N114" s="66"/>
    </row>
    <row r="115" spans="1:14" x14ac:dyDescent="0.2">
      <c r="A115" s="66"/>
      <c r="B115" s="66"/>
      <c r="C115" s="66"/>
      <c r="D115" s="66"/>
      <c r="E115" s="66"/>
      <c r="F115" s="66"/>
      <c r="G115" s="66"/>
      <c r="H115" s="66"/>
      <c r="I115" s="66"/>
      <c r="J115" s="66"/>
      <c r="K115" s="66"/>
      <c r="L115" s="66"/>
      <c r="M115" s="66"/>
      <c r="N115" s="66"/>
    </row>
    <row r="116" spans="1:14" x14ac:dyDescent="0.2">
      <c r="A116" s="66"/>
      <c r="B116" s="66"/>
      <c r="C116" s="66"/>
      <c r="D116" s="66"/>
      <c r="E116" s="66"/>
      <c r="F116" s="66"/>
      <c r="G116" s="66"/>
      <c r="H116" s="66"/>
      <c r="I116" s="66"/>
      <c r="J116" s="66"/>
      <c r="K116" s="66"/>
      <c r="L116" s="66"/>
      <c r="M116" s="66"/>
      <c r="N116" s="66"/>
    </row>
    <row r="117" spans="1:14" x14ac:dyDescent="0.2">
      <c r="A117" s="66"/>
      <c r="B117" s="66"/>
      <c r="C117" s="66"/>
      <c r="D117" s="66"/>
      <c r="E117" s="66"/>
      <c r="F117" s="66"/>
      <c r="G117" s="66"/>
      <c r="H117" s="66"/>
      <c r="I117" s="66"/>
      <c r="J117" s="66"/>
      <c r="K117" s="66"/>
      <c r="L117" s="66"/>
      <c r="M117" s="66"/>
      <c r="N117" s="66"/>
    </row>
    <row r="118" spans="1:14" x14ac:dyDescent="0.2">
      <c r="A118" s="66"/>
      <c r="B118" s="66"/>
      <c r="C118" s="66"/>
      <c r="D118" s="66"/>
      <c r="E118" s="66"/>
      <c r="F118" s="66"/>
      <c r="G118" s="66"/>
      <c r="H118" s="66"/>
      <c r="I118" s="66"/>
      <c r="J118" s="66"/>
      <c r="K118" s="66"/>
      <c r="L118" s="66"/>
      <c r="M118" s="66"/>
      <c r="N118" s="66"/>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zoomScaleNormal="100" workbookViewId="0">
      <selection activeCell="I6" sqref="I6"/>
    </sheetView>
  </sheetViews>
  <sheetFormatPr defaultRowHeight="12.75" x14ac:dyDescent="0.2"/>
  <cols>
    <col min="2" max="2" width="2.28515625" bestFit="1" customWidth="1"/>
    <col min="3" max="12" width="11.7109375" customWidth="1"/>
  </cols>
  <sheetData>
    <row r="1" spans="1:14" x14ac:dyDescent="0.2">
      <c r="A1" s="59" t="str">
        <f>"Commodity Pricing ("&amp;TEXT(A6,"mmmm yyyy")&amp;" through "&amp;TEXT(A17,"mmmm yyyy")&amp;")"</f>
        <v>Commodity Pricing (May 2016 through April 2017)</v>
      </c>
      <c r="B1" s="60"/>
    </row>
    <row r="2" spans="1:14" x14ac:dyDescent="0.2">
      <c r="A2" s="61" t="str">
        <f>Value!A2</f>
        <v>Rabanco Ltd (dba Allied Waste of Kent)</v>
      </c>
      <c r="B2" s="61"/>
    </row>
    <row r="3" spans="1:14" x14ac:dyDescent="0.2">
      <c r="A3" s="61"/>
      <c r="B3" s="61"/>
    </row>
    <row r="4" spans="1:14" x14ac:dyDescent="0.2">
      <c r="A4" s="61"/>
      <c r="B4" s="61"/>
    </row>
    <row r="5" spans="1:14" x14ac:dyDescent="0.2">
      <c r="B5" s="70"/>
      <c r="C5" s="63" t="s">
        <v>21</v>
      </c>
      <c r="D5" s="63" t="s">
        <v>22</v>
      </c>
      <c r="E5" s="63" t="s">
        <v>33</v>
      </c>
      <c r="F5" s="63" t="s">
        <v>23</v>
      </c>
      <c r="G5" s="63" t="s">
        <v>24</v>
      </c>
      <c r="H5" s="63" t="s">
        <v>25</v>
      </c>
      <c r="I5" s="63" t="s">
        <v>26</v>
      </c>
      <c r="J5" s="63" t="s">
        <v>27</v>
      </c>
      <c r="K5" s="63" t="s">
        <v>28</v>
      </c>
      <c r="L5" s="63" t="s">
        <v>29</v>
      </c>
      <c r="M5" s="63"/>
    </row>
    <row r="6" spans="1:14" ht="15.75" customHeight="1" x14ac:dyDescent="0.2">
      <c r="A6" s="130">
        <f>'Single Family'!$C$6</f>
        <v>42491</v>
      </c>
      <c r="B6" s="66" t="s">
        <v>67</v>
      </c>
      <c r="C6" s="106">
        <f>'Single Family'!C74</f>
        <v>798</v>
      </c>
      <c r="D6" s="107">
        <f>'Single Family'!C76</f>
        <v>-2.2000000000000002</v>
      </c>
      <c r="E6" s="107">
        <f>'Single Family'!C77</f>
        <v>-120.17</v>
      </c>
      <c r="F6" s="108">
        <f>'Single Family'!C72</f>
        <v>73.930000000000007</v>
      </c>
      <c r="G6" s="106">
        <f>'Single Family'!C69</f>
        <v>72.25</v>
      </c>
      <c r="H6" s="106">
        <f>'Single Family'!C79</f>
        <v>69.38</v>
      </c>
      <c r="I6" s="106">
        <f>'Single Family'!C73</f>
        <v>133.80000000000001</v>
      </c>
      <c r="J6" s="106">
        <f>'Single Family'!C73</f>
        <v>133.80000000000001</v>
      </c>
      <c r="K6" s="106">
        <f>'Single Family'!C70</f>
        <v>87.8</v>
      </c>
      <c r="L6" s="107">
        <f>'Single Family'!C78</f>
        <v>-120.17</v>
      </c>
      <c r="M6" s="162">
        <f>SUM(C6:L6)</f>
        <v>1126.4199999999998</v>
      </c>
      <c r="N6">
        <v>1527.0840139133625</v>
      </c>
    </row>
    <row r="7" spans="1:14" ht="15.75" customHeight="1" x14ac:dyDescent="0.2">
      <c r="A7" s="65">
        <f>+'Commodity Tonnages'!A7</f>
        <v>42551</v>
      </c>
      <c r="B7" s="66" t="s">
        <v>68</v>
      </c>
      <c r="C7" s="106">
        <f>'Single Family'!D74</f>
        <v>778.7</v>
      </c>
      <c r="D7" s="107">
        <f>'Single Family'!D76</f>
        <v>-7.81</v>
      </c>
      <c r="E7" s="107">
        <f>'Single Family'!D77</f>
        <v>-120.17</v>
      </c>
      <c r="F7" s="108">
        <f>'Single Family'!D72</f>
        <v>64.900000000000006</v>
      </c>
      <c r="G7" s="106">
        <f>'Single Family'!D69</f>
        <v>75.63</v>
      </c>
      <c r="H7" s="106">
        <f>'Single Family'!D79</f>
        <v>71.97</v>
      </c>
      <c r="I7" s="106">
        <f>'Single Family'!D73</f>
        <v>129.44999999999999</v>
      </c>
      <c r="J7" s="106">
        <f>'Single Family'!D73</f>
        <v>129.44999999999999</v>
      </c>
      <c r="K7" s="106">
        <f>'Single Family'!D70</f>
        <v>90.36</v>
      </c>
      <c r="L7" s="107">
        <f>'Single Family'!D78</f>
        <v>-120.17</v>
      </c>
      <c r="M7" s="162">
        <f t="shared" ref="M7:M17" si="0">SUM(C7:L7)</f>
        <v>1092.31</v>
      </c>
      <c r="N7">
        <v>1517.8559999999998</v>
      </c>
    </row>
    <row r="8" spans="1:14" ht="15.75" customHeight="1" x14ac:dyDescent="0.2">
      <c r="A8" s="65">
        <f>+'Commodity Tonnages'!A8</f>
        <v>42582</v>
      </c>
      <c r="B8" s="66" t="s">
        <v>69</v>
      </c>
      <c r="C8" s="106">
        <f>'Single Family'!E74</f>
        <v>777</v>
      </c>
      <c r="D8" s="107">
        <f>'Single Family'!E76</f>
        <v>-8.0299999999999994</v>
      </c>
      <c r="E8" s="107">
        <f>'Single Family'!E77</f>
        <v>-120.17</v>
      </c>
      <c r="F8" s="108">
        <f>'Single Family'!E72</f>
        <v>58.33</v>
      </c>
      <c r="G8" s="106">
        <f>'Single Family'!E69</f>
        <v>83.6</v>
      </c>
      <c r="H8" s="106">
        <f>'Single Family'!E79</f>
        <v>78.17</v>
      </c>
      <c r="I8" s="106">
        <f>'Single Family'!E73</f>
        <v>134.41</v>
      </c>
      <c r="J8" s="106">
        <f>'Single Family'!E73</f>
        <v>134.41</v>
      </c>
      <c r="K8" s="106">
        <f>'Single Family'!E70</f>
        <v>101.52</v>
      </c>
      <c r="L8" s="107">
        <f>'Single Family'!E78</f>
        <v>-120.17</v>
      </c>
      <c r="M8" s="162">
        <f t="shared" si="0"/>
        <v>1119.07</v>
      </c>
      <c r="N8">
        <v>1583.0359999999996</v>
      </c>
    </row>
    <row r="9" spans="1:14" ht="15.75" customHeight="1" x14ac:dyDescent="0.2">
      <c r="A9" s="65">
        <f>+'Commodity Tonnages'!A9</f>
        <v>42613</v>
      </c>
      <c r="B9" s="66" t="s">
        <v>70</v>
      </c>
      <c r="C9" s="106">
        <f>'Single Family'!F74</f>
        <v>798</v>
      </c>
      <c r="D9" s="107">
        <f>'Single Family'!F76</f>
        <v>-1.52</v>
      </c>
      <c r="E9" s="107">
        <f>'Single Family'!F77</f>
        <v>-120.17</v>
      </c>
      <c r="F9" s="108">
        <f>'Single Family'!F72</f>
        <v>59.25</v>
      </c>
      <c r="G9" s="106">
        <f>'Single Family'!F69</f>
        <v>93.37</v>
      </c>
      <c r="H9" s="106">
        <f>'Single Family'!F79</f>
        <v>87.47</v>
      </c>
      <c r="I9" s="106">
        <f>'Single Family'!F73</f>
        <v>130.41999999999999</v>
      </c>
      <c r="J9" s="106">
        <f>'Single Family'!F73</f>
        <v>130.41999999999999</v>
      </c>
      <c r="K9" s="106">
        <f>'Single Family'!F70</f>
        <v>110.76</v>
      </c>
      <c r="L9" s="107">
        <f>'Single Family'!F78</f>
        <v>-120.17</v>
      </c>
      <c r="M9" s="162">
        <f t="shared" si="0"/>
        <v>1167.8300000000002</v>
      </c>
      <c r="N9">
        <v>1657.6379999999995</v>
      </c>
    </row>
    <row r="10" spans="1:14" ht="15.75" customHeight="1" x14ac:dyDescent="0.2">
      <c r="A10" s="65">
        <f>+'Commodity Tonnages'!A10</f>
        <v>42643</v>
      </c>
      <c r="B10" s="66" t="s">
        <v>71</v>
      </c>
      <c r="C10" s="106">
        <f>'Single Family'!G74</f>
        <v>784</v>
      </c>
      <c r="D10" s="107">
        <f>'Single Family'!G76</f>
        <v>-5.91</v>
      </c>
      <c r="E10" s="107">
        <f>'Single Family'!G77</f>
        <v>-120.17</v>
      </c>
      <c r="F10" s="108">
        <f>'Single Family'!G72</f>
        <v>59.29</v>
      </c>
      <c r="G10" s="106">
        <f>'Single Family'!G69</f>
        <v>90.66</v>
      </c>
      <c r="H10" s="106">
        <f>'Single Family'!G79</f>
        <v>77.81</v>
      </c>
      <c r="I10" s="106">
        <f>'Single Family'!G73</f>
        <v>110.89</v>
      </c>
      <c r="J10" s="106">
        <f>'Single Family'!G73</f>
        <v>110.89</v>
      </c>
      <c r="K10" s="106">
        <f>'Single Family'!G70</f>
        <v>99.86</v>
      </c>
      <c r="L10" s="107">
        <f>'Single Family'!G78</f>
        <v>-120.17</v>
      </c>
      <c r="M10" s="162">
        <f t="shared" si="0"/>
        <v>1087.1499999999999</v>
      </c>
      <c r="N10">
        <v>1679.405999999999</v>
      </c>
    </row>
    <row r="11" spans="1:14" ht="15.75" customHeight="1" x14ac:dyDescent="0.2">
      <c r="A11" s="65">
        <f>+'Commodity Tonnages'!A11</f>
        <v>42674</v>
      </c>
      <c r="B11" s="66" t="s">
        <v>72</v>
      </c>
      <c r="C11" s="106">
        <f>'Single Family'!H74</f>
        <v>812</v>
      </c>
      <c r="D11" s="107">
        <f>'Single Family'!H76</f>
        <v>-6.71</v>
      </c>
      <c r="E11" s="107">
        <f>'Single Family'!H77</f>
        <v>-120.17</v>
      </c>
      <c r="F11" s="108">
        <f>'Single Family'!H72</f>
        <v>52.472000000000001</v>
      </c>
      <c r="G11" s="106">
        <f>'Single Family'!H69</f>
        <v>88.47</v>
      </c>
      <c r="H11" s="106">
        <f>'Single Family'!H79</f>
        <v>76.42</v>
      </c>
      <c r="I11" s="106">
        <f>'Single Family'!H73</f>
        <v>100.65</v>
      </c>
      <c r="J11" s="106">
        <f>'Single Family'!H73</f>
        <v>100.65</v>
      </c>
      <c r="K11" s="106">
        <f>'Single Family'!H70</f>
        <v>103.64</v>
      </c>
      <c r="L11" s="107">
        <f>'Single Family'!H78</f>
        <v>-120.17</v>
      </c>
      <c r="M11" s="162">
        <f t="shared" si="0"/>
        <v>1087.252</v>
      </c>
      <c r="N11">
        <v>1611.097</v>
      </c>
    </row>
    <row r="12" spans="1:14" ht="15.75" customHeight="1" x14ac:dyDescent="0.2">
      <c r="A12" s="65">
        <f>+'Commodity Tonnages'!A12</f>
        <v>42704</v>
      </c>
      <c r="B12" s="66" t="s">
        <v>73</v>
      </c>
      <c r="C12" s="106">
        <f>'Single Family'!I74</f>
        <v>836.49</v>
      </c>
      <c r="D12" s="107">
        <f>'Single Family'!I76</f>
        <v>-16.34</v>
      </c>
      <c r="E12" s="107">
        <f>'Single Family'!I77</f>
        <v>-120.17</v>
      </c>
      <c r="F12" s="108">
        <f>'Single Family'!I72</f>
        <v>66.003</v>
      </c>
      <c r="G12" s="106">
        <f>'Single Family'!I69</f>
        <v>91.42</v>
      </c>
      <c r="H12" s="106">
        <f>'Single Family'!I79</f>
        <v>81.59</v>
      </c>
      <c r="I12" s="106">
        <f>'Single Family'!I73</f>
        <v>107.11</v>
      </c>
      <c r="J12" s="106">
        <f>'Single Family'!I73</f>
        <v>107.11</v>
      </c>
      <c r="K12" s="106">
        <f>'Single Family'!I70</f>
        <v>110.66</v>
      </c>
      <c r="L12" s="107">
        <f>'Single Family'!I78</f>
        <v>-120.17</v>
      </c>
      <c r="M12" s="162">
        <f t="shared" si="0"/>
        <v>1143.703</v>
      </c>
      <c r="N12">
        <v>1635.7369999999999</v>
      </c>
    </row>
    <row r="13" spans="1:14" ht="15.75" customHeight="1" x14ac:dyDescent="0.2">
      <c r="A13" s="65">
        <f>+'Commodity Tonnages'!A13</f>
        <v>42735</v>
      </c>
      <c r="B13" s="66" t="s">
        <v>74</v>
      </c>
      <c r="C13" s="106">
        <f>'Single Family'!J74</f>
        <v>863.56899999999996</v>
      </c>
      <c r="D13" s="107">
        <f>'Single Family'!J76</f>
        <v>-19.71</v>
      </c>
      <c r="E13" s="107">
        <f>'Single Family'!J77</f>
        <v>-120.17</v>
      </c>
      <c r="F13" s="108">
        <f>'Single Family'!J72</f>
        <v>67.542999999999992</v>
      </c>
      <c r="G13" s="106">
        <f>'Single Family'!J69</f>
        <v>90.152999999999992</v>
      </c>
      <c r="H13" s="106">
        <f>'Single Family'!J79</f>
        <v>85.945999999999998</v>
      </c>
      <c r="I13" s="106">
        <f>'Single Family'!J73</f>
        <v>99.483999999999995</v>
      </c>
      <c r="J13" s="106">
        <f>'Single Family'!J73</f>
        <v>99.483999999999995</v>
      </c>
      <c r="K13" s="106">
        <f>'Single Family'!J70</f>
        <v>112.602</v>
      </c>
      <c r="L13" s="107">
        <f>'Single Family'!J78</f>
        <v>-120.17</v>
      </c>
      <c r="M13" s="162">
        <f t="shared" si="0"/>
        <v>1158.731</v>
      </c>
      <c r="N13">
        <v>1503.4019999999996</v>
      </c>
    </row>
    <row r="14" spans="1:14" ht="15.75" customHeight="1" x14ac:dyDescent="0.2">
      <c r="A14" s="65">
        <f>+'Commodity Tonnages'!A14</f>
        <v>42766</v>
      </c>
      <c r="B14" s="66" t="s">
        <v>75</v>
      </c>
      <c r="C14" s="106">
        <f>'Single Family'!K74</f>
        <v>886.43799999999987</v>
      </c>
      <c r="D14" s="107">
        <f>'Single Family'!K76</f>
        <v>-11</v>
      </c>
      <c r="E14" s="107">
        <f>'Single Family'!K77</f>
        <v>-120.17</v>
      </c>
      <c r="F14" s="108">
        <f>'Single Family'!K72</f>
        <v>82.466999999999999</v>
      </c>
      <c r="G14" s="106">
        <f>'Single Family'!K69</f>
        <v>94.086999999999989</v>
      </c>
      <c r="H14" s="106">
        <f>'Single Family'!K79</f>
        <v>80.394999999999996</v>
      </c>
      <c r="I14" s="106">
        <f>'Single Family'!K73</f>
        <v>111.96499999999999</v>
      </c>
      <c r="J14" s="106">
        <f>'Single Family'!K73</f>
        <v>111.96499999999999</v>
      </c>
      <c r="K14" s="106">
        <f>'Single Family'!K70</f>
        <v>119.57399999999998</v>
      </c>
      <c r="L14" s="107">
        <f>'Single Family'!K78</f>
        <v>-120.17</v>
      </c>
      <c r="M14" s="162">
        <f t="shared" si="0"/>
        <v>1235.5509999999997</v>
      </c>
      <c r="N14">
        <v>1347.4839999999999</v>
      </c>
    </row>
    <row r="15" spans="1:14" ht="15.75" customHeight="1" x14ac:dyDescent="0.2">
      <c r="A15" s="65">
        <f>+'Commodity Tonnages'!A15</f>
        <v>42794</v>
      </c>
      <c r="B15" s="66" t="s">
        <v>76</v>
      </c>
      <c r="C15" s="106">
        <f>'Single Family'!L74</f>
        <v>939.42799999999988</v>
      </c>
      <c r="D15" s="107">
        <f>'Single Family'!L76</f>
        <v>-10.55</v>
      </c>
      <c r="E15" s="107">
        <f>'Single Family'!L77</f>
        <v>-120.17</v>
      </c>
      <c r="F15" s="108">
        <f>'Single Family'!L72</f>
        <v>73.513999999999996</v>
      </c>
      <c r="G15" s="106">
        <f>'Single Family'!L69</f>
        <v>111.29300000000001</v>
      </c>
      <c r="H15" s="106">
        <f>'Single Family'!L79</f>
        <v>103.03299999999999</v>
      </c>
      <c r="I15" s="106">
        <f>'Single Family'!L73</f>
        <v>125.03399999999999</v>
      </c>
      <c r="J15" s="106">
        <f>'Single Family'!L73</f>
        <v>125.03399999999999</v>
      </c>
      <c r="K15" s="106">
        <f>'Single Family'!L70</f>
        <v>141.428</v>
      </c>
      <c r="L15" s="107">
        <f>'Single Family'!L78</f>
        <v>-120.17</v>
      </c>
      <c r="M15" s="162">
        <f t="shared" si="0"/>
        <v>1367.8739999999998</v>
      </c>
      <c r="N15">
        <v>1292.4850000000001</v>
      </c>
    </row>
    <row r="16" spans="1:14" ht="15.75" customHeight="1" x14ac:dyDescent="0.2">
      <c r="A16" s="65">
        <f>+'Commodity Tonnages'!A16</f>
        <v>42825</v>
      </c>
      <c r="B16" s="66" t="s">
        <v>77</v>
      </c>
      <c r="C16" s="106">
        <f>'Single Family'!M74</f>
        <v>960.31600000000003</v>
      </c>
      <c r="D16" s="107">
        <f>'Single Family'!M76</f>
        <v>-10.44</v>
      </c>
      <c r="E16" s="107">
        <f>'Single Family'!M77</f>
        <v>-134.59</v>
      </c>
      <c r="F16" s="108">
        <f>'Single Family'!M72</f>
        <v>89.299000000000007</v>
      </c>
      <c r="G16" s="106">
        <f>'Single Family'!M69</f>
        <v>106.428</v>
      </c>
      <c r="H16" s="106">
        <f>'Single Family'!M79</f>
        <v>102.494</v>
      </c>
      <c r="I16" s="106">
        <f>'Single Family'!M73</f>
        <v>108.983</v>
      </c>
      <c r="J16" s="106">
        <f>'Single Family'!M73</f>
        <v>108.983</v>
      </c>
      <c r="K16" s="106">
        <f>'Single Family'!M70</f>
        <v>156.905</v>
      </c>
      <c r="L16" s="107">
        <f>'Single Family'!M78</f>
        <v>-134.59</v>
      </c>
      <c r="M16" s="162">
        <f t="shared" si="0"/>
        <v>1353.7879999999998</v>
      </c>
      <c r="N16">
        <v>1285.569</v>
      </c>
    </row>
    <row r="17" spans="1:14" ht="15.75" customHeight="1" x14ac:dyDescent="0.2">
      <c r="A17" s="65">
        <f>+'Commodity Tonnages'!A17</f>
        <v>42855</v>
      </c>
      <c r="B17" s="66" t="s">
        <v>78</v>
      </c>
      <c r="C17" s="106">
        <f>'Single Family'!N74</f>
        <v>947.87</v>
      </c>
      <c r="D17" s="107">
        <f>'Single Family'!N76</f>
        <v>-10.45</v>
      </c>
      <c r="E17" s="107">
        <f>'Single Family'!N77</f>
        <v>-134.59</v>
      </c>
      <c r="F17" s="108">
        <f>'Single Family'!N72</f>
        <v>77.78</v>
      </c>
      <c r="G17" s="106">
        <f>'Single Family'!N69</f>
        <v>61.02</v>
      </c>
      <c r="H17" s="106">
        <f>'Single Family'!N79</f>
        <v>54.15</v>
      </c>
      <c r="I17" s="106">
        <f>'Single Family'!N73</f>
        <v>100.86</v>
      </c>
      <c r="J17" s="106">
        <f>'Single Family'!N73</f>
        <v>100.86</v>
      </c>
      <c r="K17" s="106">
        <f>'Single Family'!N70</f>
        <v>118.99</v>
      </c>
      <c r="L17" s="107">
        <f>'Single Family'!N78</f>
        <v>-134.59</v>
      </c>
      <c r="M17" s="162">
        <f t="shared" si="0"/>
        <v>1181.8999999999999</v>
      </c>
      <c r="N17">
        <v>1095.8899999999999</v>
      </c>
    </row>
    <row r="18" spans="1:14" x14ac:dyDescent="0.2">
      <c r="A18" s="66"/>
      <c r="B18" s="66"/>
      <c r="C18" s="67"/>
      <c r="D18" s="67"/>
      <c r="E18" s="67"/>
      <c r="F18" s="67"/>
      <c r="G18" s="67"/>
      <c r="H18" s="67"/>
      <c r="I18" s="67"/>
      <c r="J18" s="67"/>
      <c r="K18" s="67"/>
      <c r="L18" s="66"/>
      <c r="M18" s="67"/>
    </row>
    <row r="19" spans="1:14" x14ac:dyDescent="0.2">
      <c r="A19" s="69"/>
      <c r="B19" s="66"/>
      <c r="C19" s="67"/>
      <c r="D19" s="67"/>
      <c r="E19" s="67"/>
      <c r="F19" s="67"/>
      <c r="G19" s="67"/>
      <c r="H19" s="67"/>
      <c r="I19" s="67"/>
      <c r="J19" s="67"/>
      <c r="K19" s="67"/>
      <c r="L19" s="67"/>
      <c r="M19" s="67"/>
      <c r="N19" s="67" t="s">
        <v>31</v>
      </c>
    </row>
    <row r="20" spans="1:14" x14ac:dyDescent="0.2">
      <c r="A20" s="66"/>
      <c r="B20" s="66"/>
      <c r="C20" s="66"/>
      <c r="D20" s="66"/>
      <c r="E20" s="66"/>
      <c r="F20" s="66"/>
      <c r="G20" s="66"/>
      <c r="H20" s="66"/>
      <c r="I20" s="66"/>
      <c r="J20" s="66"/>
      <c r="K20" s="66"/>
      <c r="L20" s="66"/>
      <c r="M20" s="67"/>
    </row>
    <row r="21" spans="1:14" x14ac:dyDescent="0.2">
      <c r="A21" s="66"/>
      <c r="B21" s="66"/>
      <c r="C21" s="66"/>
      <c r="D21" s="66"/>
      <c r="E21" s="66"/>
      <c r="F21" s="66"/>
      <c r="G21" s="66"/>
      <c r="H21" s="66"/>
      <c r="I21" s="66"/>
      <c r="J21" s="66"/>
      <c r="K21" s="66"/>
      <c r="L21" s="66"/>
      <c r="M21" s="67"/>
    </row>
    <row r="22" spans="1:14" x14ac:dyDescent="0.2">
      <c r="A22" s="66"/>
      <c r="B22" s="66"/>
      <c r="C22" s="66"/>
      <c r="D22" s="66"/>
      <c r="F22" s="66"/>
      <c r="G22" s="66"/>
      <c r="H22" s="66"/>
      <c r="I22" s="66"/>
      <c r="J22" s="66"/>
      <c r="K22" s="66"/>
      <c r="L22" s="66"/>
      <c r="M22" s="67"/>
    </row>
    <row r="23" spans="1:14" x14ac:dyDescent="0.2">
      <c r="A23" s="66"/>
      <c r="B23" s="66"/>
      <c r="C23" s="66"/>
      <c r="D23" s="66"/>
      <c r="F23" s="66"/>
      <c r="G23" s="66"/>
      <c r="H23" s="66"/>
      <c r="I23" s="66"/>
      <c r="J23" s="66"/>
      <c r="K23" s="66"/>
      <c r="L23" s="66"/>
      <c r="M23" s="67"/>
    </row>
    <row r="24" spans="1:14" x14ac:dyDescent="0.2">
      <c r="A24" s="66"/>
      <c r="B24" s="66"/>
      <c r="C24" s="66"/>
      <c r="D24" s="66"/>
      <c r="G24" s="66"/>
      <c r="H24" s="66"/>
      <c r="I24" s="66"/>
      <c r="J24" s="66"/>
      <c r="K24" s="66"/>
      <c r="L24" s="66"/>
      <c r="M24" s="67"/>
    </row>
    <row r="25" spans="1:14" x14ac:dyDescent="0.2">
      <c r="A25" s="66"/>
      <c r="B25" s="66"/>
      <c r="C25" s="66"/>
      <c r="D25" s="66"/>
      <c r="F25" s="66"/>
      <c r="G25" s="66"/>
      <c r="H25" s="66"/>
      <c r="I25" s="66"/>
      <c r="J25" s="66"/>
      <c r="K25" s="66"/>
      <c r="L25" s="66"/>
      <c r="M25" s="67"/>
    </row>
    <row r="26" spans="1:14" x14ac:dyDescent="0.2">
      <c r="A26" s="66"/>
      <c r="B26" s="66"/>
      <c r="C26" s="66"/>
      <c r="D26" s="66"/>
      <c r="F26" s="66"/>
      <c r="G26" s="66"/>
      <c r="H26" s="66"/>
      <c r="I26" s="66"/>
      <c r="J26" s="66"/>
      <c r="K26" s="66"/>
      <c r="L26" s="66"/>
      <c r="M26" s="67"/>
    </row>
    <row r="27" spans="1:14" x14ac:dyDescent="0.2">
      <c r="A27" s="66"/>
      <c r="B27" s="66"/>
      <c r="C27" s="66"/>
      <c r="D27" s="66"/>
      <c r="F27" s="66"/>
      <c r="G27" s="66"/>
      <c r="H27" s="66"/>
      <c r="I27" s="66"/>
      <c r="J27" s="66"/>
      <c r="K27" s="66"/>
      <c r="L27" s="66"/>
      <c r="M27" s="67"/>
    </row>
    <row r="28" spans="1:14" x14ac:dyDescent="0.2">
      <c r="A28" s="66"/>
      <c r="B28" s="66"/>
      <c r="C28" s="66"/>
      <c r="D28" s="66"/>
      <c r="F28" s="66"/>
      <c r="G28" s="66"/>
      <c r="H28" s="66"/>
      <c r="I28" s="66"/>
      <c r="J28" s="66"/>
      <c r="K28" s="66"/>
      <c r="L28" s="66"/>
      <c r="M28" s="67"/>
    </row>
    <row r="29" spans="1:14" x14ac:dyDescent="0.2">
      <c r="A29" s="66"/>
      <c r="B29" s="66"/>
      <c r="C29" s="66"/>
      <c r="D29" s="66"/>
      <c r="F29" s="66"/>
      <c r="G29" s="66"/>
      <c r="H29" s="66"/>
      <c r="I29" s="66"/>
      <c r="J29" s="66"/>
      <c r="K29" s="66"/>
      <c r="L29" s="66"/>
      <c r="M29" s="67"/>
    </row>
    <row r="30" spans="1:14" x14ac:dyDescent="0.2">
      <c r="A30" s="66"/>
      <c r="B30" s="66"/>
      <c r="C30" s="66"/>
      <c r="D30" s="66"/>
      <c r="F30" s="66"/>
      <c r="G30" s="66"/>
      <c r="H30" s="66"/>
      <c r="I30" s="66"/>
      <c r="J30" s="66"/>
      <c r="K30" s="66"/>
      <c r="L30" s="66"/>
      <c r="M30" s="66"/>
    </row>
    <row r="31" spans="1:14" x14ac:dyDescent="0.2">
      <c r="A31" s="66"/>
      <c r="B31" s="66"/>
      <c r="C31" s="66"/>
      <c r="D31" s="66"/>
      <c r="F31" s="66"/>
      <c r="G31" s="66"/>
      <c r="H31" s="66"/>
      <c r="I31" s="66"/>
      <c r="J31" s="66"/>
      <c r="K31" s="66"/>
      <c r="L31" s="66"/>
      <c r="M31" s="66"/>
    </row>
    <row r="32" spans="1:14" x14ac:dyDescent="0.2">
      <c r="A32" s="66"/>
      <c r="B32" s="66"/>
      <c r="C32" s="66"/>
      <c r="D32" s="66"/>
      <c r="F32" s="66"/>
      <c r="G32" s="66"/>
      <c r="H32" s="66"/>
      <c r="I32" s="66"/>
      <c r="J32" s="66"/>
      <c r="K32" s="66"/>
      <c r="L32" s="66"/>
      <c r="M32" s="66"/>
    </row>
    <row r="33" spans="1:13" x14ac:dyDescent="0.2">
      <c r="A33" s="66"/>
      <c r="B33" s="66"/>
      <c r="C33" s="66"/>
      <c r="D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row r="119" spans="1:13" x14ac:dyDescent="0.2">
      <c r="A119" s="66"/>
      <c r="B119" s="66"/>
      <c r="C119" s="66"/>
      <c r="D119" s="66"/>
      <c r="E119" s="66"/>
      <c r="F119" s="66"/>
      <c r="G119" s="66"/>
      <c r="H119" s="66"/>
      <c r="I119" s="66"/>
      <c r="J119" s="66"/>
      <c r="K119" s="66"/>
      <c r="L119" s="66"/>
      <c r="M119" s="66"/>
    </row>
    <row r="120" spans="1:13" x14ac:dyDescent="0.2">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V105"/>
  <sheetViews>
    <sheetView showGridLines="0" zoomScaleNormal="100" workbookViewId="0">
      <pane xSplit="2" ySplit="6" topLeftCell="H73" activePane="bottomRight" state="frozen"/>
      <selection activeCell="G56" sqref="G56"/>
      <selection pane="topRight" activeCell="G56" sqref="G56"/>
      <selection pane="bottomLeft" activeCell="G56" sqref="G56"/>
      <selection pane="bottomRight" activeCell="C94" sqref="C94"/>
    </sheetView>
  </sheetViews>
  <sheetFormatPr defaultRowHeight="11.25" x14ac:dyDescent="0.2"/>
  <cols>
    <col min="1" max="1" width="6" style="66" customWidth="1"/>
    <col min="2" max="2" width="17.85546875" style="66" customWidth="1"/>
    <col min="3" max="4" width="9.85546875" style="66" customWidth="1"/>
    <col min="5" max="5" width="11.28515625" style="66" customWidth="1"/>
    <col min="6" max="7" width="9.5703125" style="66" customWidth="1"/>
    <col min="8" max="8" width="9.85546875" style="66" customWidth="1"/>
    <col min="9" max="9" width="10.42578125" style="66" customWidth="1"/>
    <col min="10" max="10" width="10.7109375" style="66" customWidth="1"/>
    <col min="11" max="14" width="11.140625" style="66" bestFit="1" customWidth="1"/>
    <col min="15" max="15" width="10.7109375" style="66" bestFit="1" customWidth="1"/>
    <col min="16" max="16" width="9.85546875" style="66" bestFit="1" customWidth="1"/>
    <col min="17" max="21" width="9.140625" style="66"/>
    <col min="22" max="22" width="9.7109375" style="66" bestFit="1" customWidth="1"/>
    <col min="23" max="16384" width="9.140625" style="66"/>
  </cols>
  <sheetData>
    <row r="2" spans="1:17" x14ac:dyDescent="0.2">
      <c r="B2" s="83" t="s">
        <v>80</v>
      </c>
      <c r="C2" s="84"/>
    </row>
    <row r="3" spans="1:17" x14ac:dyDescent="0.2">
      <c r="C3" s="84"/>
    </row>
    <row r="4" spans="1:17" x14ac:dyDescent="0.2">
      <c r="C4" s="85"/>
      <c r="D4" s="85"/>
      <c r="E4" s="85"/>
      <c r="F4" s="85"/>
      <c r="G4" s="85"/>
      <c r="H4" s="86"/>
      <c r="I4" s="86"/>
      <c r="J4" s="83"/>
    </row>
    <row r="5" spans="1:17" x14ac:dyDescent="0.2">
      <c r="C5" s="85"/>
      <c r="D5" s="85"/>
      <c r="E5" s="85"/>
      <c r="F5" s="85"/>
      <c r="G5" s="85"/>
      <c r="H5" s="86"/>
      <c r="I5" s="86"/>
      <c r="J5" s="85"/>
    </row>
    <row r="6" spans="1:17" ht="9.9499999999999993" customHeight="1" x14ac:dyDescent="0.2">
      <c r="C6" s="126">
        <v>42491</v>
      </c>
      <c r="D6" s="87">
        <f t="shared" ref="D6:N6" si="0">EOMONTH(C6,1)</f>
        <v>42551</v>
      </c>
      <c r="E6" s="87">
        <f t="shared" si="0"/>
        <v>42582</v>
      </c>
      <c r="F6" s="87">
        <f t="shared" si="0"/>
        <v>42613</v>
      </c>
      <c r="G6" s="87">
        <f t="shared" si="0"/>
        <v>42643</v>
      </c>
      <c r="H6" s="87">
        <f t="shared" si="0"/>
        <v>42674</v>
      </c>
      <c r="I6" s="87">
        <f t="shared" si="0"/>
        <v>42704</v>
      </c>
      <c r="J6" s="87">
        <f t="shared" si="0"/>
        <v>42735</v>
      </c>
      <c r="K6" s="87">
        <f t="shared" si="0"/>
        <v>42766</v>
      </c>
      <c r="L6" s="87">
        <f t="shared" si="0"/>
        <v>42794</v>
      </c>
      <c r="M6" s="87">
        <f t="shared" si="0"/>
        <v>42825</v>
      </c>
      <c r="N6" s="87">
        <f t="shared" si="0"/>
        <v>42855</v>
      </c>
    </row>
    <row r="7" spans="1:17" s="67" customFormat="1" x14ac:dyDescent="0.2">
      <c r="A7" s="88" t="s">
        <v>47</v>
      </c>
      <c r="C7" s="127">
        <v>132.51</v>
      </c>
      <c r="D7" s="127">
        <v>160.1</v>
      </c>
      <c r="E7" s="127">
        <v>84.43</v>
      </c>
      <c r="F7" s="127">
        <v>113.75</v>
      </c>
      <c r="G7" s="127">
        <v>105.96</v>
      </c>
      <c r="H7" s="127">
        <v>135.9</v>
      </c>
      <c r="I7" s="127">
        <v>153.9</v>
      </c>
      <c r="J7" s="127">
        <v>147.43</v>
      </c>
      <c r="K7" s="127">
        <v>117.13</v>
      </c>
      <c r="L7" s="127">
        <v>90.51</v>
      </c>
      <c r="M7" s="127">
        <v>108.3</v>
      </c>
      <c r="N7" s="127">
        <v>108.13</v>
      </c>
      <c r="Q7" s="67">
        <f>AVERAGE(C7:N7)</f>
        <v>121.50416666666668</v>
      </c>
    </row>
    <row r="8" spans="1:17" x14ac:dyDescent="0.2">
      <c r="A8" s="66" t="s">
        <v>48</v>
      </c>
      <c r="C8" s="89">
        <v>0</v>
      </c>
      <c r="D8" s="89">
        <v>0</v>
      </c>
      <c r="E8" s="89">
        <v>0</v>
      </c>
      <c r="F8" s="89">
        <v>0</v>
      </c>
      <c r="G8" s="89">
        <v>0</v>
      </c>
      <c r="H8" s="89">
        <v>0</v>
      </c>
      <c r="I8" s="89">
        <v>0</v>
      </c>
      <c r="J8" s="89">
        <v>0</v>
      </c>
      <c r="K8" s="89">
        <v>0</v>
      </c>
      <c r="L8" s="89">
        <v>0</v>
      </c>
      <c r="M8" s="89">
        <v>0</v>
      </c>
      <c r="N8" s="89">
        <v>0</v>
      </c>
    </row>
    <row r="9" spans="1:17" x14ac:dyDescent="0.2">
      <c r="A9" s="66" t="s">
        <v>49</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17" x14ac:dyDescent="0.2">
      <c r="A10" s="83" t="s">
        <v>50</v>
      </c>
      <c r="C10" s="91">
        <f t="shared" ref="C10:N10" si="2">+C7-C9</f>
        <v>132.51</v>
      </c>
      <c r="D10" s="91">
        <f t="shared" si="2"/>
        <v>160.1</v>
      </c>
      <c r="E10" s="91">
        <f t="shared" si="2"/>
        <v>84.43</v>
      </c>
      <c r="F10" s="91">
        <f t="shared" si="2"/>
        <v>113.75</v>
      </c>
      <c r="G10" s="91">
        <f t="shared" si="2"/>
        <v>105.96</v>
      </c>
      <c r="H10" s="91">
        <f t="shared" si="2"/>
        <v>135.9</v>
      </c>
      <c r="I10" s="91">
        <f t="shared" si="2"/>
        <v>153.9</v>
      </c>
      <c r="J10" s="91">
        <f t="shared" si="2"/>
        <v>147.43</v>
      </c>
      <c r="K10" s="91">
        <f t="shared" si="2"/>
        <v>117.13</v>
      </c>
      <c r="L10" s="91">
        <f t="shared" si="2"/>
        <v>90.51</v>
      </c>
      <c r="M10" s="91">
        <f t="shared" si="2"/>
        <v>108.3</v>
      </c>
      <c r="N10" s="91">
        <f t="shared" si="2"/>
        <v>108.13</v>
      </c>
    </row>
    <row r="12" spans="1:17" x14ac:dyDescent="0.2">
      <c r="A12" s="83" t="s">
        <v>51</v>
      </c>
    </row>
    <row r="13" spans="1:17" s="92" customFormat="1" x14ac:dyDescent="0.2">
      <c r="B13" s="92" t="s">
        <v>24</v>
      </c>
      <c r="C13" s="124">
        <v>0.19500000000000001</v>
      </c>
      <c r="D13" s="124">
        <f>+C13</f>
        <v>0.19500000000000001</v>
      </c>
      <c r="E13" s="124">
        <f t="shared" ref="E13:N13" si="3">+D13</f>
        <v>0.19500000000000001</v>
      </c>
      <c r="F13" s="124">
        <f t="shared" si="3"/>
        <v>0.19500000000000001</v>
      </c>
      <c r="G13" s="124">
        <f t="shared" si="3"/>
        <v>0.19500000000000001</v>
      </c>
      <c r="H13" s="124">
        <f t="shared" si="3"/>
        <v>0.19500000000000001</v>
      </c>
      <c r="I13" s="124">
        <f t="shared" si="3"/>
        <v>0.19500000000000001</v>
      </c>
      <c r="J13" s="124">
        <f t="shared" si="3"/>
        <v>0.19500000000000001</v>
      </c>
      <c r="K13" s="124">
        <f t="shared" si="3"/>
        <v>0.19500000000000001</v>
      </c>
      <c r="L13" s="124">
        <f t="shared" si="3"/>
        <v>0.19500000000000001</v>
      </c>
      <c r="M13" s="124">
        <f t="shared" si="3"/>
        <v>0.19500000000000001</v>
      </c>
      <c r="N13" s="124">
        <f t="shared" si="3"/>
        <v>0.19500000000000001</v>
      </c>
    </row>
    <row r="14" spans="1:17" s="92" customFormat="1" x14ac:dyDescent="0.2">
      <c r="B14" s="92" t="s">
        <v>28</v>
      </c>
      <c r="C14" s="124">
        <v>0.1782</v>
      </c>
      <c r="D14" s="124">
        <f t="shared" ref="D14:N23" si="4">+C14</f>
        <v>0.1782</v>
      </c>
      <c r="E14" s="124">
        <f t="shared" si="4"/>
        <v>0.1782</v>
      </c>
      <c r="F14" s="124">
        <f t="shared" si="4"/>
        <v>0.1782</v>
      </c>
      <c r="G14" s="124">
        <f t="shared" si="4"/>
        <v>0.1782</v>
      </c>
      <c r="H14" s="124">
        <f t="shared" si="4"/>
        <v>0.1782</v>
      </c>
      <c r="I14" s="124">
        <f t="shared" si="4"/>
        <v>0.1782</v>
      </c>
      <c r="J14" s="124">
        <f t="shared" si="4"/>
        <v>0.1782</v>
      </c>
      <c r="K14" s="124">
        <f t="shared" si="4"/>
        <v>0.1782</v>
      </c>
      <c r="L14" s="124">
        <f t="shared" si="4"/>
        <v>0.1782</v>
      </c>
      <c r="M14" s="124">
        <f t="shared" si="4"/>
        <v>0.1782</v>
      </c>
      <c r="N14" s="124">
        <f t="shared" si="4"/>
        <v>0.1782</v>
      </c>
    </row>
    <row r="15" spans="1:17" s="92" customFormat="1" x14ac:dyDescent="0.2">
      <c r="B15" s="92" t="s">
        <v>52</v>
      </c>
      <c r="C15" s="124">
        <v>0</v>
      </c>
      <c r="D15" s="124">
        <f t="shared" si="4"/>
        <v>0</v>
      </c>
      <c r="E15" s="124">
        <f t="shared" si="4"/>
        <v>0</v>
      </c>
      <c r="F15" s="124">
        <f t="shared" si="4"/>
        <v>0</v>
      </c>
      <c r="G15" s="124">
        <f t="shared" si="4"/>
        <v>0</v>
      </c>
      <c r="H15" s="124">
        <f t="shared" si="4"/>
        <v>0</v>
      </c>
      <c r="I15" s="124">
        <f t="shared" si="4"/>
        <v>0</v>
      </c>
      <c r="J15" s="124">
        <f t="shared" si="4"/>
        <v>0</v>
      </c>
      <c r="K15" s="124">
        <f t="shared" si="4"/>
        <v>0</v>
      </c>
      <c r="L15" s="124">
        <f t="shared" si="4"/>
        <v>0</v>
      </c>
      <c r="M15" s="124">
        <f t="shared" si="4"/>
        <v>0</v>
      </c>
      <c r="N15" s="124">
        <f t="shared" si="4"/>
        <v>0</v>
      </c>
    </row>
    <row r="16" spans="1:17" s="92" customFormat="1" x14ac:dyDescent="0.2">
      <c r="B16" s="92" t="s">
        <v>53</v>
      </c>
      <c r="C16" s="124">
        <v>1.6500000000000001E-2</v>
      </c>
      <c r="D16" s="124">
        <f t="shared" si="4"/>
        <v>1.6500000000000001E-2</v>
      </c>
      <c r="E16" s="124">
        <f t="shared" si="4"/>
        <v>1.6500000000000001E-2</v>
      </c>
      <c r="F16" s="124">
        <f t="shared" si="4"/>
        <v>1.6500000000000001E-2</v>
      </c>
      <c r="G16" s="124">
        <f t="shared" si="4"/>
        <v>1.6500000000000001E-2</v>
      </c>
      <c r="H16" s="124">
        <f t="shared" si="4"/>
        <v>1.6500000000000001E-2</v>
      </c>
      <c r="I16" s="124">
        <f t="shared" si="4"/>
        <v>1.6500000000000001E-2</v>
      </c>
      <c r="J16" s="124">
        <f t="shared" si="4"/>
        <v>1.6500000000000001E-2</v>
      </c>
      <c r="K16" s="124">
        <f t="shared" si="4"/>
        <v>1.6500000000000001E-2</v>
      </c>
      <c r="L16" s="124">
        <f t="shared" si="4"/>
        <v>1.6500000000000001E-2</v>
      </c>
      <c r="M16" s="124">
        <f t="shared" si="4"/>
        <v>1.6500000000000001E-2</v>
      </c>
      <c r="N16" s="124">
        <f t="shared" si="4"/>
        <v>1.6500000000000001E-2</v>
      </c>
    </row>
    <row r="17" spans="1:14" s="92" customFormat="1" x14ac:dyDescent="0.2">
      <c r="B17" s="92" t="s">
        <v>54</v>
      </c>
      <c r="C17" s="124">
        <v>4.4900000000000002E-2</v>
      </c>
      <c r="D17" s="124">
        <f t="shared" si="4"/>
        <v>4.4900000000000002E-2</v>
      </c>
      <c r="E17" s="124">
        <f t="shared" si="4"/>
        <v>4.4900000000000002E-2</v>
      </c>
      <c r="F17" s="124">
        <f t="shared" si="4"/>
        <v>4.4900000000000002E-2</v>
      </c>
      <c r="G17" s="124">
        <f t="shared" si="4"/>
        <v>4.4900000000000002E-2</v>
      </c>
      <c r="H17" s="124">
        <f t="shared" si="4"/>
        <v>4.4900000000000002E-2</v>
      </c>
      <c r="I17" s="124">
        <f t="shared" si="4"/>
        <v>4.4900000000000002E-2</v>
      </c>
      <c r="J17" s="124">
        <f t="shared" si="4"/>
        <v>4.4900000000000002E-2</v>
      </c>
      <c r="K17" s="124">
        <f t="shared" si="4"/>
        <v>4.4900000000000002E-2</v>
      </c>
      <c r="L17" s="124">
        <f t="shared" si="4"/>
        <v>4.4900000000000002E-2</v>
      </c>
      <c r="M17" s="124">
        <f t="shared" si="4"/>
        <v>4.4900000000000002E-2</v>
      </c>
      <c r="N17" s="124">
        <f t="shared" si="4"/>
        <v>4.4900000000000002E-2</v>
      </c>
    </row>
    <row r="18" spans="1:14" s="92" customFormat="1" x14ac:dyDescent="0.2">
      <c r="B18" s="92" t="s">
        <v>55</v>
      </c>
      <c r="C18" s="124">
        <v>7.4999999999999997E-3</v>
      </c>
      <c r="D18" s="124">
        <f t="shared" si="4"/>
        <v>7.4999999999999997E-3</v>
      </c>
      <c r="E18" s="124">
        <f t="shared" si="4"/>
        <v>7.4999999999999997E-3</v>
      </c>
      <c r="F18" s="124">
        <f t="shared" si="4"/>
        <v>7.4999999999999997E-3</v>
      </c>
      <c r="G18" s="124">
        <f t="shared" si="4"/>
        <v>7.4999999999999997E-3</v>
      </c>
      <c r="H18" s="124">
        <f t="shared" si="4"/>
        <v>7.4999999999999997E-3</v>
      </c>
      <c r="I18" s="124">
        <f t="shared" si="4"/>
        <v>7.4999999999999997E-3</v>
      </c>
      <c r="J18" s="124">
        <f t="shared" si="4"/>
        <v>7.4999999999999997E-3</v>
      </c>
      <c r="K18" s="124">
        <f t="shared" si="4"/>
        <v>7.4999999999999997E-3</v>
      </c>
      <c r="L18" s="124">
        <f t="shared" si="4"/>
        <v>7.4999999999999997E-3</v>
      </c>
      <c r="M18" s="124">
        <f t="shared" si="4"/>
        <v>7.4999999999999997E-3</v>
      </c>
      <c r="N18" s="124">
        <f t="shared" si="4"/>
        <v>7.4999999999999997E-3</v>
      </c>
    </row>
    <row r="19" spans="1:14" s="92" customFormat="1" x14ac:dyDescent="0.2">
      <c r="B19" s="66" t="s">
        <v>56</v>
      </c>
      <c r="C19" s="124">
        <v>0</v>
      </c>
      <c r="D19" s="124">
        <f t="shared" si="4"/>
        <v>0</v>
      </c>
      <c r="E19" s="124">
        <f t="shared" si="4"/>
        <v>0</v>
      </c>
      <c r="F19" s="124">
        <f t="shared" si="4"/>
        <v>0</v>
      </c>
      <c r="G19" s="124">
        <f t="shared" si="4"/>
        <v>0</v>
      </c>
      <c r="H19" s="124">
        <f t="shared" si="4"/>
        <v>0</v>
      </c>
      <c r="I19" s="124">
        <f t="shared" si="4"/>
        <v>0</v>
      </c>
      <c r="J19" s="124">
        <f t="shared" si="4"/>
        <v>0</v>
      </c>
      <c r="K19" s="124">
        <f t="shared" si="4"/>
        <v>0</v>
      </c>
      <c r="L19" s="124">
        <f t="shared" si="4"/>
        <v>0</v>
      </c>
      <c r="M19" s="124">
        <f t="shared" si="4"/>
        <v>0</v>
      </c>
      <c r="N19" s="124">
        <f t="shared" si="4"/>
        <v>0</v>
      </c>
    </row>
    <row r="20" spans="1:14" s="92" customFormat="1" x14ac:dyDescent="0.2">
      <c r="B20" s="66" t="s">
        <v>22</v>
      </c>
      <c r="C20" s="124">
        <v>0.17680000000000001</v>
      </c>
      <c r="D20" s="124">
        <f t="shared" si="4"/>
        <v>0.17680000000000001</v>
      </c>
      <c r="E20" s="124">
        <f t="shared" si="4"/>
        <v>0.17680000000000001</v>
      </c>
      <c r="F20" s="124">
        <f t="shared" si="4"/>
        <v>0.17680000000000001</v>
      </c>
      <c r="G20" s="124">
        <f t="shared" si="4"/>
        <v>0.17680000000000001</v>
      </c>
      <c r="H20" s="124">
        <f t="shared" si="4"/>
        <v>0.17680000000000001</v>
      </c>
      <c r="I20" s="124">
        <f t="shared" si="4"/>
        <v>0.17680000000000001</v>
      </c>
      <c r="J20" s="124">
        <f t="shared" si="4"/>
        <v>0.17680000000000001</v>
      </c>
      <c r="K20" s="124">
        <f t="shared" si="4"/>
        <v>0.17680000000000001</v>
      </c>
      <c r="L20" s="124">
        <f t="shared" si="4"/>
        <v>0.17680000000000001</v>
      </c>
      <c r="M20" s="124">
        <f t="shared" si="4"/>
        <v>0.17680000000000001</v>
      </c>
      <c r="N20" s="124">
        <f t="shared" si="4"/>
        <v>0.17680000000000001</v>
      </c>
    </row>
    <row r="21" spans="1:14" s="92" customFormat="1" x14ac:dyDescent="0.2">
      <c r="B21" s="92" t="s">
        <v>57</v>
      </c>
      <c r="C21" s="124">
        <v>0</v>
      </c>
      <c r="D21" s="124">
        <f t="shared" si="4"/>
        <v>0</v>
      </c>
      <c r="E21" s="124">
        <f t="shared" si="4"/>
        <v>0</v>
      </c>
      <c r="F21" s="124">
        <f t="shared" si="4"/>
        <v>0</v>
      </c>
      <c r="G21" s="124">
        <f t="shared" si="4"/>
        <v>0</v>
      </c>
      <c r="H21" s="124">
        <f t="shared" si="4"/>
        <v>0</v>
      </c>
      <c r="I21" s="124">
        <f t="shared" si="4"/>
        <v>0</v>
      </c>
      <c r="J21" s="124">
        <f t="shared" si="4"/>
        <v>0</v>
      </c>
      <c r="K21" s="124">
        <f t="shared" si="4"/>
        <v>0</v>
      </c>
      <c r="L21" s="124">
        <f t="shared" si="4"/>
        <v>0</v>
      </c>
      <c r="M21" s="124">
        <f t="shared" si="4"/>
        <v>0</v>
      </c>
      <c r="N21" s="124">
        <f t="shared" si="4"/>
        <v>0</v>
      </c>
    </row>
    <row r="22" spans="1:14" s="92" customFormat="1" x14ac:dyDescent="0.2">
      <c r="B22" s="92" t="s">
        <v>58</v>
      </c>
      <c r="C22" s="124">
        <v>5.930000000000013E-2</v>
      </c>
      <c r="D22" s="124">
        <f t="shared" si="4"/>
        <v>5.930000000000013E-2</v>
      </c>
      <c r="E22" s="124">
        <f t="shared" si="4"/>
        <v>5.930000000000013E-2</v>
      </c>
      <c r="F22" s="124">
        <f t="shared" si="4"/>
        <v>5.930000000000013E-2</v>
      </c>
      <c r="G22" s="124">
        <f t="shared" si="4"/>
        <v>5.930000000000013E-2</v>
      </c>
      <c r="H22" s="124">
        <f t="shared" si="4"/>
        <v>5.930000000000013E-2</v>
      </c>
      <c r="I22" s="124">
        <f t="shared" si="4"/>
        <v>5.930000000000013E-2</v>
      </c>
      <c r="J22" s="124">
        <f t="shared" si="4"/>
        <v>5.930000000000013E-2</v>
      </c>
      <c r="K22" s="124">
        <f t="shared" si="4"/>
        <v>5.930000000000013E-2</v>
      </c>
      <c r="L22" s="124">
        <f t="shared" si="4"/>
        <v>5.930000000000013E-2</v>
      </c>
      <c r="M22" s="124">
        <f t="shared" si="4"/>
        <v>5.930000000000013E-2</v>
      </c>
      <c r="N22" s="124">
        <f t="shared" si="4"/>
        <v>5.930000000000013E-2</v>
      </c>
    </row>
    <row r="23" spans="1:14" s="92" customFormat="1" x14ac:dyDescent="0.2">
      <c r="B23" s="92" t="s">
        <v>59</v>
      </c>
      <c r="C23" s="125">
        <v>0.32179999999999997</v>
      </c>
      <c r="D23" s="124">
        <f t="shared" si="4"/>
        <v>0.32179999999999997</v>
      </c>
      <c r="E23" s="124">
        <f t="shared" si="4"/>
        <v>0.32179999999999997</v>
      </c>
      <c r="F23" s="124">
        <f t="shared" si="4"/>
        <v>0.32179999999999997</v>
      </c>
      <c r="G23" s="124">
        <f t="shared" si="4"/>
        <v>0.32179999999999997</v>
      </c>
      <c r="H23" s="124">
        <f t="shared" si="4"/>
        <v>0.32179999999999997</v>
      </c>
      <c r="I23" s="124">
        <f t="shared" si="4"/>
        <v>0.32179999999999997</v>
      </c>
      <c r="J23" s="124">
        <f t="shared" si="4"/>
        <v>0.32179999999999997</v>
      </c>
      <c r="K23" s="124">
        <f t="shared" si="4"/>
        <v>0.32179999999999997</v>
      </c>
      <c r="L23" s="124">
        <f t="shared" si="4"/>
        <v>0.32179999999999997</v>
      </c>
      <c r="M23" s="124">
        <f t="shared" si="4"/>
        <v>0.32179999999999997</v>
      </c>
      <c r="N23" s="124">
        <f t="shared" si="4"/>
        <v>0.32179999999999997</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83" t="s">
        <v>60</v>
      </c>
    </row>
    <row r="27" spans="1:14" x14ac:dyDescent="0.2">
      <c r="B27" s="66" t="s">
        <v>24</v>
      </c>
      <c r="C27" s="75">
        <f t="shared" ref="C27:C37" si="5">+C$10*C13</f>
        <v>25.839449999999999</v>
      </c>
      <c r="D27" s="75">
        <f t="shared" ref="D27:M27" si="6">+D$10*D13</f>
        <v>31.2195</v>
      </c>
      <c r="E27" s="75">
        <f t="shared" si="6"/>
        <v>16.463850000000001</v>
      </c>
      <c r="F27" s="75">
        <f t="shared" si="6"/>
        <v>22.181250000000002</v>
      </c>
      <c r="G27" s="75">
        <f t="shared" si="6"/>
        <v>20.662199999999999</v>
      </c>
      <c r="H27" s="75">
        <f t="shared" si="6"/>
        <v>26.500500000000002</v>
      </c>
      <c r="I27" s="75">
        <f t="shared" si="6"/>
        <v>30.0105</v>
      </c>
      <c r="J27" s="75">
        <f t="shared" si="6"/>
        <v>28.748850000000001</v>
      </c>
      <c r="K27" s="75">
        <f t="shared" si="6"/>
        <v>22.840350000000001</v>
      </c>
      <c r="L27" s="75">
        <f t="shared" si="6"/>
        <v>17.649450000000002</v>
      </c>
      <c r="M27" s="75">
        <f t="shared" si="6"/>
        <v>21.118500000000001</v>
      </c>
      <c r="N27" s="75">
        <f>+N$10*N13</f>
        <v>21.085349999999998</v>
      </c>
    </row>
    <row r="28" spans="1:14" x14ac:dyDescent="0.2">
      <c r="B28" s="66" t="s">
        <v>28</v>
      </c>
      <c r="C28" s="75">
        <f t="shared" si="5"/>
        <v>23.613281999999998</v>
      </c>
      <c r="D28" s="75">
        <f t="shared" ref="D28:M28" si="7">+D$10*D14</f>
        <v>28.529819999999997</v>
      </c>
      <c r="E28" s="75">
        <f>+E$10*E14</f>
        <v>15.045426000000001</v>
      </c>
      <c r="F28" s="75">
        <f t="shared" si="7"/>
        <v>20.270250000000001</v>
      </c>
      <c r="G28" s="75">
        <f t="shared" si="7"/>
        <v>18.882071999999997</v>
      </c>
      <c r="H28" s="75">
        <f t="shared" si="7"/>
        <v>24.217380000000002</v>
      </c>
      <c r="I28" s="75">
        <f t="shared" si="7"/>
        <v>27.424980000000001</v>
      </c>
      <c r="J28" s="75">
        <f t="shared" si="7"/>
        <v>26.272026</v>
      </c>
      <c r="K28" s="75">
        <f t="shared" si="7"/>
        <v>20.872565999999999</v>
      </c>
      <c r="L28" s="75">
        <f t="shared" si="7"/>
        <v>16.128882000000001</v>
      </c>
      <c r="M28" s="75">
        <f t="shared" si="7"/>
        <v>19.299060000000001</v>
      </c>
      <c r="N28" s="75">
        <f>+N$10*N14</f>
        <v>19.268765999999999</v>
      </c>
    </row>
    <row r="29" spans="1:14" x14ac:dyDescent="0.2">
      <c r="B29" s="66" t="s">
        <v>52</v>
      </c>
      <c r="C29" s="75">
        <f t="shared" si="5"/>
        <v>0</v>
      </c>
      <c r="D29" s="75">
        <f t="shared" ref="D29:N29" si="8">+D$10*D15</f>
        <v>0</v>
      </c>
      <c r="E29" s="75">
        <f t="shared" si="8"/>
        <v>0</v>
      </c>
      <c r="F29" s="75">
        <f t="shared" si="8"/>
        <v>0</v>
      </c>
      <c r="G29" s="75">
        <f t="shared" si="8"/>
        <v>0</v>
      </c>
      <c r="H29" s="75">
        <f t="shared" si="8"/>
        <v>0</v>
      </c>
      <c r="I29" s="75">
        <f t="shared" si="8"/>
        <v>0</v>
      </c>
      <c r="J29" s="75">
        <f t="shared" si="8"/>
        <v>0</v>
      </c>
      <c r="K29" s="75">
        <f t="shared" si="8"/>
        <v>0</v>
      </c>
      <c r="L29" s="75">
        <f t="shared" si="8"/>
        <v>0</v>
      </c>
      <c r="M29" s="75">
        <f t="shared" si="8"/>
        <v>0</v>
      </c>
      <c r="N29" s="75">
        <f t="shared" si="8"/>
        <v>0</v>
      </c>
    </row>
    <row r="30" spans="1:14" x14ac:dyDescent="0.2">
      <c r="B30" s="66" t="s">
        <v>53</v>
      </c>
      <c r="C30" s="75">
        <f t="shared" si="5"/>
        <v>2.1864149999999998</v>
      </c>
      <c r="D30" s="75">
        <f t="shared" ref="D30:N30" si="9">+D$10*D16</f>
        <v>2.6416499999999998</v>
      </c>
      <c r="E30" s="75">
        <f t="shared" si="9"/>
        <v>1.3930950000000002</v>
      </c>
      <c r="F30" s="75">
        <f t="shared" si="9"/>
        <v>1.8768750000000001</v>
      </c>
      <c r="G30" s="75">
        <f t="shared" si="9"/>
        <v>1.74834</v>
      </c>
      <c r="H30" s="75">
        <f t="shared" si="9"/>
        <v>2.2423500000000001</v>
      </c>
      <c r="I30" s="75">
        <f t="shared" si="9"/>
        <v>2.5393500000000002</v>
      </c>
      <c r="J30" s="75">
        <f t="shared" si="9"/>
        <v>2.4325950000000001</v>
      </c>
      <c r="K30" s="75">
        <f t="shared" si="9"/>
        <v>1.9326449999999999</v>
      </c>
      <c r="L30" s="75">
        <f t="shared" si="9"/>
        <v>1.4934150000000002</v>
      </c>
      <c r="M30" s="75">
        <f t="shared" si="9"/>
        <v>1.78695</v>
      </c>
      <c r="N30" s="75">
        <f t="shared" si="9"/>
        <v>1.7841450000000001</v>
      </c>
    </row>
    <row r="31" spans="1:14" x14ac:dyDescent="0.2">
      <c r="B31" s="66" t="s">
        <v>54</v>
      </c>
      <c r="C31" s="75">
        <f t="shared" si="5"/>
        <v>5.9496989999999998</v>
      </c>
      <c r="D31" s="75">
        <f t="shared" ref="D31:N31" si="10">+D$10*D17</f>
        <v>7.1884899999999998</v>
      </c>
      <c r="E31" s="75">
        <f t="shared" si="10"/>
        <v>3.7909070000000007</v>
      </c>
      <c r="F31" s="75">
        <f t="shared" si="10"/>
        <v>5.1073750000000002</v>
      </c>
      <c r="G31" s="75">
        <f t="shared" si="10"/>
        <v>4.7576039999999997</v>
      </c>
      <c r="H31" s="75">
        <f t="shared" si="10"/>
        <v>6.1019100000000002</v>
      </c>
      <c r="I31" s="75">
        <f t="shared" si="10"/>
        <v>6.9101100000000004</v>
      </c>
      <c r="J31" s="75">
        <f t="shared" si="10"/>
        <v>6.6196070000000002</v>
      </c>
      <c r="K31" s="75">
        <f t="shared" si="10"/>
        <v>5.259137</v>
      </c>
      <c r="L31" s="75">
        <f t="shared" si="10"/>
        <v>4.0638990000000002</v>
      </c>
      <c r="M31" s="75">
        <f t="shared" si="10"/>
        <v>4.8626700000000005</v>
      </c>
      <c r="N31" s="75">
        <f t="shared" si="10"/>
        <v>4.8550370000000003</v>
      </c>
    </row>
    <row r="32" spans="1:14" x14ac:dyDescent="0.2">
      <c r="B32" s="66" t="s">
        <v>55</v>
      </c>
      <c r="C32" s="75">
        <f t="shared" si="5"/>
        <v>0.99382499999999985</v>
      </c>
      <c r="D32" s="75">
        <f t="shared" ref="D32:N32" si="11">+D$10*D18</f>
        <v>1.20075</v>
      </c>
      <c r="E32" s="75">
        <f t="shared" si="11"/>
        <v>0.63322500000000004</v>
      </c>
      <c r="F32" s="75">
        <f t="shared" si="11"/>
        <v>0.85312500000000002</v>
      </c>
      <c r="G32" s="75">
        <f t="shared" si="11"/>
        <v>0.79469999999999996</v>
      </c>
      <c r="H32" s="75">
        <f t="shared" si="11"/>
        <v>1.01925</v>
      </c>
      <c r="I32" s="75">
        <f t="shared" si="11"/>
        <v>1.15425</v>
      </c>
      <c r="J32" s="75">
        <f t="shared" si="11"/>
        <v>1.1057250000000001</v>
      </c>
      <c r="K32" s="75">
        <f t="shared" si="11"/>
        <v>0.87847499999999989</v>
      </c>
      <c r="L32" s="75">
        <f t="shared" si="11"/>
        <v>0.67882500000000001</v>
      </c>
      <c r="M32" s="75">
        <f t="shared" si="11"/>
        <v>0.81224999999999992</v>
      </c>
      <c r="N32" s="75">
        <f t="shared" si="11"/>
        <v>0.81097499999999989</v>
      </c>
    </row>
    <row r="33" spans="1:14" x14ac:dyDescent="0.2">
      <c r="B33" s="66" t="s">
        <v>56</v>
      </c>
      <c r="C33" s="75">
        <f t="shared" si="5"/>
        <v>0</v>
      </c>
      <c r="D33" s="75">
        <f t="shared" ref="D33:N33" si="12">+D$10*D19</f>
        <v>0</v>
      </c>
      <c r="E33" s="75">
        <f t="shared" si="12"/>
        <v>0</v>
      </c>
      <c r="F33" s="75">
        <f t="shared" si="12"/>
        <v>0</v>
      </c>
      <c r="G33" s="75">
        <f t="shared" si="12"/>
        <v>0</v>
      </c>
      <c r="H33" s="75">
        <f t="shared" si="12"/>
        <v>0</v>
      </c>
      <c r="I33" s="75">
        <f t="shared" si="12"/>
        <v>0</v>
      </c>
      <c r="J33" s="75">
        <f t="shared" si="12"/>
        <v>0</v>
      </c>
      <c r="K33" s="75">
        <f t="shared" si="12"/>
        <v>0</v>
      </c>
      <c r="L33" s="75">
        <f t="shared" si="12"/>
        <v>0</v>
      </c>
      <c r="M33" s="75">
        <f t="shared" si="12"/>
        <v>0</v>
      </c>
      <c r="N33" s="75">
        <f t="shared" si="12"/>
        <v>0</v>
      </c>
    </row>
    <row r="34" spans="1:14" x14ac:dyDescent="0.2">
      <c r="B34" s="66" t="s">
        <v>22</v>
      </c>
      <c r="C34" s="75">
        <f t="shared" si="5"/>
        <v>23.427768</v>
      </c>
      <c r="D34" s="75">
        <f t="shared" ref="D34:N34" si="13">+D$10*D20</f>
        <v>28.305680000000002</v>
      </c>
      <c r="E34" s="75">
        <f t="shared" si="13"/>
        <v>14.927224000000002</v>
      </c>
      <c r="F34" s="75">
        <f t="shared" si="13"/>
        <v>20.111000000000001</v>
      </c>
      <c r="G34" s="75">
        <f t="shared" si="13"/>
        <v>18.733727999999999</v>
      </c>
      <c r="H34" s="75">
        <f t="shared" si="13"/>
        <v>24.027120000000004</v>
      </c>
      <c r="I34" s="75">
        <f t="shared" si="13"/>
        <v>27.209520000000001</v>
      </c>
      <c r="J34" s="75">
        <f t="shared" si="13"/>
        <v>26.065624000000003</v>
      </c>
      <c r="K34" s="75">
        <f t="shared" si="13"/>
        <v>20.708584000000002</v>
      </c>
      <c r="L34" s="75">
        <f t="shared" si="13"/>
        <v>16.002168000000001</v>
      </c>
      <c r="M34" s="75">
        <f t="shared" si="13"/>
        <v>19.14744</v>
      </c>
      <c r="N34" s="75">
        <f t="shared" si="13"/>
        <v>19.117384000000001</v>
      </c>
    </row>
    <row r="35" spans="1:14" x14ac:dyDescent="0.2">
      <c r="B35" s="66" t="s">
        <v>57</v>
      </c>
      <c r="C35" s="75">
        <f t="shared" si="5"/>
        <v>0</v>
      </c>
      <c r="D35" s="75">
        <f t="shared" ref="D35:N35" si="14">+D$10*D21</f>
        <v>0</v>
      </c>
      <c r="E35" s="75">
        <f t="shared" si="14"/>
        <v>0</v>
      </c>
      <c r="F35" s="75">
        <f t="shared" si="14"/>
        <v>0</v>
      </c>
      <c r="G35" s="75">
        <f t="shared" si="14"/>
        <v>0</v>
      </c>
      <c r="H35" s="75">
        <f t="shared" si="14"/>
        <v>0</v>
      </c>
      <c r="I35" s="75">
        <f t="shared" si="14"/>
        <v>0</v>
      </c>
      <c r="J35" s="75">
        <f t="shared" si="14"/>
        <v>0</v>
      </c>
      <c r="K35" s="75">
        <f t="shared" si="14"/>
        <v>0</v>
      </c>
      <c r="L35" s="75">
        <f t="shared" si="14"/>
        <v>0</v>
      </c>
      <c r="M35" s="75">
        <f t="shared" si="14"/>
        <v>0</v>
      </c>
      <c r="N35" s="75">
        <f t="shared" si="14"/>
        <v>0</v>
      </c>
    </row>
    <row r="36" spans="1:14" x14ac:dyDescent="0.2">
      <c r="B36" s="66" t="s">
        <v>58</v>
      </c>
      <c r="C36" s="75">
        <f t="shared" si="5"/>
        <v>7.8578430000000168</v>
      </c>
      <c r="D36" s="75">
        <f t="shared" ref="D36:N36" si="15">+D$10*D22</f>
        <v>9.4939300000000202</v>
      </c>
      <c r="E36" s="75">
        <f t="shared" si="15"/>
        <v>5.0066990000000118</v>
      </c>
      <c r="F36" s="75">
        <f t="shared" si="15"/>
        <v>6.7453750000000152</v>
      </c>
      <c r="G36" s="75">
        <f t="shared" si="15"/>
        <v>6.2834280000000131</v>
      </c>
      <c r="H36" s="75">
        <f t="shared" si="15"/>
        <v>8.0588700000000184</v>
      </c>
      <c r="I36" s="75">
        <f t="shared" si="15"/>
        <v>9.1262700000000212</v>
      </c>
      <c r="J36" s="75">
        <f t="shared" si="15"/>
        <v>8.7425990000000198</v>
      </c>
      <c r="K36" s="75">
        <f t="shared" si="15"/>
        <v>6.9458090000000148</v>
      </c>
      <c r="L36" s="75">
        <f t="shared" si="15"/>
        <v>5.3672430000000118</v>
      </c>
      <c r="M36" s="75">
        <f t="shared" si="15"/>
        <v>6.4221900000000138</v>
      </c>
      <c r="N36" s="75">
        <f t="shared" si="15"/>
        <v>6.4121090000000143</v>
      </c>
    </row>
    <row r="37" spans="1:14" x14ac:dyDescent="0.2">
      <c r="B37" s="66" t="s">
        <v>59</v>
      </c>
      <c r="C37" s="90">
        <f t="shared" si="5"/>
        <v>42.64171799999999</v>
      </c>
      <c r="D37" s="90">
        <f t="shared" ref="D37:N37" si="16">+D$10*D23</f>
        <v>51.520179999999996</v>
      </c>
      <c r="E37" s="90">
        <f t="shared" si="16"/>
        <v>27.169574000000001</v>
      </c>
      <c r="F37" s="90">
        <f t="shared" si="16"/>
        <v>36.604749999999996</v>
      </c>
      <c r="G37" s="90">
        <f t="shared" si="16"/>
        <v>34.097927999999996</v>
      </c>
      <c r="H37" s="90">
        <f t="shared" si="16"/>
        <v>43.732619999999997</v>
      </c>
      <c r="I37" s="90">
        <f t="shared" si="16"/>
        <v>49.525019999999998</v>
      </c>
      <c r="J37" s="90">
        <f t="shared" si="16"/>
        <v>47.442974</v>
      </c>
      <c r="K37" s="90">
        <f t="shared" si="16"/>
        <v>37.692433999999999</v>
      </c>
      <c r="L37" s="90">
        <f t="shared" si="16"/>
        <v>29.126117999999998</v>
      </c>
      <c r="M37" s="90">
        <f t="shared" si="16"/>
        <v>34.850939999999994</v>
      </c>
      <c r="N37" s="90">
        <f t="shared" si="16"/>
        <v>34.796233999999998</v>
      </c>
    </row>
    <row r="38" spans="1:14" x14ac:dyDescent="0.2">
      <c r="C38" s="75">
        <f>SUM(C27:C37)</f>
        <v>132.51</v>
      </c>
      <c r="D38" s="75">
        <f t="shared" ref="D38:N38" si="17">SUM(D27:D37)</f>
        <v>160.10000000000002</v>
      </c>
      <c r="E38" s="75">
        <f t="shared" si="17"/>
        <v>84.430000000000021</v>
      </c>
      <c r="F38" s="75">
        <f t="shared" si="17"/>
        <v>113.75</v>
      </c>
      <c r="G38" s="75">
        <f t="shared" si="17"/>
        <v>105.96000000000001</v>
      </c>
      <c r="H38" s="75">
        <f t="shared" si="17"/>
        <v>135.90000000000003</v>
      </c>
      <c r="I38" s="75">
        <f t="shared" si="17"/>
        <v>153.90000000000003</v>
      </c>
      <c r="J38" s="75">
        <f t="shared" si="17"/>
        <v>147.43</v>
      </c>
      <c r="K38" s="75">
        <f t="shared" si="17"/>
        <v>117.13000000000002</v>
      </c>
      <c r="L38" s="75">
        <f t="shared" si="17"/>
        <v>90.510000000000019</v>
      </c>
      <c r="M38" s="75">
        <f t="shared" si="17"/>
        <v>108.30000000000001</v>
      </c>
      <c r="N38" s="75">
        <f t="shared" si="17"/>
        <v>108.13000000000002</v>
      </c>
    </row>
    <row r="40" spans="1:14" x14ac:dyDescent="0.2">
      <c r="A40" s="83" t="s">
        <v>61</v>
      </c>
    </row>
    <row r="41" spans="1:14" x14ac:dyDescent="0.2">
      <c r="B41" s="66" t="s">
        <v>24</v>
      </c>
      <c r="C41" s="94">
        <v>1</v>
      </c>
      <c r="D41" s="95">
        <v>1</v>
      </c>
      <c r="E41" s="95">
        <v>1</v>
      </c>
      <c r="F41" s="95">
        <v>1</v>
      </c>
      <c r="G41" s="95">
        <v>1</v>
      </c>
      <c r="H41" s="95">
        <v>1</v>
      </c>
      <c r="I41" s="95">
        <v>1</v>
      </c>
      <c r="J41" s="95">
        <v>1</v>
      </c>
      <c r="K41" s="95">
        <v>1</v>
      </c>
      <c r="L41" s="95">
        <v>1</v>
      </c>
      <c r="M41" s="95">
        <v>1</v>
      </c>
      <c r="N41" s="95">
        <v>1</v>
      </c>
    </row>
    <row r="42" spans="1:14" x14ac:dyDescent="0.2">
      <c r="B42" s="66" t="s">
        <v>28</v>
      </c>
      <c r="C42" s="94">
        <v>1</v>
      </c>
      <c r="D42" s="95">
        <v>1</v>
      </c>
      <c r="E42" s="95">
        <v>1</v>
      </c>
      <c r="F42" s="95">
        <v>1</v>
      </c>
      <c r="G42" s="95">
        <v>1</v>
      </c>
      <c r="H42" s="95">
        <v>1</v>
      </c>
      <c r="I42" s="95">
        <v>1</v>
      </c>
      <c r="J42" s="95">
        <v>1</v>
      </c>
      <c r="K42" s="95">
        <v>1</v>
      </c>
      <c r="L42" s="95">
        <v>1</v>
      </c>
      <c r="M42" s="95">
        <v>1</v>
      </c>
      <c r="N42" s="95">
        <v>1</v>
      </c>
    </row>
    <row r="43" spans="1:14" x14ac:dyDescent="0.2">
      <c r="B43" s="66" t="s">
        <v>52</v>
      </c>
      <c r="C43" s="94">
        <v>1</v>
      </c>
      <c r="D43" s="95">
        <v>1</v>
      </c>
      <c r="E43" s="95">
        <v>1</v>
      </c>
      <c r="F43" s="95">
        <v>1</v>
      </c>
      <c r="G43" s="95">
        <v>1</v>
      </c>
      <c r="H43" s="95">
        <v>1</v>
      </c>
      <c r="I43" s="95">
        <v>1</v>
      </c>
      <c r="J43" s="95">
        <v>1</v>
      </c>
      <c r="K43" s="95">
        <v>1</v>
      </c>
      <c r="L43" s="95">
        <v>1</v>
      </c>
      <c r="M43" s="95">
        <v>1</v>
      </c>
      <c r="N43" s="95">
        <v>1</v>
      </c>
    </row>
    <row r="44" spans="1:14" x14ac:dyDescent="0.2">
      <c r="B44" s="66" t="s">
        <v>53</v>
      </c>
      <c r="C44" s="94">
        <v>1</v>
      </c>
      <c r="D44" s="95">
        <v>1</v>
      </c>
      <c r="E44" s="95">
        <v>1</v>
      </c>
      <c r="F44" s="95">
        <v>1</v>
      </c>
      <c r="G44" s="95">
        <v>1</v>
      </c>
      <c r="H44" s="95">
        <v>1</v>
      </c>
      <c r="I44" s="95">
        <v>1</v>
      </c>
      <c r="J44" s="95">
        <v>1</v>
      </c>
      <c r="K44" s="95">
        <v>1</v>
      </c>
      <c r="L44" s="95">
        <v>1</v>
      </c>
      <c r="M44" s="95">
        <v>1</v>
      </c>
      <c r="N44" s="95">
        <v>1</v>
      </c>
    </row>
    <row r="45" spans="1:14" x14ac:dyDescent="0.2">
      <c r="B45" s="66" t="s">
        <v>54</v>
      </c>
      <c r="C45" s="94">
        <v>1</v>
      </c>
      <c r="D45" s="95">
        <v>1</v>
      </c>
      <c r="E45" s="95">
        <v>1</v>
      </c>
      <c r="F45" s="95">
        <v>1</v>
      </c>
      <c r="G45" s="95">
        <v>1</v>
      </c>
      <c r="H45" s="95">
        <v>1</v>
      </c>
      <c r="I45" s="95">
        <v>1</v>
      </c>
      <c r="J45" s="95">
        <v>1</v>
      </c>
      <c r="K45" s="95">
        <v>1</v>
      </c>
      <c r="L45" s="95">
        <v>1</v>
      </c>
      <c r="M45" s="95">
        <v>1</v>
      </c>
      <c r="N45" s="95">
        <v>1</v>
      </c>
    </row>
    <row r="46" spans="1:14" x14ac:dyDescent="0.2">
      <c r="B46" s="66" t="s">
        <v>55</v>
      </c>
      <c r="C46" s="94">
        <v>1</v>
      </c>
      <c r="D46" s="95">
        <v>1</v>
      </c>
      <c r="E46" s="95">
        <v>1</v>
      </c>
      <c r="F46" s="95">
        <v>1</v>
      </c>
      <c r="G46" s="95">
        <v>1</v>
      </c>
      <c r="H46" s="95">
        <v>1</v>
      </c>
      <c r="I46" s="95">
        <v>1</v>
      </c>
      <c r="J46" s="95">
        <v>1</v>
      </c>
      <c r="K46" s="95">
        <v>1</v>
      </c>
      <c r="L46" s="95">
        <v>1</v>
      </c>
      <c r="M46" s="95">
        <v>1</v>
      </c>
      <c r="N46" s="95">
        <v>1</v>
      </c>
    </row>
    <row r="47" spans="1:14" x14ac:dyDescent="0.2">
      <c r="B47" s="66" t="s">
        <v>56</v>
      </c>
      <c r="C47" s="94">
        <v>1</v>
      </c>
      <c r="D47" s="95">
        <v>1</v>
      </c>
      <c r="E47" s="95">
        <v>1</v>
      </c>
      <c r="F47" s="95">
        <v>1</v>
      </c>
      <c r="G47" s="95">
        <v>1</v>
      </c>
      <c r="H47" s="95">
        <v>1</v>
      </c>
      <c r="I47" s="95">
        <v>1</v>
      </c>
      <c r="J47" s="95">
        <v>1</v>
      </c>
      <c r="K47" s="95">
        <v>1</v>
      </c>
      <c r="L47" s="95">
        <v>1</v>
      </c>
      <c r="M47" s="95">
        <v>1</v>
      </c>
      <c r="N47" s="95">
        <v>1</v>
      </c>
    </row>
    <row r="48" spans="1:14" x14ac:dyDescent="0.2">
      <c r="B48" s="66" t="s">
        <v>22</v>
      </c>
      <c r="C48" s="94">
        <v>1</v>
      </c>
      <c r="D48" s="95">
        <v>1</v>
      </c>
      <c r="E48" s="95">
        <v>1</v>
      </c>
      <c r="F48" s="95">
        <v>1</v>
      </c>
      <c r="G48" s="95">
        <v>1</v>
      </c>
      <c r="H48" s="95">
        <v>1</v>
      </c>
      <c r="I48" s="95">
        <v>1</v>
      </c>
      <c r="J48" s="95">
        <v>1</v>
      </c>
      <c r="K48" s="95">
        <v>1</v>
      </c>
      <c r="L48" s="95">
        <v>1</v>
      </c>
      <c r="M48" s="95">
        <v>1</v>
      </c>
      <c r="N48" s="95">
        <v>1</v>
      </c>
    </row>
    <row r="49" spans="1:14" x14ac:dyDescent="0.2">
      <c r="B49" s="66" t="s">
        <v>57</v>
      </c>
      <c r="C49" s="94">
        <v>1</v>
      </c>
      <c r="D49" s="95">
        <v>1</v>
      </c>
      <c r="E49" s="95">
        <v>1</v>
      </c>
      <c r="F49" s="95">
        <v>1</v>
      </c>
      <c r="G49" s="95">
        <v>1</v>
      </c>
      <c r="H49" s="95">
        <v>1</v>
      </c>
      <c r="I49" s="95">
        <v>1</v>
      </c>
      <c r="J49" s="95">
        <v>1</v>
      </c>
      <c r="K49" s="95">
        <v>1</v>
      </c>
      <c r="L49" s="95">
        <v>1</v>
      </c>
      <c r="M49" s="95">
        <v>1</v>
      </c>
      <c r="N49" s="95">
        <v>1</v>
      </c>
    </row>
    <row r="50" spans="1:14" x14ac:dyDescent="0.2">
      <c r="B50" s="66" t="s">
        <v>58</v>
      </c>
      <c r="C50" s="94">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59</v>
      </c>
      <c r="C52" s="93">
        <f>+C65/C37</f>
        <v>0.99999999999999978</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83" t="s">
        <v>62</v>
      </c>
      <c r="L54" s="93"/>
      <c r="N54" s="95"/>
    </row>
    <row r="55" spans="1:14" x14ac:dyDescent="0.2">
      <c r="B55" s="66" t="s">
        <v>24</v>
      </c>
      <c r="C55" s="75">
        <f t="shared" ref="C55:C64" si="18">+C27*C41</f>
        <v>25.839449999999999</v>
      </c>
      <c r="D55" s="75">
        <f t="shared" ref="D55:N55" si="19">+D27*D41</f>
        <v>31.2195</v>
      </c>
      <c r="E55" s="75">
        <f>+E27*E41</f>
        <v>16.463850000000001</v>
      </c>
      <c r="F55" s="75">
        <f t="shared" si="19"/>
        <v>22.181250000000002</v>
      </c>
      <c r="G55" s="75">
        <f t="shared" si="19"/>
        <v>20.662199999999999</v>
      </c>
      <c r="H55" s="75">
        <f t="shared" si="19"/>
        <v>26.500500000000002</v>
      </c>
      <c r="I55" s="75">
        <f t="shared" si="19"/>
        <v>30.0105</v>
      </c>
      <c r="J55" s="75">
        <f t="shared" si="19"/>
        <v>28.748850000000001</v>
      </c>
      <c r="K55" s="75">
        <f t="shared" si="19"/>
        <v>22.840350000000001</v>
      </c>
      <c r="L55" s="75">
        <f t="shared" si="19"/>
        <v>17.649450000000002</v>
      </c>
      <c r="M55" s="75">
        <f t="shared" si="19"/>
        <v>21.118500000000001</v>
      </c>
      <c r="N55" s="75">
        <f t="shared" si="19"/>
        <v>21.085349999999998</v>
      </c>
    </row>
    <row r="56" spans="1:14" x14ac:dyDescent="0.2">
      <c r="B56" s="66" t="s">
        <v>28</v>
      </c>
      <c r="C56" s="75">
        <f t="shared" si="18"/>
        <v>23.613281999999998</v>
      </c>
      <c r="D56" s="75">
        <f t="shared" ref="D56:N56" si="20">+D28*D42</f>
        <v>28.529819999999997</v>
      </c>
      <c r="E56" s="75">
        <f t="shared" si="20"/>
        <v>15.045426000000001</v>
      </c>
      <c r="F56" s="75">
        <f t="shared" si="20"/>
        <v>20.270250000000001</v>
      </c>
      <c r="G56" s="75">
        <f t="shared" si="20"/>
        <v>18.882071999999997</v>
      </c>
      <c r="H56" s="75">
        <f t="shared" si="20"/>
        <v>24.217380000000002</v>
      </c>
      <c r="I56" s="75">
        <f t="shared" si="20"/>
        <v>27.424980000000001</v>
      </c>
      <c r="J56" s="75">
        <f t="shared" si="20"/>
        <v>26.272026</v>
      </c>
      <c r="K56" s="75">
        <f t="shared" si="20"/>
        <v>20.872565999999999</v>
      </c>
      <c r="L56" s="75">
        <f t="shared" si="20"/>
        <v>16.128882000000001</v>
      </c>
      <c r="M56" s="75">
        <f t="shared" si="20"/>
        <v>19.299060000000001</v>
      </c>
      <c r="N56" s="75">
        <f t="shared" si="20"/>
        <v>19.268765999999999</v>
      </c>
    </row>
    <row r="57" spans="1:14" x14ac:dyDescent="0.2">
      <c r="B57" s="66" t="s">
        <v>52</v>
      </c>
      <c r="C57" s="75">
        <f t="shared" si="18"/>
        <v>0</v>
      </c>
      <c r="D57" s="75">
        <f t="shared" ref="D57:N57" si="21">+D29*D43</f>
        <v>0</v>
      </c>
      <c r="E57" s="75">
        <f t="shared" si="21"/>
        <v>0</v>
      </c>
      <c r="F57" s="75">
        <f t="shared" si="21"/>
        <v>0</v>
      </c>
      <c r="G57" s="75">
        <f t="shared" si="21"/>
        <v>0</v>
      </c>
      <c r="H57" s="75">
        <f t="shared" si="21"/>
        <v>0</v>
      </c>
      <c r="I57" s="75">
        <f t="shared" si="21"/>
        <v>0</v>
      </c>
      <c r="J57" s="75">
        <f t="shared" si="21"/>
        <v>0</v>
      </c>
      <c r="K57" s="75">
        <f t="shared" si="21"/>
        <v>0</v>
      </c>
      <c r="L57" s="75">
        <f t="shared" si="21"/>
        <v>0</v>
      </c>
      <c r="M57" s="75">
        <f t="shared" si="21"/>
        <v>0</v>
      </c>
      <c r="N57" s="75">
        <f t="shared" si="21"/>
        <v>0</v>
      </c>
    </row>
    <row r="58" spans="1:14" x14ac:dyDescent="0.2">
      <c r="B58" s="66" t="s">
        <v>53</v>
      </c>
      <c r="C58" s="75">
        <f t="shared" si="18"/>
        <v>2.1864149999999998</v>
      </c>
      <c r="D58" s="75">
        <f t="shared" ref="D58:N58" si="22">+D30*D44</f>
        <v>2.6416499999999998</v>
      </c>
      <c r="E58" s="75">
        <f t="shared" si="22"/>
        <v>1.3930950000000002</v>
      </c>
      <c r="F58" s="75">
        <f t="shared" si="22"/>
        <v>1.8768750000000001</v>
      </c>
      <c r="G58" s="75">
        <f t="shared" si="22"/>
        <v>1.74834</v>
      </c>
      <c r="H58" s="75">
        <f t="shared" si="22"/>
        <v>2.2423500000000001</v>
      </c>
      <c r="I58" s="75">
        <f t="shared" si="22"/>
        <v>2.5393500000000002</v>
      </c>
      <c r="J58" s="75">
        <f t="shared" si="22"/>
        <v>2.4325950000000001</v>
      </c>
      <c r="K58" s="75">
        <f t="shared" si="22"/>
        <v>1.9326449999999999</v>
      </c>
      <c r="L58" s="75">
        <f t="shared" si="22"/>
        <v>1.4934150000000002</v>
      </c>
      <c r="M58" s="75">
        <f t="shared" si="22"/>
        <v>1.78695</v>
      </c>
      <c r="N58" s="75">
        <f t="shared" si="22"/>
        <v>1.7841450000000001</v>
      </c>
    </row>
    <row r="59" spans="1:14" x14ac:dyDescent="0.2">
      <c r="B59" s="66" t="s">
        <v>54</v>
      </c>
      <c r="C59" s="75">
        <f t="shared" si="18"/>
        <v>5.9496989999999998</v>
      </c>
      <c r="D59" s="75">
        <f t="shared" ref="D59:N59" si="23">+D31*D45</f>
        <v>7.1884899999999998</v>
      </c>
      <c r="E59" s="75">
        <f t="shared" si="23"/>
        <v>3.7909070000000007</v>
      </c>
      <c r="F59" s="75">
        <f t="shared" si="23"/>
        <v>5.1073750000000002</v>
      </c>
      <c r="G59" s="75">
        <f t="shared" si="23"/>
        <v>4.7576039999999997</v>
      </c>
      <c r="H59" s="75">
        <f t="shared" si="23"/>
        <v>6.1019100000000002</v>
      </c>
      <c r="I59" s="75">
        <f t="shared" si="23"/>
        <v>6.9101100000000004</v>
      </c>
      <c r="J59" s="75">
        <f t="shared" si="23"/>
        <v>6.6196070000000002</v>
      </c>
      <c r="K59" s="75">
        <f t="shared" si="23"/>
        <v>5.259137</v>
      </c>
      <c r="L59" s="75">
        <f t="shared" si="23"/>
        <v>4.0638990000000002</v>
      </c>
      <c r="M59" s="75">
        <f t="shared" si="23"/>
        <v>4.8626700000000005</v>
      </c>
      <c r="N59" s="75">
        <f t="shared" si="23"/>
        <v>4.8550370000000003</v>
      </c>
    </row>
    <row r="60" spans="1:14" x14ac:dyDescent="0.2">
      <c r="B60" s="66" t="s">
        <v>55</v>
      </c>
      <c r="C60" s="96">
        <f t="shared" si="18"/>
        <v>0.99382499999999985</v>
      </c>
      <c r="D60" s="96">
        <f t="shared" ref="D60:N60" si="24">+D32*D46</f>
        <v>1.20075</v>
      </c>
      <c r="E60" s="96">
        <f t="shared" si="24"/>
        <v>0.63322500000000004</v>
      </c>
      <c r="F60" s="96">
        <f t="shared" si="24"/>
        <v>0.85312500000000002</v>
      </c>
      <c r="G60" s="96">
        <f t="shared" si="24"/>
        <v>0.79469999999999996</v>
      </c>
      <c r="H60" s="96">
        <f t="shared" si="24"/>
        <v>1.01925</v>
      </c>
      <c r="I60" s="96">
        <f t="shared" si="24"/>
        <v>1.15425</v>
      </c>
      <c r="J60" s="96">
        <f t="shared" si="24"/>
        <v>1.1057250000000001</v>
      </c>
      <c r="K60" s="96">
        <f t="shared" si="24"/>
        <v>0.87847499999999989</v>
      </c>
      <c r="L60" s="96">
        <f t="shared" si="24"/>
        <v>0.67882500000000001</v>
      </c>
      <c r="M60" s="96">
        <f t="shared" si="24"/>
        <v>0.81224999999999992</v>
      </c>
      <c r="N60" s="96">
        <f t="shared" si="24"/>
        <v>0.81097499999999989</v>
      </c>
    </row>
    <row r="61" spans="1:14" x14ac:dyDescent="0.2">
      <c r="B61" s="66" t="s">
        <v>56</v>
      </c>
      <c r="C61" s="75">
        <f t="shared" si="18"/>
        <v>0</v>
      </c>
      <c r="D61" s="75">
        <f t="shared" ref="D61:N61" si="25">+D33*D47</f>
        <v>0</v>
      </c>
      <c r="E61" s="75">
        <f t="shared" si="25"/>
        <v>0</v>
      </c>
      <c r="F61" s="75">
        <f t="shared" si="25"/>
        <v>0</v>
      </c>
      <c r="G61" s="75">
        <f t="shared" si="25"/>
        <v>0</v>
      </c>
      <c r="H61" s="75">
        <f t="shared" si="25"/>
        <v>0</v>
      </c>
      <c r="I61" s="75">
        <f t="shared" si="25"/>
        <v>0</v>
      </c>
      <c r="J61" s="75">
        <f t="shared" si="25"/>
        <v>0</v>
      </c>
      <c r="K61" s="75">
        <f t="shared" si="25"/>
        <v>0</v>
      </c>
      <c r="L61" s="75">
        <f t="shared" si="25"/>
        <v>0</v>
      </c>
      <c r="M61" s="75">
        <f t="shared" si="25"/>
        <v>0</v>
      </c>
      <c r="N61" s="75">
        <f t="shared" si="25"/>
        <v>0</v>
      </c>
    </row>
    <row r="62" spans="1:14" x14ac:dyDescent="0.2">
      <c r="B62" s="66" t="s">
        <v>49</v>
      </c>
      <c r="C62" s="75">
        <f t="shared" si="18"/>
        <v>23.427768</v>
      </c>
      <c r="D62" s="75">
        <f t="shared" ref="D62:N62" si="26">+D34*D48</f>
        <v>28.305680000000002</v>
      </c>
      <c r="E62" s="75">
        <f t="shared" si="26"/>
        <v>14.927224000000002</v>
      </c>
      <c r="F62" s="75">
        <f t="shared" si="26"/>
        <v>20.111000000000001</v>
      </c>
      <c r="G62" s="75">
        <f t="shared" si="26"/>
        <v>18.733727999999999</v>
      </c>
      <c r="H62" s="75">
        <f t="shared" si="26"/>
        <v>24.027120000000004</v>
      </c>
      <c r="I62" s="75">
        <f t="shared" si="26"/>
        <v>27.209520000000001</v>
      </c>
      <c r="J62" s="75">
        <f t="shared" si="26"/>
        <v>26.065624000000003</v>
      </c>
      <c r="K62" s="75">
        <f t="shared" si="26"/>
        <v>20.708584000000002</v>
      </c>
      <c r="L62" s="75">
        <f t="shared" si="26"/>
        <v>16.002168000000001</v>
      </c>
      <c r="M62" s="75">
        <f t="shared" si="26"/>
        <v>19.14744</v>
      </c>
      <c r="N62" s="75">
        <f t="shared" si="26"/>
        <v>19.117384000000001</v>
      </c>
    </row>
    <row r="63" spans="1:14" x14ac:dyDescent="0.2">
      <c r="B63" s="66" t="s">
        <v>57</v>
      </c>
      <c r="C63" s="75">
        <f t="shared" si="18"/>
        <v>0</v>
      </c>
      <c r="D63" s="75">
        <f t="shared" ref="D63:N63" si="27">+D35*D49</f>
        <v>0</v>
      </c>
      <c r="E63" s="75">
        <f t="shared" si="27"/>
        <v>0</v>
      </c>
      <c r="F63" s="75">
        <f t="shared" si="27"/>
        <v>0</v>
      </c>
      <c r="G63" s="75">
        <f t="shared" si="27"/>
        <v>0</v>
      </c>
      <c r="H63" s="75">
        <f t="shared" si="27"/>
        <v>0</v>
      </c>
      <c r="I63" s="75">
        <f t="shared" si="27"/>
        <v>0</v>
      </c>
      <c r="J63" s="75">
        <f t="shared" si="27"/>
        <v>0</v>
      </c>
      <c r="K63" s="75">
        <f t="shared" si="27"/>
        <v>0</v>
      </c>
      <c r="L63" s="75">
        <f t="shared" si="27"/>
        <v>0</v>
      </c>
      <c r="M63" s="75">
        <f t="shared" si="27"/>
        <v>0</v>
      </c>
      <c r="N63" s="75">
        <f t="shared" si="27"/>
        <v>0</v>
      </c>
    </row>
    <row r="64" spans="1:14" x14ac:dyDescent="0.2">
      <c r="B64" s="66" t="s">
        <v>58</v>
      </c>
      <c r="C64" s="75">
        <f t="shared" si="18"/>
        <v>7.8578430000000168</v>
      </c>
      <c r="D64" s="75">
        <f t="shared" ref="D64:N64" si="28">+D36*D50</f>
        <v>9.4939300000000202</v>
      </c>
      <c r="E64" s="75">
        <f t="shared" si="28"/>
        <v>5.0066990000000118</v>
      </c>
      <c r="F64" s="75">
        <f t="shared" si="28"/>
        <v>6.7453750000000152</v>
      </c>
      <c r="G64" s="75">
        <f t="shared" si="28"/>
        <v>6.2834280000000131</v>
      </c>
      <c r="H64" s="75">
        <f t="shared" si="28"/>
        <v>8.0588700000000184</v>
      </c>
      <c r="I64" s="75">
        <f t="shared" si="28"/>
        <v>9.1262700000000212</v>
      </c>
      <c r="J64" s="75">
        <f t="shared" si="28"/>
        <v>8.7425990000000198</v>
      </c>
      <c r="K64" s="75">
        <f t="shared" si="28"/>
        <v>6.9458090000000148</v>
      </c>
      <c r="L64" s="75">
        <f t="shared" si="28"/>
        <v>5.3672430000000118</v>
      </c>
      <c r="M64" s="75">
        <f t="shared" si="28"/>
        <v>6.4221900000000138</v>
      </c>
      <c r="N64" s="75">
        <f t="shared" si="28"/>
        <v>6.4121090000000143</v>
      </c>
    </row>
    <row r="65" spans="1:22" x14ac:dyDescent="0.2">
      <c r="B65" s="66" t="s">
        <v>59</v>
      </c>
      <c r="C65" s="90">
        <f>+C7-SUM(C55:C64)</f>
        <v>42.641717999999983</v>
      </c>
      <c r="D65" s="90">
        <f t="shared" ref="D65:N65" si="29">+D7-SUM(D55:D64)</f>
        <v>51.520179999999968</v>
      </c>
      <c r="E65" s="90">
        <f t="shared" si="29"/>
        <v>27.169573999999983</v>
      </c>
      <c r="F65" s="90">
        <f t="shared" si="29"/>
        <v>36.604749999999996</v>
      </c>
      <c r="G65" s="90">
        <f t="shared" si="29"/>
        <v>34.097927999999982</v>
      </c>
      <c r="H65" s="90">
        <f t="shared" si="29"/>
        <v>43.732619999999969</v>
      </c>
      <c r="I65" s="90">
        <f t="shared" si="29"/>
        <v>49.525019999999984</v>
      </c>
      <c r="J65" s="90">
        <f t="shared" si="29"/>
        <v>47.442973999999992</v>
      </c>
      <c r="K65" s="90">
        <f t="shared" si="29"/>
        <v>37.692433999999977</v>
      </c>
      <c r="L65" s="90">
        <f t="shared" si="29"/>
        <v>29.126117999999984</v>
      </c>
      <c r="M65" s="90">
        <f t="shared" si="29"/>
        <v>34.85093999999998</v>
      </c>
      <c r="N65" s="90">
        <f t="shared" si="29"/>
        <v>34.79623399999997</v>
      </c>
    </row>
    <row r="66" spans="1:22" x14ac:dyDescent="0.2">
      <c r="C66" s="75">
        <f>SUM(C55:C65)</f>
        <v>132.51</v>
      </c>
      <c r="D66" s="75">
        <f t="shared" ref="D66:N66" si="30">SUM(D55:D65)</f>
        <v>160.1</v>
      </c>
      <c r="E66" s="75">
        <f t="shared" si="30"/>
        <v>84.43</v>
      </c>
      <c r="F66" s="75">
        <f t="shared" si="30"/>
        <v>113.75</v>
      </c>
      <c r="G66" s="75">
        <f t="shared" si="30"/>
        <v>105.96</v>
      </c>
      <c r="H66" s="75">
        <f t="shared" si="30"/>
        <v>135.9</v>
      </c>
      <c r="I66" s="75">
        <f t="shared" si="30"/>
        <v>153.9</v>
      </c>
      <c r="J66" s="75">
        <f t="shared" si="30"/>
        <v>147.43</v>
      </c>
      <c r="K66" s="75">
        <f t="shared" si="30"/>
        <v>117.13</v>
      </c>
      <c r="L66" s="75">
        <f t="shared" si="30"/>
        <v>90.51</v>
      </c>
      <c r="M66" s="75">
        <f t="shared" si="30"/>
        <v>108.3</v>
      </c>
      <c r="N66" s="75">
        <f t="shared" si="30"/>
        <v>108.13</v>
      </c>
    </row>
    <row r="67" spans="1:22" ht="8.1" customHeight="1" x14ac:dyDescent="0.2"/>
    <row r="68" spans="1:22" ht="15" x14ac:dyDescent="0.25">
      <c r="A68" s="97" t="s">
        <v>63</v>
      </c>
      <c r="S68" s="154"/>
      <c r="T68" s="154"/>
    </row>
    <row r="69" spans="1:22" ht="12.75" x14ac:dyDescent="0.2">
      <c r="B69" s="66" t="s">
        <v>24</v>
      </c>
      <c r="C69" s="128">
        <v>72.25</v>
      </c>
      <c r="D69" s="128">
        <v>75.63</v>
      </c>
      <c r="E69" s="128">
        <v>83.6</v>
      </c>
      <c r="F69" s="128">
        <v>93.37</v>
      </c>
      <c r="G69" s="163">
        <v>90.66</v>
      </c>
      <c r="H69" s="163">
        <v>88.47</v>
      </c>
      <c r="I69" s="128">
        <v>91.42</v>
      </c>
      <c r="J69" s="128">
        <v>90.152999999999992</v>
      </c>
      <c r="K69" s="128">
        <v>94.086999999999989</v>
      </c>
      <c r="L69" s="128">
        <v>111.29300000000001</v>
      </c>
      <c r="M69" s="128">
        <v>106.428</v>
      </c>
      <c r="N69" s="128">
        <v>61.02</v>
      </c>
      <c r="Q69" s="157"/>
      <c r="R69" s="60"/>
      <c r="S69" s="158"/>
      <c r="T69" s="158"/>
      <c r="U69" s="158"/>
      <c r="V69" s="158"/>
    </row>
    <row r="70" spans="1:22" ht="12.75" x14ac:dyDescent="0.2">
      <c r="B70" s="66" t="s">
        <v>28</v>
      </c>
      <c r="C70" s="128">
        <v>87.8</v>
      </c>
      <c r="D70" s="128">
        <v>90.36</v>
      </c>
      <c r="E70" s="128">
        <v>101.52</v>
      </c>
      <c r="F70" s="128">
        <v>110.76</v>
      </c>
      <c r="G70" s="163">
        <v>99.86</v>
      </c>
      <c r="H70" s="163">
        <v>103.64</v>
      </c>
      <c r="I70" s="128">
        <v>110.66</v>
      </c>
      <c r="J70" s="128">
        <v>112.602</v>
      </c>
      <c r="K70" s="128">
        <v>119.57399999999998</v>
      </c>
      <c r="L70" s="128">
        <v>141.428</v>
      </c>
      <c r="M70" s="128">
        <v>156.905</v>
      </c>
      <c r="N70" s="128">
        <v>118.99</v>
      </c>
      <c r="Q70" s="157"/>
      <c r="R70" s="60"/>
      <c r="S70" s="158"/>
      <c r="T70" s="158"/>
      <c r="U70" s="158"/>
      <c r="V70" s="158"/>
    </row>
    <row r="71" spans="1:22" ht="12.75" x14ac:dyDescent="0.2">
      <c r="B71" s="66" t="s">
        <v>52</v>
      </c>
      <c r="C71" s="128">
        <v>0</v>
      </c>
      <c r="D71" s="128"/>
      <c r="E71" s="128"/>
      <c r="F71" s="128"/>
      <c r="G71" s="163"/>
      <c r="H71" s="163"/>
      <c r="I71" s="128"/>
      <c r="J71" s="128"/>
      <c r="K71" s="128"/>
      <c r="L71" s="128"/>
      <c r="M71" s="128"/>
      <c r="N71" s="128"/>
      <c r="Q71" s="157"/>
      <c r="R71" s="60"/>
      <c r="S71" s="158"/>
      <c r="T71" s="158"/>
      <c r="U71" s="158"/>
      <c r="V71" s="158"/>
    </row>
    <row r="72" spans="1:22" ht="12.75" x14ac:dyDescent="0.2">
      <c r="B72" s="66" t="s">
        <v>53</v>
      </c>
      <c r="C72" s="128">
        <v>73.930000000000007</v>
      </c>
      <c r="D72" s="128">
        <v>64.900000000000006</v>
      </c>
      <c r="E72" s="128">
        <v>58.33</v>
      </c>
      <c r="F72" s="128">
        <v>59.25</v>
      </c>
      <c r="G72" s="163">
        <v>59.29</v>
      </c>
      <c r="H72" s="163">
        <v>52.472000000000001</v>
      </c>
      <c r="I72" s="128">
        <v>66.003</v>
      </c>
      <c r="J72" s="128">
        <v>67.542999999999992</v>
      </c>
      <c r="K72" s="128">
        <v>82.466999999999999</v>
      </c>
      <c r="L72" s="128">
        <v>73.513999999999996</v>
      </c>
      <c r="M72" s="128">
        <v>89.299000000000007</v>
      </c>
      <c r="N72" s="128">
        <v>77.78</v>
      </c>
      <c r="Q72" s="157"/>
      <c r="R72" s="60"/>
      <c r="S72" s="158"/>
      <c r="T72" s="158"/>
      <c r="U72" s="158"/>
      <c r="V72" s="158"/>
    </row>
    <row r="73" spans="1:22" ht="12.75" x14ac:dyDescent="0.2">
      <c r="B73" s="66" t="s">
        <v>54</v>
      </c>
      <c r="C73" s="128">
        <v>133.80000000000001</v>
      </c>
      <c r="D73" s="128">
        <v>129.44999999999999</v>
      </c>
      <c r="E73" s="128">
        <v>134.41</v>
      </c>
      <c r="F73" s="128">
        <v>130.41999999999999</v>
      </c>
      <c r="G73" s="163">
        <v>110.89</v>
      </c>
      <c r="H73" s="163">
        <v>100.65</v>
      </c>
      <c r="I73" s="128">
        <v>107.11</v>
      </c>
      <c r="J73" s="128">
        <v>99.483999999999995</v>
      </c>
      <c r="K73" s="128">
        <v>111.96499999999999</v>
      </c>
      <c r="L73" s="128">
        <v>125.03399999999999</v>
      </c>
      <c r="M73" s="128">
        <v>108.983</v>
      </c>
      <c r="N73" s="128">
        <v>100.86</v>
      </c>
      <c r="Q73" s="157"/>
      <c r="R73" s="60"/>
      <c r="S73" s="158"/>
      <c r="T73" s="158"/>
      <c r="U73" s="158"/>
      <c r="V73" s="158"/>
    </row>
    <row r="74" spans="1:22" ht="12.75" x14ac:dyDescent="0.2">
      <c r="B74" s="66" t="s">
        <v>55</v>
      </c>
      <c r="C74" s="128">
        <v>798</v>
      </c>
      <c r="D74" s="128">
        <v>778.7</v>
      </c>
      <c r="E74" s="128">
        <v>777</v>
      </c>
      <c r="F74" s="128">
        <v>798</v>
      </c>
      <c r="G74" s="163">
        <v>784</v>
      </c>
      <c r="H74" s="163">
        <v>812</v>
      </c>
      <c r="I74" s="128">
        <v>836.49</v>
      </c>
      <c r="J74" s="128">
        <v>863.56899999999996</v>
      </c>
      <c r="K74" s="128">
        <v>886.43799999999987</v>
      </c>
      <c r="L74" s="128">
        <v>939.42799999999988</v>
      </c>
      <c r="M74" s="128">
        <v>960.31600000000003</v>
      </c>
      <c r="N74" s="128">
        <v>947.87</v>
      </c>
      <c r="Q74" s="157"/>
      <c r="R74" s="60"/>
      <c r="S74" s="158"/>
      <c r="T74" s="158"/>
      <c r="U74" s="158"/>
      <c r="V74" s="158"/>
    </row>
    <row r="75" spans="1:22" ht="12.75" x14ac:dyDescent="0.2">
      <c r="B75" s="66" t="s">
        <v>56</v>
      </c>
      <c r="C75" s="128">
        <v>0</v>
      </c>
      <c r="D75" s="128"/>
      <c r="E75" s="128"/>
      <c r="F75" s="128"/>
      <c r="G75" s="163"/>
      <c r="H75" s="163"/>
      <c r="I75" s="128"/>
      <c r="J75" s="128"/>
      <c r="K75" s="128"/>
      <c r="L75" s="128"/>
      <c r="M75" s="128"/>
      <c r="N75" s="128"/>
      <c r="Q75" s="103"/>
      <c r="R75" s="60"/>
      <c r="S75" s="158"/>
      <c r="T75" s="158"/>
      <c r="U75" s="158"/>
      <c r="V75" s="158"/>
    </row>
    <row r="76" spans="1:22" ht="15" x14ac:dyDescent="0.25">
      <c r="B76" s="66" t="s">
        <v>49</v>
      </c>
      <c r="C76" s="128">
        <v>-2.2000000000000002</v>
      </c>
      <c r="D76" s="128">
        <v>-7.81</v>
      </c>
      <c r="E76" s="128">
        <v>-8.0299999999999994</v>
      </c>
      <c r="F76" s="128">
        <v>-1.52</v>
      </c>
      <c r="G76" s="163">
        <v>-5.91</v>
      </c>
      <c r="H76" s="163">
        <v>-6.71</v>
      </c>
      <c r="I76" s="128">
        <v>-16.34</v>
      </c>
      <c r="J76" s="128">
        <v>-19.71</v>
      </c>
      <c r="K76" s="128">
        <v>-11</v>
      </c>
      <c r="L76" s="128">
        <v>-10.55</v>
      </c>
      <c r="M76" s="128">
        <v>-10.44</v>
      </c>
      <c r="N76" s="128">
        <v>-10.45</v>
      </c>
      <c r="Q76" s="159"/>
      <c r="R76" s="60"/>
      <c r="S76" s="158"/>
      <c r="T76" s="158"/>
      <c r="U76" s="158"/>
      <c r="V76" s="158"/>
    </row>
    <row r="77" spans="1:22" x14ac:dyDescent="0.2">
      <c r="B77" s="66" t="s">
        <v>57</v>
      </c>
      <c r="C77" s="128">
        <v>-120.17</v>
      </c>
      <c r="D77" s="128">
        <v>-120.17</v>
      </c>
      <c r="E77" s="128">
        <v>-120.17</v>
      </c>
      <c r="F77" s="128">
        <v>-120.17</v>
      </c>
      <c r="G77" s="163">
        <v>-120.17</v>
      </c>
      <c r="H77" s="163">
        <v>-120.17</v>
      </c>
      <c r="I77" s="128">
        <v>-120.17</v>
      </c>
      <c r="J77" s="128">
        <v>-120.17</v>
      </c>
      <c r="K77" s="128">
        <v>-120.17</v>
      </c>
      <c r="L77" s="128">
        <v>-120.17</v>
      </c>
      <c r="M77" s="128">
        <v>-134.59</v>
      </c>
      <c r="N77" s="128">
        <v>-134.59</v>
      </c>
    </row>
    <row r="78" spans="1:22" x14ac:dyDescent="0.2">
      <c r="B78" s="66" t="s">
        <v>58</v>
      </c>
      <c r="C78" s="128">
        <v>-120.17</v>
      </c>
      <c r="D78" s="128">
        <v>-120.17</v>
      </c>
      <c r="E78" s="128">
        <v>-120.17</v>
      </c>
      <c r="F78" s="128">
        <v>-120.17</v>
      </c>
      <c r="G78" s="163">
        <v>-120.17</v>
      </c>
      <c r="H78" s="163">
        <v>-120.17</v>
      </c>
      <c r="I78" s="128">
        <v>-120.17</v>
      </c>
      <c r="J78" s="128">
        <v>-120.17</v>
      </c>
      <c r="K78" s="128">
        <v>-120.17</v>
      </c>
      <c r="L78" s="128">
        <v>-120.17</v>
      </c>
      <c r="M78" s="128">
        <v>-134.59</v>
      </c>
      <c r="N78" s="128">
        <v>-134.59</v>
      </c>
    </row>
    <row r="79" spans="1:22" ht="15" x14ac:dyDescent="0.25">
      <c r="B79" s="66" t="s">
        <v>59</v>
      </c>
      <c r="C79" s="128">
        <v>69.38</v>
      </c>
      <c r="D79" s="128">
        <v>71.97</v>
      </c>
      <c r="E79" s="128">
        <v>78.17</v>
      </c>
      <c r="F79" s="128">
        <v>87.47</v>
      </c>
      <c r="G79" s="163">
        <v>77.81</v>
      </c>
      <c r="H79" s="163">
        <v>76.42</v>
      </c>
      <c r="I79" s="128">
        <v>81.59</v>
      </c>
      <c r="J79" s="128">
        <v>85.945999999999998</v>
      </c>
      <c r="K79" s="128">
        <v>80.394999999999996</v>
      </c>
      <c r="L79" s="128">
        <v>103.03299999999999</v>
      </c>
      <c r="M79" s="128">
        <v>102.494</v>
      </c>
      <c r="N79" s="128">
        <v>54.15</v>
      </c>
      <c r="O79" s="111">
        <f>SUM(C69:N79)</f>
        <v>12728.522999999996</v>
      </c>
      <c r="Q79" s="154"/>
      <c r="R79" s="154"/>
      <c r="S79" s="155"/>
      <c r="T79" s="155"/>
    </row>
    <row r="80" spans="1:22" ht="8.1" customHeight="1" x14ac:dyDescent="0.2"/>
    <row r="81" spans="1:16" x14ac:dyDescent="0.2">
      <c r="A81" s="83" t="s">
        <v>64</v>
      </c>
    </row>
    <row r="82" spans="1:16" x14ac:dyDescent="0.2">
      <c r="B82" s="66" t="s">
        <v>24</v>
      </c>
      <c r="C82" s="98">
        <f>+C69*C55</f>
        <v>1866.9002625000001</v>
      </c>
      <c r="D82" s="75">
        <f t="shared" ref="D82:M82" si="31">+D69*D55</f>
        <v>2361.1307849999998</v>
      </c>
      <c r="E82" s="75">
        <f>+E69*E55</f>
        <v>1376.3778600000001</v>
      </c>
      <c r="F82" s="75">
        <f>+F69*F55</f>
        <v>2071.0633125000004</v>
      </c>
      <c r="G82" s="75">
        <f t="shared" si="31"/>
        <v>1873.2350519999998</v>
      </c>
      <c r="H82" s="75">
        <f t="shared" si="31"/>
        <v>2344.4992350000002</v>
      </c>
      <c r="I82" s="75">
        <f>+I69*I55</f>
        <v>2743.5599099999999</v>
      </c>
      <c r="J82" s="75">
        <f t="shared" si="31"/>
        <v>2591.79507405</v>
      </c>
      <c r="K82" s="75">
        <f t="shared" si="31"/>
        <v>2148.98001045</v>
      </c>
      <c r="L82" s="75">
        <f t="shared" si="31"/>
        <v>1964.2602388500004</v>
      </c>
      <c r="M82" s="75">
        <f t="shared" si="31"/>
        <v>2247.5997179999999</v>
      </c>
      <c r="N82" s="75">
        <f>+N69*N55</f>
        <v>1286.6280569999999</v>
      </c>
    </row>
    <row r="83" spans="1:16" x14ac:dyDescent="0.2">
      <c r="B83" s="66" t="s">
        <v>28</v>
      </c>
      <c r="C83" s="98">
        <f t="shared" ref="C83:N83" si="32">+C70*C56</f>
        <v>2073.2461595999998</v>
      </c>
      <c r="D83" s="75">
        <f t="shared" si="32"/>
        <v>2577.9545351999996</v>
      </c>
      <c r="E83" s="75">
        <f t="shared" si="32"/>
        <v>1527.4116475200001</v>
      </c>
      <c r="F83" s="75">
        <f t="shared" si="32"/>
        <v>2245.1328900000003</v>
      </c>
      <c r="G83" s="75">
        <f t="shared" si="32"/>
        <v>1885.5637099199996</v>
      </c>
      <c r="H83" s="75">
        <f>+H70*H56</f>
        <v>2509.8892632000002</v>
      </c>
      <c r="I83" s="75">
        <f t="shared" si="32"/>
        <v>3034.8482868000001</v>
      </c>
      <c r="J83" s="75">
        <f t="shared" si="32"/>
        <v>2958.2826716520003</v>
      </c>
      <c r="K83" s="75">
        <f t="shared" si="32"/>
        <v>2495.8162068839997</v>
      </c>
      <c r="L83" s="75">
        <f t="shared" si="32"/>
        <v>2281.0755234960002</v>
      </c>
      <c r="M83" s="75">
        <f t="shared" si="32"/>
        <v>3028.1190093</v>
      </c>
      <c r="N83" s="75">
        <f t="shared" si="32"/>
        <v>2292.79046634</v>
      </c>
    </row>
    <row r="84" spans="1:16" x14ac:dyDescent="0.2">
      <c r="B84" s="66" t="s">
        <v>52</v>
      </c>
      <c r="C84" s="98">
        <f t="shared" ref="C84:N84" si="33">+C71*C57</f>
        <v>0</v>
      </c>
      <c r="D84" s="75">
        <f t="shared" si="33"/>
        <v>0</v>
      </c>
      <c r="E84" s="75">
        <f t="shared" si="33"/>
        <v>0</v>
      </c>
      <c r="F84" s="75">
        <f t="shared" si="33"/>
        <v>0</v>
      </c>
      <c r="G84" s="75">
        <f t="shared" si="33"/>
        <v>0</v>
      </c>
      <c r="H84" s="75">
        <f t="shared" si="33"/>
        <v>0</v>
      </c>
      <c r="I84" s="75"/>
      <c r="J84" s="75">
        <f t="shared" si="33"/>
        <v>0</v>
      </c>
      <c r="K84" s="75">
        <f t="shared" si="33"/>
        <v>0</v>
      </c>
      <c r="L84" s="75">
        <f t="shared" si="33"/>
        <v>0</v>
      </c>
      <c r="M84" s="75">
        <f t="shared" si="33"/>
        <v>0</v>
      </c>
      <c r="N84" s="75">
        <f t="shared" si="33"/>
        <v>0</v>
      </c>
    </row>
    <row r="85" spans="1:16" x14ac:dyDescent="0.2">
      <c r="B85" s="66" t="s">
        <v>53</v>
      </c>
      <c r="C85" s="98">
        <f t="shared" ref="C85:N85" si="34">+C72*C58</f>
        <v>161.64166094999999</v>
      </c>
      <c r="D85" s="75">
        <f t="shared" si="34"/>
        <v>171.443085</v>
      </c>
      <c r="E85" s="75">
        <f t="shared" si="34"/>
        <v>81.259231350000007</v>
      </c>
      <c r="F85" s="75">
        <f t="shared" si="34"/>
        <v>111.20484375000001</v>
      </c>
      <c r="G85" s="75">
        <f t="shared" si="34"/>
        <v>103.6590786</v>
      </c>
      <c r="H85" s="75">
        <f t="shared" si="34"/>
        <v>117.6605892</v>
      </c>
      <c r="I85" s="75">
        <f t="shared" si="34"/>
        <v>167.60471805</v>
      </c>
      <c r="J85" s="75">
        <f t="shared" si="34"/>
        <v>164.30476408499999</v>
      </c>
      <c r="K85" s="75">
        <f t="shared" si="34"/>
        <v>159.379435215</v>
      </c>
      <c r="L85" s="75">
        <f t="shared" si="34"/>
        <v>109.78691031000001</v>
      </c>
      <c r="M85" s="75">
        <f t="shared" si="34"/>
        <v>159.57284805</v>
      </c>
      <c r="N85" s="75">
        <f t="shared" si="34"/>
        <v>138.77079810000001</v>
      </c>
    </row>
    <row r="86" spans="1:16" x14ac:dyDescent="0.2">
      <c r="B86" s="66" t="s">
        <v>54</v>
      </c>
      <c r="C86" s="98">
        <f t="shared" ref="C86:N86" si="35">+C73*C59</f>
        <v>796.06972619999999</v>
      </c>
      <c r="D86" s="75">
        <f t="shared" si="35"/>
        <v>930.55003049999993</v>
      </c>
      <c r="E86" s="75">
        <f t="shared" si="35"/>
        <v>509.53580987000009</v>
      </c>
      <c r="F86" s="75">
        <f t="shared" si="35"/>
        <v>666.10384749999992</v>
      </c>
      <c r="G86" s="75">
        <f t="shared" si="35"/>
        <v>527.57070755999996</v>
      </c>
      <c r="H86" s="75">
        <f t="shared" si="35"/>
        <v>614.15724150000005</v>
      </c>
      <c r="I86" s="75">
        <f t="shared" si="35"/>
        <v>740.14188210000009</v>
      </c>
      <c r="J86" s="75">
        <f t="shared" si="35"/>
        <v>658.54498278799997</v>
      </c>
      <c r="K86" s="75">
        <f t="shared" si="35"/>
        <v>588.83927420499992</v>
      </c>
      <c r="L86" s="75">
        <f t="shared" si="35"/>
        <v>508.12554756599997</v>
      </c>
      <c r="M86" s="75">
        <f t="shared" si="35"/>
        <v>529.94836461000011</v>
      </c>
      <c r="N86" s="75">
        <f t="shared" si="35"/>
        <v>489.67903182000003</v>
      </c>
    </row>
    <row r="87" spans="1:16" x14ac:dyDescent="0.2">
      <c r="B87" s="66" t="s">
        <v>55</v>
      </c>
      <c r="C87" s="98">
        <f t="shared" ref="C87:N87" si="36">+C74*C60</f>
        <v>793.07234999999991</v>
      </c>
      <c r="D87" s="75">
        <f t="shared" si="36"/>
        <v>935.02402500000005</v>
      </c>
      <c r="E87" s="75">
        <f t="shared" si="36"/>
        <v>492.01582500000001</v>
      </c>
      <c r="F87" s="75">
        <f t="shared" si="36"/>
        <v>680.79375000000005</v>
      </c>
      <c r="G87" s="75">
        <f t="shared" si="36"/>
        <v>623.04480000000001</v>
      </c>
      <c r="H87" s="75">
        <f t="shared" si="36"/>
        <v>827.63099999999997</v>
      </c>
      <c r="I87" s="75">
        <f t="shared" si="36"/>
        <v>965.51858249999998</v>
      </c>
      <c r="J87" s="75">
        <f t="shared" si="36"/>
        <v>954.86983252499999</v>
      </c>
      <c r="K87" s="75">
        <f t="shared" si="36"/>
        <v>778.7136220499998</v>
      </c>
      <c r="L87" s="75">
        <f t="shared" si="36"/>
        <v>637.70721209999988</v>
      </c>
      <c r="M87" s="75">
        <f t="shared" si="36"/>
        <v>780.01667099999997</v>
      </c>
      <c r="N87" s="75">
        <f t="shared" si="36"/>
        <v>768.69887324999991</v>
      </c>
    </row>
    <row r="88" spans="1:16" x14ac:dyDescent="0.2">
      <c r="B88" s="66" t="s">
        <v>56</v>
      </c>
      <c r="C88" s="98">
        <f t="shared" ref="C88:N88" si="37">+C75*C61</f>
        <v>0</v>
      </c>
      <c r="D88" s="75">
        <f t="shared" si="37"/>
        <v>0</v>
      </c>
      <c r="E88" s="75">
        <f t="shared" si="37"/>
        <v>0</v>
      </c>
      <c r="F88" s="75">
        <f t="shared" si="37"/>
        <v>0</v>
      </c>
      <c r="G88" s="75">
        <f t="shared" si="37"/>
        <v>0</v>
      </c>
      <c r="H88" s="75">
        <f t="shared" si="37"/>
        <v>0</v>
      </c>
      <c r="I88" s="75"/>
      <c r="J88" s="75">
        <f t="shared" si="37"/>
        <v>0</v>
      </c>
      <c r="K88" s="75">
        <f t="shared" si="37"/>
        <v>0</v>
      </c>
      <c r="L88" s="75">
        <f t="shared" si="37"/>
        <v>0</v>
      </c>
      <c r="M88" s="75">
        <f t="shared" si="37"/>
        <v>0</v>
      </c>
      <c r="N88" s="75">
        <f t="shared" si="37"/>
        <v>0</v>
      </c>
    </row>
    <row r="89" spans="1:16" x14ac:dyDescent="0.2">
      <c r="B89" s="66" t="s">
        <v>49</v>
      </c>
      <c r="C89" s="98">
        <f t="shared" ref="C89:N89" si="38">+C76*C62</f>
        <v>-51.541089600000006</v>
      </c>
      <c r="D89" s="75">
        <f t="shared" si="38"/>
        <v>-221.06736080000002</v>
      </c>
      <c r="E89" s="75">
        <f t="shared" si="38"/>
        <v>-119.86560872000001</v>
      </c>
      <c r="F89" s="75">
        <f t="shared" si="38"/>
        <v>-30.568720000000003</v>
      </c>
      <c r="G89" s="75">
        <f t="shared" si="38"/>
        <v>-110.71633247999999</v>
      </c>
      <c r="H89" s="75">
        <f t="shared" si="38"/>
        <v>-161.22197520000003</v>
      </c>
      <c r="I89" s="75">
        <f t="shared" si="38"/>
        <v>-444.60355680000004</v>
      </c>
      <c r="J89" s="75">
        <f t="shared" si="38"/>
        <v>-513.75344904000008</v>
      </c>
      <c r="K89" s="75">
        <f t="shared" si="38"/>
        <v>-227.79442400000002</v>
      </c>
      <c r="L89" s="75">
        <f t="shared" si="38"/>
        <v>-168.82287240000002</v>
      </c>
      <c r="M89" s="75">
        <f t="shared" si="38"/>
        <v>-199.89927359999999</v>
      </c>
      <c r="N89" s="75">
        <f t="shared" si="38"/>
        <v>-199.7766628</v>
      </c>
    </row>
    <row r="90" spans="1:16" x14ac:dyDescent="0.2">
      <c r="B90" s="66" t="s">
        <v>57</v>
      </c>
      <c r="C90" s="98">
        <f t="shared" ref="C90:N90" si="39">+C77*C63</f>
        <v>0</v>
      </c>
      <c r="D90" s="75">
        <f t="shared" si="39"/>
        <v>0</v>
      </c>
      <c r="E90" s="75">
        <f t="shared" si="39"/>
        <v>0</v>
      </c>
      <c r="F90" s="75">
        <f t="shared" si="39"/>
        <v>0</v>
      </c>
      <c r="G90" s="75">
        <f t="shared" si="39"/>
        <v>0</v>
      </c>
      <c r="H90" s="75">
        <f t="shared" si="39"/>
        <v>0</v>
      </c>
      <c r="I90" s="75">
        <f t="shared" si="39"/>
        <v>0</v>
      </c>
      <c r="J90" s="75">
        <f t="shared" si="39"/>
        <v>0</v>
      </c>
      <c r="K90" s="75">
        <f t="shared" si="39"/>
        <v>0</v>
      </c>
      <c r="L90" s="75">
        <f t="shared" si="39"/>
        <v>0</v>
      </c>
      <c r="M90" s="75">
        <f t="shared" si="39"/>
        <v>0</v>
      </c>
      <c r="N90" s="75">
        <f t="shared" si="39"/>
        <v>0</v>
      </c>
    </row>
    <row r="91" spans="1:16" x14ac:dyDescent="0.2">
      <c r="B91" s="66" t="s">
        <v>58</v>
      </c>
      <c r="C91" s="98">
        <f t="shared" ref="C91:N91" si="40">+C78*C64</f>
        <v>-944.27699331000201</v>
      </c>
      <c r="D91" s="75">
        <f t="shared" si="40"/>
        <v>-1140.8855681000025</v>
      </c>
      <c r="E91" s="75">
        <f t="shared" si="40"/>
        <v>-601.65501883000138</v>
      </c>
      <c r="F91" s="75">
        <f t="shared" si="40"/>
        <v>-810.59171375000187</v>
      </c>
      <c r="G91" s="75">
        <f t="shared" si="40"/>
        <v>-755.07954276000157</v>
      </c>
      <c r="H91" s="75">
        <f t="shared" si="40"/>
        <v>-968.43440790000227</v>
      </c>
      <c r="I91" s="75">
        <f t="shared" si="40"/>
        <v>-1096.7038659000025</v>
      </c>
      <c r="J91" s="75">
        <f t="shared" si="40"/>
        <v>-1050.5981218300024</v>
      </c>
      <c r="K91" s="75">
        <f t="shared" si="40"/>
        <v>-834.67786753000178</v>
      </c>
      <c r="L91" s="75">
        <f t="shared" si="40"/>
        <v>-644.98159131000148</v>
      </c>
      <c r="M91" s="75">
        <f t="shared" si="40"/>
        <v>-864.36255210000184</v>
      </c>
      <c r="N91" s="75">
        <f t="shared" si="40"/>
        <v>-863.00575031000199</v>
      </c>
    </row>
    <row r="92" spans="1:16" x14ac:dyDescent="0.2">
      <c r="B92" s="66" t="s">
        <v>59</v>
      </c>
      <c r="C92" s="99">
        <f t="shared" ref="C92:N92" si="41">+C79*C65</f>
        <v>2958.4823948399985</v>
      </c>
      <c r="D92" s="90">
        <f t="shared" si="41"/>
        <v>3707.9073545999977</v>
      </c>
      <c r="E92" s="90">
        <f t="shared" si="41"/>
        <v>2123.8455995799986</v>
      </c>
      <c r="F92" s="90">
        <f t="shared" si="41"/>
        <v>3201.8174824999996</v>
      </c>
      <c r="G92" s="90">
        <f t="shared" si="41"/>
        <v>2653.1597776799986</v>
      </c>
      <c r="H92" s="90">
        <f t="shared" si="41"/>
        <v>3342.0468203999976</v>
      </c>
      <c r="I92" s="90">
        <f t="shared" si="41"/>
        <v>4040.7463817999987</v>
      </c>
      <c r="J92" s="90">
        <f t="shared" si="41"/>
        <v>4077.5338434039991</v>
      </c>
      <c r="K92" s="75">
        <f t="shared" si="41"/>
        <v>3030.2832314299981</v>
      </c>
      <c r="L92" s="75">
        <f t="shared" si="41"/>
        <v>3000.9513158939981</v>
      </c>
      <c r="M92" s="75">
        <f t="shared" si="41"/>
        <v>3572.012244359998</v>
      </c>
      <c r="N92" s="75">
        <f t="shared" si="41"/>
        <v>1884.2160710999983</v>
      </c>
    </row>
    <row r="93" spans="1:16" x14ac:dyDescent="0.2">
      <c r="A93" s="83" t="s">
        <v>65</v>
      </c>
      <c r="B93" s="83"/>
      <c r="C93" s="100">
        <f t="shared" ref="C93:N93" si="42">SUM(C82:C92)</f>
        <v>7653.5944711799966</v>
      </c>
      <c r="D93" s="101">
        <f t="shared" si="42"/>
        <v>9322.0568863999943</v>
      </c>
      <c r="E93" s="101">
        <f t="shared" si="42"/>
        <v>5388.925345769997</v>
      </c>
      <c r="F93" s="101">
        <f t="shared" si="42"/>
        <v>8134.9556924999979</v>
      </c>
      <c r="G93" s="101">
        <f t="shared" si="42"/>
        <v>6800.4372505199954</v>
      </c>
      <c r="H93" s="101">
        <f t="shared" si="42"/>
        <v>8626.227766199996</v>
      </c>
      <c r="I93" s="101">
        <f t="shared" si="42"/>
        <v>10151.112338549996</v>
      </c>
      <c r="J93" s="101">
        <f t="shared" si="42"/>
        <v>9840.9795976339974</v>
      </c>
      <c r="K93" s="110">
        <f t="shared" si="42"/>
        <v>8139.5394887039965</v>
      </c>
      <c r="L93" s="110">
        <f t="shared" si="42"/>
        <v>7688.102284505997</v>
      </c>
      <c r="M93" s="110">
        <f t="shared" si="42"/>
        <v>9253.0070296199956</v>
      </c>
      <c r="N93" s="110">
        <f t="shared" si="42"/>
        <v>5798.0008844999966</v>
      </c>
      <c r="O93" s="111">
        <f>SUM(C93:N93)</f>
        <v>96796.939036083961</v>
      </c>
      <c r="P93" s="111">
        <f>O93/2</f>
        <v>48398.46951804198</v>
      </c>
    </row>
    <row r="94" spans="1:16" x14ac:dyDescent="0.2">
      <c r="A94" s="83" t="s">
        <v>66</v>
      </c>
      <c r="B94" s="83"/>
      <c r="C94" s="100">
        <f>+C93/C66</f>
        <v>57.758617999999977</v>
      </c>
      <c r="D94" s="101">
        <f t="shared" ref="D94:M94" si="43">+D93/D66</f>
        <v>58.226463999999964</v>
      </c>
      <c r="E94" s="101">
        <f>+E93/E66</f>
        <v>63.82713899999996</v>
      </c>
      <c r="F94" s="101">
        <f t="shared" si="43"/>
        <v>71.516093999999981</v>
      </c>
      <c r="G94" s="101">
        <f t="shared" si="43"/>
        <v>64.17928699999996</v>
      </c>
      <c r="H94" s="101">
        <f t="shared" si="43"/>
        <v>63.474817999999971</v>
      </c>
      <c r="I94" s="101">
        <f t="shared" si="43"/>
        <v>65.959144499999965</v>
      </c>
      <c r="J94" s="101">
        <f t="shared" si="43"/>
        <v>66.750183799999974</v>
      </c>
      <c r="K94" s="75">
        <f t="shared" si="43"/>
        <v>69.491500799999969</v>
      </c>
      <c r="L94" s="75">
        <f t="shared" si="43"/>
        <v>84.942020599999964</v>
      </c>
      <c r="M94" s="75">
        <f t="shared" si="43"/>
        <v>85.438661399999958</v>
      </c>
      <c r="N94" s="75">
        <f>+N93/N66</f>
        <v>53.620649999999969</v>
      </c>
    </row>
    <row r="95" spans="1:16" ht="8.1" customHeight="1" x14ac:dyDescent="0.2"/>
    <row r="96" spans="1:16" x14ac:dyDescent="0.2">
      <c r="A96" s="83" t="s">
        <v>81</v>
      </c>
      <c r="C96" s="111">
        <f>C94*0.7</f>
        <v>40.43103259999998</v>
      </c>
      <c r="D96" s="111">
        <f t="shared" ref="D96:N96" si="44">D94*0.7</f>
        <v>40.758524799999975</v>
      </c>
      <c r="E96" s="111">
        <f>E94*0.7</f>
        <v>44.67899729999997</v>
      </c>
      <c r="F96" s="111">
        <f t="shared" si="44"/>
        <v>50.061265799999987</v>
      </c>
      <c r="G96" s="111">
        <f t="shared" si="44"/>
        <v>44.925500899999967</v>
      </c>
      <c r="H96" s="111">
        <f t="shared" si="44"/>
        <v>44.432372599999979</v>
      </c>
      <c r="I96" s="111">
        <f t="shared" si="44"/>
        <v>46.171401149999973</v>
      </c>
      <c r="J96" s="111">
        <f t="shared" si="44"/>
        <v>46.725128659999982</v>
      </c>
      <c r="K96" s="111">
        <f t="shared" si="44"/>
        <v>48.644050559999975</v>
      </c>
      <c r="L96" s="111">
        <f t="shared" si="44"/>
        <v>59.459414419999973</v>
      </c>
      <c r="M96" s="111">
        <f t="shared" si="44"/>
        <v>59.807062979999969</v>
      </c>
      <c r="N96" s="111">
        <f t="shared" si="44"/>
        <v>37.534454999999973</v>
      </c>
    </row>
    <row r="97" spans="1:10" x14ac:dyDescent="0.2">
      <c r="C97" s="102"/>
      <c r="D97" s="102"/>
      <c r="E97" s="102"/>
      <c r="F97" s="102"/>
      <c r="G97" s="102"/>
      <c r="H97" s="102"/>
      <c r="I97" s="102"/>
      <c r="J97" s="103"/>
    </row>
    <row r="98" spans="1:10" x14ac:dyDescent="0.2">
      <c r="A98" s="83"/>
      <c r="B98" s="83"/>
      <c r="C98" s="100"/>
      <c r="D98" s="100"/>
      <c r="E98" s="100"/>
      <c r="F98" s="100"/>
      <c r="G98" s="100"/>
      <c r="H98" s="100"/>
      <c r="I98" s="100"/>
      <c r="J98" s="104"/>
    </row>
    <row r="99" spans="1:10" ht="8.1" customHeight="1" x14ac:dyDescent="0.2">
      <c r="C99" s="103"/>
      <c r="D99" s="103"/>
      <c r="E99" s="103"/>
      <c r="F99" s="103"/>
      <c r="G99" s="103"/>
      <c r="H99" s="103"/>
      <c r="I99" s="103"/>
      <c r="J99" s="103"/>
    </row>
    <row r="100" spans="1:10" x14ac:dyDescent="0.2">
      <c r="A100" s="83"/>
      <c r="B100" s="83"/>
      <c r="C100" s="104"/>
      <c r="D100" s="104"/>
      <c r="E100" s="104"/>
      <c r="F100" s="104"/>
      <c r="G100" s="104"/>
      <c r="H100" s="104"/>
      <c r="I100" s="104"/>
      <c r="J100" s="104"/>
    </row>
    <row r="101" spans="1:10" ht="8.1" customHeight="1" x14ac:dyDescent="0.2">
      <c r="C101" s="103"/>
      <c r="D101" s="103"/>
      <c r="E101" s="103"/>
      <c r="F101" s="103"/>
      <c r="G101" s="103"/>
      <c r="H101" s="103"/>
      <c r="I101" s="103"/>
      <c r="J101" s="103"/>
    </row>
    <row r="102" spans="1:10" x14ac:dyDescent="0.2">
      <c r="A102" s="83"/>
      <c r="C102" s="102"/>
      <c r="D102" s="102"/>
      <c r="E102" s="102"/>
      <c r="F102" s="102"/>
      <c r="G102" s="102"/>
      <c r="H102" s="102"/>
      <c r="I102" s="102"/>
      <c r="J102" s="105"/>
    </row>
    <row r="105" spans="1:10" x14ac:dyDescent="0.2">
      <c r="B105" s="66" t="str">
        <f ca="1">CELL("filename")</f>
        <v>\\D-172-01\Share\District\~WUTC Files~\1. RSA\2015-2017 Plan Year\Commodity Credit Templates 2016-2017\[SeaTac Commodity Credit Tariff Pages - 2017.xls]Check Sheet</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77AD0BC891CC9478B9F2827411CAEBE" ma:contentTypeVersion="104" ma:contentTypeDescription="" ma:contentTypeScope="" ma:versionID="8f661b8aa49fcd01987fbbf280af2a0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2017-06-14T07:00:00+00:00</OpenedDate>
    <Date1 xmlns="dc463f71-b30c-4ab2-9473-d307f9d35888">2017-06-14T07:00:00+00:00</Date1>
    <IsDocumentOrder xmlns="dc463f71-b30c-4ab2-9473-d307f9d35888" xsi:nil="true"/>
    <IsHighlyConfidential xmlns="dc463f71-b30c-4ab2-9473-d307f9d35888">false</IsHighlyConfidential>
    <CaseCompanyNames xmlns="dc463f71-b30c-4ab2-9473-d307f9d35888">RABANCO LTD</CaseCompanyNames>
    <Nickname xmlns="http://schemas.microsoft.com/sharepoint/v3" xsi:nil="true"/>
    <DocketNumber xmlns="dc463f71-b30c-4ab2-9473-d307f9d35888">170710</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3AA7EC06-ED0E-475D-991C-6C730CDF5EE8}"/>
</file>

<file path=customXml/itemProps2.xml><?xml version="1.0" encoding="utf-8"?>
<ds:datastoreItem xmlns:ds="http://schemas.openxmlformats.org/officeDocument/2006/customXml" ds:itemID="{B9D5BF0C-FF6C-4C5C-88A4-3C8392BB945B}"/>
</file>

<file path=customXml/itemProps3.xml><?xml version="1.0" encoding="utf-8"?>
<ds:datastoreItem xmlns:ds="http://schemas.openxmlformats.org/officeDocument/2006/customXml" ds:itemID="{A0BAF60F-F9D2-4B6D-98E4-DB80E061C791}"/>
</file>

<file path=customXml/itemProps4.xml><?xml version="1.0" encoding="utf-8"?>
<ds:datastoreItem xmlns:ds="http://schemas.openxmlformats.org/officeDocument/2006/customXml" ds:itemID="{19AD8BF8-99B1-47D1-9F34-5FE9407EB4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WUTC_LYNNWOOD_SF</vt:lpstr>
      <vt:lpstr>WUTC_AW of Kent (SeaTac)_SF</vt:lpstr>
      <vt:lpstr>Value</vt:lpstr>
      <vt:lpstr>Commodity Tonnages</vt:lpstr>
      <vt:lpstr>Pricing</vt:lpstr>
      <vt:lpstr>Single Family</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Van nostrand, Kaitlyn</cp:lastModifiedBy>
  <cp:lastPrinted>2015-06-09T17:31:05Z</cp:lastPrinted>
  <dcterms:created xsi:type="dcterms:W3CDTF">2008-05-23T15:47:44Z</dcterms:created>
  <dcterms:modified xsi:type="dcterms:W3CDTF">2017-06-14T19:01:28Z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0x0101006E56B4D1795A2E4DB2F0B01679ED314A00277AD0BC891CC9478B9F2827411CAEBE</vt:lpwstr>
  </property>
  <property fmtid="{D5CDD505-2E9C-101B-9397-08002B2CF9AE}" pid="3" name="_docset_NoMedatataSyncRequired">
    <vt:lpwstr>False</vt:lpwstr>
  </property>
  <property fmtid="{D5CDD505-2E9C-101B-9397-08002B2CF9AE}" pid="4" name="IsEFSEC">
    <vt:bool>false</vt:bool>
  </property>
</Properties>
</file>