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120" activeTab="0"/>
  </bookViews>
  <sheets>
    <sheet name="WTB" sheetId="1" r:id="rId1"/>
    <sheet name="Disposal Summary" sheetId="2" r:id="rId2"/>
    <sheet name="Priceout" sheetId="3" r:id="rId3"/>
  </sheets>
  <externalReferences>
    <externalReference r:id="rId6"/>
  </externalReferences>
  <definedNames>
    <definedName name="_xlfn.IFERROR" hidden="1">#NAME?</definedName>
    <definedName name="_xlnm.Print_Area" localSheetId="2">'Priceout'!$A$8:$R$147</definedName>
    <definedName name="_xlnm.Print_Area" localSheetId="0">'WTB'!$A$5:$N$57</definedName>
    <definedName name="_xlnm.Print_Titles" localSheetId="2">'Priceout'!$1:$7</definedName>
    <definedName name="_xlnm.Print_Titles" localSheetId="0">'WTB'!$1:$8</definedName>
  </definedNames>
  <calcPr fullCalcOnLoad="1"/>
</workbook>
</file>

<file path=xl/comments1.xml><?xml version="1.0" encoding="utf-8"?>
<comments xmlns="http://schemas.openxmlformats.org/spreadsheetml/2006/main">
  <authors>
    <author>Weinstein, Mike</author>
  </authors>
  <commentList>
    <comment ref="K12" authorId="0">
      <text>
        <r>
          <rPr>
            <b/>
            <sz val="9"/>
            <rFont val="Tahoma"/>
            <family val="2"/>
          </rPr>
          <t>Weinstein, Mike:</t>
        </r>
        <r>
          <rPr>
            <sz val="9"/>
            <rFont val="Tahoma"/>
            <family val="2"/>
          </rPr>
          <t xml:space="preserve">
Revenue requirement for increase in disposal and yard waste fees.</t>
        </r>
      </text>
    </comment>
    <comment ref="K27" authorId="0">
      <text>
        <r>
          <rPr>
            <b/>
            <sz val="9"/>
            <rFont val="Tahoma"/>
            <family val="2"/>
          </rPr>
          <t>Weinstein, Mike:</t>
        </r>
        <r>
          <rPr>
            <sz val="9"/>
            <rFont val="Tahoma"/>
            <family val="2"/>
          </rPr>
          <t xml:space="preserve">
Pro forma increase in disposal and YW processing fees as reflected in the Disposal Summary</t>
        </r>
      </text>
    </comment>
    <comment ref="K35" authorId="0">
      <text>
        <r>
          <rPr>
            <b/>
            <sz val="9"/>
            <rFont val="Tahoma"/>
            <family val="2"/>
          </rPr>
          <t>Weinstein, Mike:</t>
        </r>
        <r>
          <rPr>
            <sz val="9"/>
            <rFont val="Tahoma"/>
            <family val="2"/>
          </rPr>
          <t xml:space="preserve">
To record revenue sensitive taxes, fees and bad debts.</t>
        </r>
      </text>
    </comment>
  </commentList>
</comments>
</file>

<file path=xl/sharedStrings.xml><?xml version="1.0" encoding="utf-8"?>
<sst xmlns="http://schemas.openxmlformats.org/spreadsheetml/2006/main" count="255" uniqueCount="198">
  <si>
    <t>Tons</t>
  </si>
  <si>
    <t>Revenue</t>
  </si>
  <si>
    <t>WM of Spokane</t>
  </si>
  <si>
    <t xml:space="preserve">Price Out of Services </t>
  </si>
  <si>
    <t>Pro Forma</t>
  </si>
  <si>
    <t>%</t>
  </si>
  <si>
    <t>Current</t>
  </si>
  <si>
    <t>Annual</t>
  </si>
  <si>
    <t>Proposed</t>
  </si>
  <si>
    <t>Price</t>
  </si>
  <si>
    <t>INC.</t>
  </si>
  <si>
    <t>Rate</t>
  </si>
  <si>
    <t>Diff.</t>
  </si>
  <si>
    <t>(DEC.)</t>
  </si>
  <si>
    <t>Extras</t>
  </si>
  <si>
    <t>Customers</t>
  </si>
  <si>
    <t>Containers</t>
  </si>
  <si>
    <t>Waste Management of Spokane</t>
  </si>
  <si>
    <t>Working Trial Balance</t>
  </si>
  <si>
    <t>Operating Revenue</t>
  </si>
  <si>
    <t>External Operating Revenue</t>
  </si>
  <si>
    <t>Commercial Collection</t>
  </si>
  <si>
    <t>400000</t>
  </si>
  <si>
    <t>Commercial Garbage Rent</t>
  </si>
  <si>
    <t>Residential Collection</t>
  </si>
  <si>
    <t>405000</t>
  </si>
  <si>
    <t>Res Collection - Organics</t>
  </si>
  <si>
    <t>406000</t>
  </si>
  <si>
    <t>Residential Collection Rcy</t>
  </si>
  <si>
    <t>408000</t>
  </si>
  <si>
    <t>MF Recycling</t>
  </si>
  <si>
    <t>Roll Off Collection Permanent</t>
  </si>
  <si>
    <t>410000</t>
  </si>
  <si>
    <t>Roll Off Disposal Pass Through</t>
  </si>
  <si>
    <t>Roll Off Rent</t>
  </si>
  <si>
    <t>Other Late Fee Revenue</t>
  </si>
  <si>
    <t>458890</t>
  </si>
  <si>
    <t>Utility Taxes</t>
  </si>
  <si>
    <t xml:space="preserve"> </t>
  </si>
  <si>
    <t>Total Operating Revenue</t>
  </si>
  <si>
    <t>Revenue Reduction</t>
  </si>
  <si>
    <t>500500</t>
  </si>
  <si>
    <t>Disposal Pass Through Fees</t>
  </si>
  <si>
    <t>500800</t>
  </si>
  <si>
    <t>Processing Fees</t>
  </si>
  <si>
    <t>Disposal Fees and  Taxes</t>
  </si>
  <si>
    <t>509000</t>
  </si>
  <si>
    <t>State B &amp; O Taxes</t>
  </si>
  <si>
    <t>Municipal Franchise Fees (WUTC fees)</t>
  </si>
  <si>
    <t>509500</t>
  </si>
  <si>
    <t>Total Revenue Reduction</t>
  </si>
  <si>
    <t>Net Revenue</t>
  </si>
  <si>
    <t>Operating Expenses</t>
  </si>
  <si>
    <t>Direct Labor Costs</t>
  </si>
  <si>
    <t>Primary Equipment Costs</t>
  </si>
  <si>
    <t>Secondary Equipment Costs</t>
  </si>
  <si>
    <t>Operations Support Costs</t>
  </si>
  <si>
    <t>Gross Profit</t>
  </si>
  <si>
    <t>Sales, General, and Administrative</t>
  </si>
  <si>
    <t>Income From Operations (EBIT)</t>
  </si>
  <si>
    <t>Operating Ratio</t>
  </si>
  <si>
    <t>Total</t>
  </si>
  <si>
    <t>Disposal Fee Increase Analysis</t>
  </si>
  <si>
    <t>Cost</t>
  </si>
  <si>
    <t>Price/ton</t>
  </si>
  <si>
    <t>Adj.</t>
  </si>
  <si>
    <t>Com'l FL:</t>
  </si>
  <si>
    <t>Valley TS</t>
  </si>
  <si>
    <t>Spokane TS</t>
  </si>
  <si>
    <t>Waste to Energy</t>
  </si>
  <si>
    <t>Res'l FL:</t>
  </si>
  <si>
    <t>Commercial &amp; Residential MSW</t>
  </si>
  <si>
    <t>Roll Off (MSW):</t>
  </si>
  <si>
    <t>Res'l Yard Waste:</t>
  </si>
  <si>
    <t>TRG - Spokane Green</t>
  </si>
  <si>
    <t>VCG - Valley Clean Green</t>
  </si>
  <si>
    <t>Regulated</t>
  </si>
  <si>
    <t xml:space="preserve">  DR.(CR.)</t>
  </si>
  <si>
    <t>A</t>
  </si>
  <si>
    <t>B</t>
  </si>
  <si>
    <t>C</t>
  </si>
  <si>
    <t>A/C #</t>
  </si>
  <si>
    <t>For the 12 Month Period ending December 31, 2013</t>
  </si>
  <si>
    <t>Per TG-143889</t>
  </si>
  <si>
    <t>Disposal to Transfer Station - Residential</t>
  </si>
  <si>
    <t>Disposal to WTE - Residential</t>
  </si>
  <si>
    <t>Disposal to Transfer Station - Commerical</t>
  </si>
  <si>
    <t>Disposal to WTE - Commercial</t>
  </si>
  <si>
    <t>Disposal to Transfer Station - Yard Waste</t>
  </si>
  <si>
    <t xml:space="preserve">Total # of </t>
  </si>
  <si>
    <t>lbs./</t>
  </si>
  <si>
    <t>Disposal</t>
  </si>
  <si>
    <t>Frequency</t>
  </si>
  <si>
    <t>Can/YD</t>
  </si>
  <si>
    <t>fee</t>
  </si>
  <si>
    <t>Service</t>
  </si>
  <si>
    <t>Residential garbage:</t>
  </si>
  <si>
    <t>C3M 32 GAL CAN MSW 1X MO</t>
  </si>
  <si>
    <t>T5M 35 GAL CART MSW 1X MO</t>
  </si>
  <si>
    <t>C21 1-20 GAL MINI CAN MSW</t>
  </si>
  <si>
    <t>C2T 20 GAL CART MSW</t>
  </si>
  <si>
    <t>C31 1-32 GAL CAN MSW</t>
  </si>
  <si>
    <t>C32 2-32 GAL CANS MSW</t>
  </si>
  <si>
    <t>C33 3-32 GAL CANS MSW</t>
  </si>
  <si>
    <t>C34 4-32 GAL CANS MSW</t>
  </si>
  <si>
    <t>C35 5-32 GAL CANS MSW</t>
  </si>
  <si>
    <t>T51 1-35 GAL CART MSW</t>
  </si>
  <si>
    <t>T52 2-35 GAL CARTS MSW</t>
  </si>
  <si>
    <t>T53 3-35 GAL CARTS MSW</t>
  </si>
  <si>
    <t>T54 4-35 GAL CARTS MSW</t>
  </si>
  <si>
    <t>T61 1-64 GAL CART MSW</t>
  </si>
  <si>
    <t>T62 2-64 GAL CARTS MSW</t>
  </si>
  <si>
    <t>T63 3-64 GAL CARTS MSW</t>
  </si>
  <si>
    <t>T91 1-96 GAL CART MSW</t>
  </si>
  <si>
    <t>T92 2-96 GAL CARTS MSW</t>
  </si>
  <si>
    <t>Residential YW:</t>
  </si>
  <si>
    <t>G91 1-96 GAL CART YDW</t>
  </si>
  <si>
    <t>G92 2-96 GAL CARTS YDW</t>
  </si>
  <si>
    <t>G93 3-96 GAL CARTS YDW</t>
  </si>
  <si>
    <t>G94 4-96 GAL CARTS YDW</t>
  </si>
  <si>
    <t>G95 5-96 GAL CARTS YDW</t>
  </si>
  <si>
    <t>G96 6-96 GAL CARTS YDW</t>
  </si>
  <si>
    <t>Commercial:</t>
  </si>
  <si>
    <t>1AM 1-32 GAL CAN MSW</t>
  </si>
  <si>
    <t>2AM 2-32 GAL CANS MSW</t>
  </si>
  <si>
    <t>3AM 3-32 GAL CANS MSW</t>
  </si>
  <si>
    <t>4AM 4-32 GAL CANS MSW</t>
  </si>
  <si>
    <t>5AM 5-32 GAL CANS MSW</t>
  </si>
  <si>
    <t>BH0 28-32 GAL CANS MSW</t>
  </si>
  <si>
    <t>CM1 35 GAL CART MSW 1X WK</t>
  </si>
  <si>
    <t>CT2 2-35 GAL CARTS MSW</t>
  </si>
  <si>
    <t>CT4 4-35 GAL CARTS MSW</t>
  </si>
  <si>
    <t>1DM 1-64 GAL CART MSW</t>
  </si>
  <si>
    <t>2DM 2-64 GAL CARTS MSW</t>
  </si>
  <si>
    <t>1EM 1-96 GAL CART MSW</t>
  </si>
  <si>
    <t>2EM 2-96 GAL CARTS MSW</t>
  </si>
  <si>
    <t>1FE 1 YD MSW EOW</t>
  </si>
  <si>
    <t>111 1-1 YD 1X PER WEEK</t>
  </si>
  <si>
    <t>211 2-1 YD 1X PER WEEK</t>
  </si>
  <si>
    <t>112 1-1 YD 2X PER WEEK</t>
  </si>
  <si>
    <t>5FE 1.5 YD MSW EOW</t>
  </si>
  <si>
    <t>151 1-1.5 YD 1X PER WEEK</t>
  </si>
  <si>
    <t>2FE 2 YD MSW EOW</t>
  </si>
  <si>
    <t>121 1-2 YD 1X PER WEEK</t>
  </si>
  <si>
    <t>221 2-2 YD 1X PER WEEK</t>
  </si>
  <si>
    <t>321 3-2 YD 1X PER WEEK</t>
  </si>
  <si>
    <t>122 1-2 YD 2X PER WEEK</t>
  </si>
  <si>
    <t>222 2-2 YD 2X PER WEEK</t>
  </si>
  <si>
    <t>3FE 3 YD MSW EOW</t>
  </si>
  <si>
    <t>131 1-3 YD 1X PER WEEK</t>
  </si>
  <si>
    <t>132 1-3 YD 2X PER WEEK</t>
  </si>
  <si>
    <t>4FE 4 YD MSW EOW</t>
  </si>
  <si>
    <t>141 1-4 YD 1X PER WEEK</t>
  </si>
  <si>
    <t>241 2-4 YD 1X PER WEEK</t>
  </si>
  <si>
    <t>142 1-4 YD 2X PER WEEK</t>
  </si>
  <si>
    <t>242 2-4 YD 2X PER WEEK</t>
  </si>
  <si>
    <t>143 1-4 YD 3X PER WEEK</t>
  </si>
  <si>
    <t>6FE 6 YD MSW EOW</t>
  </si>
  <si>
    <t>161 1-6 YD 1X PER WEEK</t>
  </si>
  <si>
    <t>261 2-6 YD 1X PER WEEK</t>
  </si>
  <si>
    <t>361 3-6 YD 1X PER WEEK</t>
  </si>
  <si>
    <t>461 4-6 YD 1X PER WEEK</t>
  </si>
  <si>
    <t>561 5-6 YD 1X PER WEEK</t>
  </si>
  <si>
    <t>162 1-6 YD 2X PER WEEK</t>
  </si>
  <si>
    <t>262 2-6 YD 2X PER WEEK</t>
  </si>
  <si>
    <t>163 1-6 YD 3X PER WEEK</t>
  </si>
  <si>
    <t>463 4-6 YD 3X PER WEEK</t>
  </si>
  <si>
    <t>8FE 8 YD MSW EOW</t>
  </si>
  <si>
    <t>181 1-8 YD 1X PER WEEK</t>
  </si>
  <si>
    <t>281 2-8 YD 1X PER WEEK</t>
  </si>
  <si>
    <t>381 3-8 YD 1X PER WEEK</t>
  </si>
  <si>
    <t>581 5-8 YD 1X PER WEEK</t>
  </si>
  <si>
    <t>681 6-8 YD 1X PER WEEK</t>
  </si>
  <si>
    <t>182 1-8 YD 2X PER WEEK</t>
  </si>
  <si>
    <t>282 2-8 YD 2X PER WEEK</t>
  </si>
  <si>
    <t>183 1-8 YD 3X PER WEEK</t>
  </si>
  <si>
    <t>283 2-8 YD 3X PER WEEK</t>
  </si>
  <si>
    <t>184 1-8 YD 4X PER WEEK</t>
  </si>
  <si>
    <t>185 1-8 YD 5X PER WEEK</t>
  </si>
  <si>
    <t>2C1 2 YD COMPACTOR 1X WK</t>
  </si>
  <si>
    <t>2C2 2 YD COMPACTOR 2X WK</t>
  </si>
  <si>
    <t>3C1 3 YD COMPACTOR 1X WK</t>
  </si>
  <si>
    <t>4CE 4 YD COMPACTOR EOW</t>
  </si>
  <si>
    <t>4C1 4 YD COMPACTOR 1X WK</t>
  </si>
  <si>
    <t>4C2 4 YD COMPACTOR 2X WK</t>
  </si>
  <si>
    <t xml:space="preserve"> Proposed</t>
  </si>
  <si>
    <t>Gross Up Factors</t>
  </si>
  <si>
    <t>B&amp;O tax</t>
  </si>
  <si>
    <t>WUTC fees</t>
  </si>
  <si>
    <t>Increase</t>
  </si>
  <si>
    <t>Bad Debts</t>
  </si>
  <si>
    <t>Factor</t>
  </si>
  <si>
    <t>2016</t>
  </si>
  <si>
    <t>Add:</t>
  </si>
  <si>
    <t>Cart</t>
  </si>
  <si>
    <t>A, B</t>
  </si>
  <si>
    <t>This increase became effective on 1/1/17 for Roll off tonnages only per TG-161142</t>
  </si>
  <si>
    <t>(a)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</si>
</sst>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(&quot;$&quot;* #,##0.00_);_(&quot;$&quot;* \(#,##0.00\);_(&quot;$&quot;* &quot;-&quot;_);_(@_)"/>
    <numFmt numFmtId="168" formatCode="[$-409]mmmm\-yy;@"/>
    <numFmt numFmtId="169" formatCode="[$$-409]#,##0.0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General_)"/>
    <numFmt numFmtId="173" formatCode="#,##0.0000_);\(#,##0.0000\)"/>
    <numFmt numFmtId="174" formatCode="0_)"/>
    <numFmt numFmtId="175" formatCode="#,##0.000_);\(#,##0.000\)"/>
    <numFmt numFmtId="176" formatCode="0.0000%"/>
    <numFmt numFmtId="177" formatCode="#,##0.000000_);\(#,##0.000000\)"/>
    <numFmt numFmtId="178" formatCode="0.00000%"/>
    <numFmt numFmtId="179" formatCode="#,##0.00000000_);\(#,##0.00000000\)"/>
    <numFmt numFmtId="180" formatCode="&quot;$&quot;#,##0.0_);\(&quot;$&quot;#,##0.0\)"/>
    <numFmt numFmtId="181" formatCode="mmm\-yyyy"/>
    <numFmt numFmtId="182" formatCode="_(* #,##0.000_);_(* \(#,##0.000\);_(* &quot;-&quot;??_);_(@_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.00000_);_(&quot;$&quot;* \(#,##0.00000\);_(&quot;$&quot;* &quot;-&quot;??_);_(@_)"/>
    <numFmt numFmtId="186" formatCode="0.000%"/>
    <numFmt numFmtId="187" formatCode="#0.0"/>
    <numFmt numFmtId="188" formatCode="#0.000"/>
    <numFmt numFmtId="189" formatCode="_(* #,##0.000000_);_(* \(#,##0.000000\);_(* &quot;-&quot;??_);_(@_)"/>
    <numFmt numFmtId="190" formatCode="_(&quot;$&quot;* #,##0.000000_);_(&quot;$&quot;* \(#,##0.000000\);_(&quot;$&quot;* &quot;-&quot;??_);_(@_)"/>
    <numFmt numFmtId="191" formatCode="0.000000"/>
    <numFmt numFmtId="192" formatCode="_(&quot;$&quot;* #,##0.000000_);_(&quot;$&quot;* \(#,##0.000000\);_(&quot;$&quot;* &quot;-&quot;??????_);_(@_)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0"/>
      <name val="Arial MT"/>
      <family val="0"/>
    </font>
    <font>
      <b/>
      <sz val="11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u val="double"/>
      <sz val="10"/>
      <name val="Arial"/>
      <family val="2"/>
    </font>
    <font>
      <b/>
      <i/>
      <u val="doubleAccounting"/>
      <sz val="10"/>
      <name val="Arial"/>
      <family val="2"/>
    </font>
    <font>
      <b/>
      <i/>
      <u val="doubleAccounting"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u val="singleAccounting"/>
      <sz val="12"/>
      <color indexed="8"/>
      <name val="Arial"/>
      <family val="2"/>
    </font>
    <font>
      <sz val="10"/>
      <color indexed="10"/>
      <name val="Arial"/>
      <family val="2"/>
    </font>
    <font>
      <u val="singleAccounting"/>
      <sz val="11"/>
      <color indexed="8"/>
      <name val="Calibri"/>
      <family val="2"/>
    </font>
    <font>
      <u val="singleAccounting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b/>
      <i/>
      <u val="doub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56"/>
      <name val="Arial"/>
      <family val="2"/>
    </font>
    <font>
      <u val="singleAccounting"/>
      <sz val="10"/>
      <color indexed="8"/>
      <name val="Arial"/>
      <family val="2"/>
    </font>
    <font>
      <b/>
      <u val="double"/>
      <sz val="10"/>
      <color indexed="8"/>
      <name val="Arial"/>
      <family val="2"/>
    </font>
    <font>
      <b/>
      <u val="doubleAccounting"/>
      <sz val="10"/>
      <color indexed="8"/>
      <name val="Arial"/>
      <family val="2"/>
    </font>
    <font>
      <u val="doubleAccounting"/>
      <sz val="10"/>
      <color indexed="56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10"/>
      <name val="Arial"/>
      <family val="2"/>
    </font>
    <font>
      <u val="doubleAccounting"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Accounting"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0"/>
      <color rgb="FFFF0000"/>
      <name val="Arial"/>
      <family val="2"/>
    </font>
    <font>
      <u val="singleAccounting"/>
      <sz val="11"/>
      <color theme="1"/>
      <name val="Calibri"/>
      <family val="2"/>
    </font>
    <font>
      <u val="singleAccounting"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u val="doubleAccounting"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b/>
      <i/>
      <u val="doubleAccounting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3"/>
      <name val="Arial"/>
      <family val="2"/>
    </font>
    <font>
      <u val="singleAccounting"/>
      <sz val="10"/>
      <color theme="1"/>
      <name val="Arial"/>
      <family val="2"/>
    </font>
    <font>
      <b/>
      <u val="double"/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u val="doubleAccounting"/>
      <sz val="10"/>
      <color theme="3"/>
      <name val="Arial"/>
      <family val="2"/>
    </font>
    <font>
      <sz val="9"/>
      <color theme="1"/>
      <name val="Arial"/>
      <family val="2"/>
    </font>
    <font>
      <sz val="9"/>
      <color theme="3"/>
      <name val="Arial"/>
      <family val="2"/>
    </font>
    <font>
      <b/>
      <sz val="9"/>
      <color theme="1"/>
      <name val="Arial"/>
      <family val="2"/>
    </font>
    <font>
      <b/>
      <u val="single"/>
      <sz val="10"/>
      <color rgb="FFFF0000"/>
      <name val="Arial"/>
      <family val="2"/>
    </font>
    <font>
      <u val="doubleAccounting"/>
      <sz val="10"/>
      <color theme="1"/>
      <name val="Arial"/>
      <family val="2"/>
    </font>
    <font>
      <b/>
      <i/>
      <sz val="10"/>
      <color theme="1"/>
      <name val="Arial"/>
      <family val="2"/>
    </font>
    <font>
      <u val="singleAccounting"/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  <protection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90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92" fillId="0" borderId="0" applyNumberFormat="0" applyFill="0" applyBorder="0" applyAlignment="0" applyProtection="0"/>
    <xf numFmtId="164" fontId="3" fillId="34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 applyProtection="1">
      <alignment/>
      <protection/>
    </xf>
    <xf numFmtId="0" fontId="2" fillId="0" borderId="9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0" fontId="17" fillId="0" borderId="0" xfId="0" applyFont="1" applyFill="1" applyBorder="1" applyAlignment="1" quotePrefix="1">
      <alignment horizontal="center"/>
    </xf>
    <xf numFmtId="0" fontId="20" fillId="0" borderId="0" xfId="0" applyFont="1" applyFill="1" applyBorder="1" applyAlignment="1">
      <alignment horizontal="left"/>
    </xf>
    <xf numFmtId="174" fontId="17" fillId="0" borderId="0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1" fillId="0" borderId="0" xfId="45" applyNumberFormat="1" applyFont="1" applyFill="1" applyBorder="1" applyAlignment="1" quotePrefix="1">
      <alignment wrapText="1"/>
    </xf>
    <xf numFmtId="181" fontId="18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 applyProtection="1">
      <alignment/>
      <protection/>
    </xf>
    <xf numFmtId="181" fontId="18" fillId="0" borderId="0" xfId="0" applyNumberFormat="1" applyFont="1" applyFill="1" applyBorder="1" applyAlignment="1" applyProtection="1">
      <alignment/>
      <protection/>
    </xf>
    <xf numFmtId="181" fontId="17" fillId="0" borderId="0" xfId="87" applyNumberFormat="1" applyFont="1" applyFill="1" applyBorder="1" applyAlignment="1" applyProtection="1">
      <alignment horizontal="left" vertical="top"/>
      <protection/>
    </xf>
    <xf numFmtId="181" fontId="18" fillId="0" borderId="0" xfId="87" applyNumberFormat="1" applyFont="1" applyFill="1" applyBorder="1" applyAlignment="1" applyProtection="1">
      <alignment/>
      <protection/>
    </xf>
    <xf numFmtId="174" fontId="17" fillId="0" borderId="0" xfId="0" applyNumberFormat="1" applyFont="1" applyFill="1" applyAlignment="1" applyProtection="1">
      <alignment/>
      <protection/>
    </xf>
    <xf numFmtId="174" fontId="18" fillId="0" borderId="0" xfId="0" applyNumberFormat="1" applyFont="1" applyFill="1" applyAlignment="1" applyProtection="1">
      <alignment/>
      <protection/>
    </xf>
    <xf numFmtId="174" fontId="18" fillId="0" borderId="0" xfId="0" applyNumberFormat="1" applyFont="1" applyFill="1" applyAlignment="1" applyProtection="1">
      <alignment horizontal="center"/>
      <protection/>
    </xf>
    <xf numFmtId="174" fontId="22" fillId="0" borderId="0" xfId="0" applyNumberFormat="1" applyFont="1" applyFill="1" applyAlignment="1" applyProtection="1" quotePrefix="1">
      <alignment horizontal="left"/>
      <protection/>
    </xf>
    <xf numFmtId="174" fontId="21" fillId="0" borderId="0" xfId="0" applyNumberFormat="1" applyFont="1" applyFill="1" applyAlignment="1" applyProtection="1" quotePrefix="1">
      <alignment horizontal="left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4" fontId="22" fillId="0" borderId="0" xfId="0" applyNumberFormat="1" applyFont="1" applyFill="1" applyAlignment="1" applyProtection="1" quotePrefix="1">
      <alignment horizontal="left" indent="1"/>
      <protection/>
    </xf>
    <xf numFmtId="174" fontId="21" fillId="0" borderId="0" xfId="0" applyNumberFormat="1" applyFont="1" applyFill="1" applyAlignment="1" applyProtection="1" quotePrefix="1">
      <alignment horizontal="left" indent="1"/>
      <protection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4" fontId="3" fillId="0" borderId="0" xfId="45" applyNumberFormat="1" applyFont="1" applyFill="1" applyAlignment="1" quotePrefix="1">
      <alignment/>
    </xf>
    <xf numFmtId="0" fontId="21" fillId="0" borderId="0" xfId="0" applyFont="1" applyFill="1" applyAlignment="1">
      <alignment/>
    </xf>
    <xf numFmtId="164" fontId="21" fillId="0" borderId="0" xfId="45" applyNumberFormat="1" applyFont="1" applyFill="1" applyAlignment="1" quotePrefix="1">
      <alignment/>
    </xf>
    <xf numFmtId="164" fontId="17" fillId="0" borderId="0" xfId="45" applyNumberFormat="1" applyFont="1" applyFill="1" applyBorder="1" applyAlignment="1" applyProtection="1">
      <alignment/>
      <protection/>
    </xf>
    <xf numFmtId="164" fontId="21" fillId="0" borderId="0" xfId="45" applyNumberFormat="1" applyFont="1" applyFill="1" applyAlignment="1">
      <alignment/>
    </xf>
    <xf numFmtId="164" fontId="21" fillId="0" borderId="0" xfId="45" applyNumberFormat="1" applyFont="1" applyFill="1" applyAlignment="1" quotePrefix="1">
      <alignment horizontal="center"/>
    </xf>
    <xf numFmtId="174" fontId="3" fillId="0" borderId="0" xfId="0" applyNumberFormat="1" applyFont="1" applyFill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21" fillId="0" borderId="0" xfId="0" applyNumberFormat="1" applyFont="1" applyFill="1" applyBorder="1" applyAlignment="1" applyProtection="1">
      <alignment/>
      <protection/>
    </xf>
    <xf numFmtId="174" fontId="21" fillId="0" borderId="0" xfId="0" applyNumberFormat="1" applyFont="1" applyFill="1" applyBorder="1" applyAlignment="1" applyProtection="1">
      <alignment horizontal="center"/>
      <protection/>
    </xf>
    <xf numFmtId="164" fontId="21" fillId="0" borderId="0" xfId="45" applyNumberFormat="1" applyFont="1" applyFill="1" applyBorder="1" applyAlignment="1" quotePrefix="1">
      <alignment/>
    </xf>
    <xf numFmtId="164" fontId="21" fillId="0" borderId="0" xfId="45" applyNumberFormat="1" applyFont="1" applyFill="1" applyBorder="1" applyAlignment="1">
      <alignment/>
    </xf>
    <xf numFmtId="164" fontId="21" fillId="0" borderId="0" xfId="45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left" indent="3"/>
    </xf>
    <xf numFmtId="0" fontId="17" fillId="0" borderId="0" xfId="0" applyFont="1" applyFill="1" applyAlignment="1">
      <alignment/>
    </xf>
    <xf numFmtId="0" fontId="93" fillId="0" borderId="0" xfId="0" applyFont="1" applyAlignment="1">
      <alignment/>
    </xf>
    <xf numFmtId="165" fontId="3" fillId="0" borderId="0" xfId="82" applyNumberFormat="1" applyFont="1" applyFill="1" applyBorder="1" applyAlignment="1">
      <alignment/>
    </xf>
    <xf numFmtId="165" fontId="21" fillId="0" borderId="0" xfId="82" applyNumberFormat="1" applyFont="1" applyFill="1" applyBorder="1" applyAlignment="1">
      <alignment horizontal="center"/>
    </xf>
    <xf numFmtId="164" fontId="3" fillId="0" borderId="0" xfId="47" applyNumberFormat="1" applyFont="1" applyFill="1" applyBorder="1" applyAlignment="1">
      <alignment/>
    </xf>
    <xf numFmtId="0" fontId="94" fillId="0" borderId="0" xfId="0" applyFont="1" applyAlignment="1">
      <alignment/>
    </xf>
    <xf numFmtId="164" fontId="95" fillId="0" borderId="0" xfId="42" applyNumberFormat="1" applyFont="1" applyAlignment="1">
      <alignment/>
    </xf>
    <xf numFmtId="164" fontId="94" fillId="0" borderId="0" xfId="42" applyNumberFormat="1" applyFont="1" applyAlignment="1">
      <alignment/>
    </xf>
    <xf numFmtId="164" fontId="96" fillId="0" borderId="0" xfId="42" applyNumberFormat="1" applyFont="1" applyAlignment="1">
      <alignment horizontal="center"/>
    </xf>
    <xf numFmtId="164" fontId="97" fillId="0" borderId="0" xfId="42" applyNumberFormat="1" applyFont="1" applyAlignment="1">
      <alignment horizontal="center"/>
    </xf>
    <xf numFmtId="0" fontId="23" fillId="0" borderId="0" xfId="69" applyFont="1" applyBorder="1" applyProtection="1">
      <alignment/>
      <protection/>
    </xf>
    <xf numFmtId="0" fontId="2" fillId="0" borderId="0" xfId="69">
      <alignment/>
      <protection/>
    </xf>
    <xf numFmtId="0" fontId="10" fillId="0" borderId="0" xfId="69" applyFont="1">
      <alignment/>
      <protection/>
    </xf>
    <xf numFmtId="0" fontId="8" fillId="0" borderId="0" xfId="69" applyFont="1">
      <alignment/>
      <protection/>
    </xf>
    <xf numFmtId="0" fontId="2" fillId="0" borderId="0" xfId="69" applyFont="1">
      <alignment/>
      <protection/>
    </xf>
    <xf numFmtId="44" fontId="2" fillId="0" borderId="0" xfId="56" applyFont="1" applyBorder="1" applyAlignment="1">
      <alignment/>
    </xf>
    <xf numFmtId="166" fontId="0" fillId="0" borderId="0" xfId="53" applyNumberFormat="1" applyFont="1" applyBorder="1" applyAlignment="1">
      <alignment/>
    </xf>
    <xf numFmtId="0" fontId="2" fillId="0" borderId="0" xfId="69" applyBorder="1">
      <alignment/>
      <protection/>
    </xf>
    <xf numFmtId="166" fontId="2" fillId="0" borderId="0" xfId="69" applyNumberFormat="1" applyBorder="1">
      <alignment/>
      <protection/>
    </xf>
    <xf numFmtId="166" fontId="13" fillId="0" borderId="0" xfId="69" applyNumberFormat="1" applyFont="1" applyBorder="1">
      <alignment/>
      <protection/>
    </xf>
    <xf numFmtId="166" fontId="15" fillId="0" borderId="0" xfId="53" applyNumberFormat="1" applyFont="1" applyBorder="1" applyAlignment="1">
      <alignment/>
    </xf>
    <xf numFmtId="166" fontId="15" fillId="0" borderId="0" xfId="56" applyNumberFormat="1" applyFont="1" applyBorder="1" applyAlignment="1">
      <alignment/>
    </xf>
    <xf numFmtId="44" fontId="14" fillId="0" borderId="0" xfId="56" applyFont="1" applyBorder="1" applyAlignment="1">
      <alignment/>
    </xf>
    <xf numFmtId="0" fontId="13" fillId="0" borderId="0" xfId="69" applyFont="1" applyBorder="1">
      <alignment/>
      <protection/>
    </xf>
    <xf numFmtId="166" fontId="14" fillId="0" borderId="0" xfId="53" applyNumberFormat="1" applyFont="1" applyBorder="1" applyAlignment="1">
      <alignment/>
    </xf>
    <xf numFmtId="166" fontId="14" fillId="0" borderId="0" xfId="56" applyNumberFormat="1" applyFont="1" applyBorder="1" applyAlignment="1">
      <alignment/>
    </xf>
    <xf numFmtId="43" fontId="0" fillId="0" borderId="0" xfId="48" applyFont="1" applyBorder="1" applyAlignment="1">
      <alignment/>
    </xf>
    <xf numFmtId="0" fontId="4" fillId="0" borderId="0" xfId="69" applyFont="1">
      <alignment/>
      <protection/>
    </xf>
    <xf numFmtId="43" fontId="14" fillId="0" borderId="0" xfId="48" applyFont="1" applyBorder="1" applyAlignment="1">
      <alignment/>
    </xf>
    <xf numFmtId="43" fontId="14" fillId="0" borderId="0" xfId="69" applyNumberFormat="1" applyFont="1" applyBorder="1">
      <alignment/>
      <protection/>
    </xf>
    <xf numFmtId="0" fontId="2" fillId="0" borderId="0" xfId="69" applyFont="1" applyBorder="1">
      <alignment/>
      <protection/>
    </xf>
    <xf numFmtId="0" fontId="4" fillId="0" borderId="0" xfId="69" applyFont="1" applyBorder="1" applyAlignment="1">
      <alignment horizontal="center"/>
      <protection/>
    </xf>
    <xf numFmtId="43" fontId="8" fillId="0" borderId="0" xfId="48" applyFont="1" applyBorder="1" applyAlignment="1">
      <alignment horizontal="center"/>
    </xf>
    <xf numFmtId="0" fontId="8" fillId="0" borderId="0" xfId="69" applyFont="1" applyBorder="1" applyAlignment="1">
      <alignment horizontal="center"/>
      <protection/>
    </xf>
    <xf numFmtId="166" fontId="8" fillId="0" borderId="0" xfId="53" applyNumberFormat="1" applyFont="1" applyBorder="1" applyAlignment="1">
      <alignment horizontal="center"/>
    </xf>
    <xf numFmtId="44" fontId="8" fillId="0" borderId="0" xfId="56" applyFont="1" applyBorder="1" applyAlignment="1">
      <alignment horizontal="center"/>
    </xf>
    <xf numFmtId="43" fontId="2" fillId="0" borderId="0" xfId="69" applyNumberFormat="1" applyBorder="1">
      <alignment/>
      <protection/>
    </xf>
    <xf numFmtId="43" fontId="13" fillId="0" borderId="0" xfId="48" applyFont="1" applyBorder="1" applyAlignment="1">
      <alignment/>
    </xf>
    <xf numFmtId="43" fontId="15" fillId="0" borderId="0" xfId="48" applyFont="1" applyBorder="1" applyAlignment="1">
      <alignment/>
    </xf>
    <xf numFmtId="166" fontId="98" fillId="0" borderId="0" xfId="53" applyNumberFormat="1" applyFont="1" applyBorder="1" applyAlignment="1">
      <alignment/>
    </xf>
    <xf numFmtId="43" fontId="13" fillId="0" borderId="0" xfId="69" applyNumberFormat="1" applyFont="1" applyBorder="1">
      <alignment/>
      <protection/>
    </xf>
    <xf numFmtId="43" fontId="0" fillId="0" borderId="0" xfId="48" applyFont="1" applyBorder="1" applyAlignment="1">
      <alignment horizontal="center"/>
    </xf>
    <xf numFmtId="165" fontId="2" fillId="0" borderId="0" xfId="79" applyNumberFormat="1" applyFont="1" applyBorder="1" applyAlignment="1">
      <alignment/>
    </xf>
    <xf numFmtId="165" fontId="0" fillId="0" borderId="0" xfId="48" applyNumberFormat="1" applyFont="1" applyBorder="1" applyAlignment="1">
      <alignment/>
    </xf>
    <xf numFmtId="43" fontId="91" fillId="0" borderId="0" xfId="48" applyFont="1" applyBorder="1" applyAlignment="1">
      <alignment horizontal="center"/>
    </xf>
    <xf numFmtId="166" fontId="99" fillId="0" borderId="0" xfId="53" applyNumberFormat="1" applyFont="1" applyBorder="1" applyAlignment="1">
      <alignment/>
    </xf>
    <xf numFmtId="44" fontId="4" fillId="0" borderId="0" xfId="56" applyFont="1" applyBorder="1" applyAlignment="1">
      <alignment/>
    </xf>
    <xf numFmtId="44" fontId="4" fillId="0" borderId="0" xfId="53" applyFont="1" applyBorder="1" applyAlignment="1">
      <alignment/>
    </xf>
    <xf numFmtId="166" fontId="14" fillId="0" borderId="0" xfId="50" applyNumberFormat="1" applyFont="1" applyBorder="1" applyAlignment="1">
      <alignment/>
    </xf>
    <xf numFmtId="165" fontId="0" fillId="0" borderId="0" xfId="79" applyNumberFormat="1" applyFont="1" applyBorder="1" applyAlignment="1">
      <alignment/>
    </xf>
    <xf numFmtId="165" fontId="2" fillId="0" borderId="0" xfId="69" applyNumberFormat="1" applyBorder="1">
      <alignment/>
      <protection/>
    </xf>
    <xf numFmtId="43" fontId="0" fillId="0" borderId="0" xfId="48" applyFont="1" applyBorder="1" applyAlignment="1">
      <alignment/>
    </xf>
    <xf numFmtId="44" fontId="0" fillId="0" borderId="0" xfId="56" applyFont="1" applyBorder="1" applyAlignment="1">
      <alignment/>
    </xf>
    <xf numFmtId="164" fontId="100" fillId="0" borderId="0" xfId="42" applyNumberFormat="1" applyFont="1" applyAlignment="1">
      <alignment/>
    </xf>
    <xf numFmtId="164" fontId="97" fillId="0" borderId="0" xfId="42" applyNumberFormat="1" applyFont="1" applyAlignment="1">
      <alignment/>
    </xf>
    <xf numFmtId="165" fontId="101" fillId="0" borderId="0" xfId="79" applyNumberFormat="1" applyFont="1" applyAlignment="1">
      <alignment/>
    </xf>
    <xf numFmtId="0" fontId="0" fillId="0" borderId="0" xfId="0" applyBorder="1" applyAlignment="1">
      <alignment/>
    </xf>
    <xf numFmtId="166" fontId="94" fillId="0" borderId="0" xfId="50" applyNumberFormat="1" applyFont="1" applyAlignment="1">
      <alignment/>
    </xf>
    <xf numFmtId="0" fontId="21" fillId="0" borderId="0" xfId="0" applyFont="1" applyAlignment="1">
      <alignment horizontal="center"/>
    </xf>
    <xf numFmtId="164" fontId="21" fillId="0" borderId="0" xfId="45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22" fillId="0" borderId="0" xfId="45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6" fontId="94" fillId="0" borderId="0" xfId="0" applyNumberFormat="1" applyFont="1" applyAlignment="1">
      <alignment/>
    </xf>
    <xf numFmtId="166" fontId="97" fillId="0" borderId="0" xfId="50" applyNumberFormat="1" applyFont="1" applyAlignment="1">
      <alignment/>
    </xf>
    <xf numFmtId="166" fontId="102" fillId="0" borderId="0" xfId="50" applyNumberFormat="1" applyFont="1" applyAlignment="1">
      <alignment/>
    </xf>
    <xf numFmtId="0" fontId="4" fillId="0" borderId="0" xfId="0" applyFont="1" applyFill="1" applyBorder="1" applyAlignment="1">
      <alignment/>
    </xf>
    <xf numFmtId="10" fontId="98" fillId="0" borderId="0" xfId="69" applyNumberFormat="1" applyFont="1" applyBorder="1">
      <alignment/>
      <protection/>
    </xf>
    <xf numFmtId="44" fontId="98" fillId="0" borderId="0" xfId="56" applyFont="1" applyBorder="1" applyAlignment="1">
      <alignment/>
    </xf>
    <xf numFmtId="185" fontId="2" fillId="0" borderId="0" xfId="69" applyNumberFormat="1" applyBorder="1">
      <alignment/>
      <protection/>
    </xf>
    <xf numFmtId="0" fontId="103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/>
    </xf>
    <xf numFmtId="164" fontId="93" fillId="0" borderId="0" xfId="0" applyNumberFormat="1" applyFont="1" applyAlignment="1">
      <alignment/>
    </xf>
    <xf numFmtId="43" fontId="2" fillId="0" borderId="0" xfId="69" applyNumberFormat="1">
      <alignment/>
      <protection/>
    </xf>
    <xf numFmtId="174" fontId="3" fillId="0" borderId="0" xfId="0" applyNumberFormat="1" applyFont="1" applyFill="1" applyAlignment="1" applyProtection="1" quotePrefix="1">
      <alignment/>
      <protection/>
    </xf>
    <xf numFmtId="0" fontId="93" fillId="0" borderId="0" xfId="0" applyFont="1" applyBorder="1" applyAlignment="1">
      <alignment/>
    </xf>
    <xf numFmtId="166" fontId="94" fillId="0" borderId="0" xfId="50" applyNumberFormat="1" applyFont="1" applyBorder="1" applyAlignment="1">
      <alignment/>
    </xf>
    <xf numFmtId="0" fontId="94" fillId="0" borderId="0" xfId="0" applyFont="1" applyBorder="1" applyAlignment="1">
      <alignment/>
    </xf>
    <xf numFmtId="166" fontId="96" fillId="0" borderId="0" xfId="50" applyNumberFormat="1" applyFont="1" applyAlignment="1">
      <alignment/>
    </xf>
    <xf numFmtId="0" fontId="24" fillId="0" borderId="0" xfId="0" applyFont="1" applyFill="1" applyBorder="1" applyAlignment="1">
      <alignment horizontal="left"/>
    </xf>
    <xf numFmtId="43" fontId="2" fillId="0" borderId="0" xfId="48" applyFont="1" applyBorder="1" applyAlignment="1">
      <alignment/>
    </xf>
    <xf numFmtId="43" fontId="99" fillId="0" borderId="0" xfId="48" applyFont="1" applyBorder="1" applyAlignment="1">
      <alignment/>
    </xf>
    <xf numFmtId="43" fontId="91" fillId="0" borderId="0" xfId="48" applyFont="1" applyBorder="1" applyAlignment="1" quotePrefix="1">
      <alignment horizontal="center"/>
    </xf>
    <xf numFmtId="10" fontId="99" fillId="0" borderId="0" xfId="79" applyNumberFormat="1" applyFont="1" applyBorder="1" applyAlignment="1">
      <alignment/>
    </xf>
    <xf numFmtId="44" fontId="15" fillId="0" borderId="0" xfId="56" applyFont="1" applyBorder="1" applyAlignment="1">
      <alignment/>
    </xf>
    <xf numFmtId="0" fontId="0" fillId="0" borderId="0" xfId="72">
      <alignment/>
      <protection/>
    </xf>
    <xf numFmtId="44" fontId="0" fillId="0" borderId="0" xfId="52" applyFont="1" applyAlignment="1">
      <alignment/>
    </xf>
    <xf numFmtId="44" fontId="0" fillId="0" borderId="0" xfId="53" applyFont="1" applyAlignment="1">
      <alignment/>
    </xf>
    <xf numFmtId="43" fontId="0" fillId="0" borderId="0" xfId="45" applyFont="1" applyAlignment="1">
      <alignment/>
    </xf>
    <xf numFmtId="10" fontId="0" fillId="0" borderId="0" xfId="80" applyNumberFormat="1" applyFont="1" applyAlignment="1">
      <alignment/>
    </xf>
    <xf numFmtId="164" fontId="0" fillId="0" borderId="0" xfId="44" applyNumberFormat="1" applyFont="1" applyAlignment="1">
      <alignment/>
    </xf>
    <xf numFmtId="43" fontId="2" fillId="0" borderId="0" xfId="45" applyFont="1" applyAlignment="1">
      <alignment/>
    </xf>
    <xf numFmtId="164" fontId="4" fillId="0" borderId="0" xfId="47" applyNumberFormat="1" applyFont="1" applyAlignment="1">
      <alignment horizontal="center"/>
    </xf>
    <xf numFmtId="10" fontId="2" fillId="0" borderId="0" xfId="82" applyNumberFormat="1" applyFont="1" applyAlignment="1">
      <alignment/>
    </xf>
    <xf numFmtId="44" fontId="2" fillId="0" borderId="0" xfId="55" applyFont="1" applyAlignment="1">
      <alignment/>
    </xf>
    <xf numFmtId="44" fontId="4" fillId="0" borderId="0" xfId="53" applyFont="1" applyAlignment="1" applyProtection="1">
      <alignment horizontal="center"/>
      <protection/>
    </xf>
    <xf numFmtId="43" fontId="4" fillId="0" borderId="0" xfId="45" applyFont="1" applyAlignment="1">
      <alignment horizontal="center"/>
    </xf>
    <xf numFmtId="43" fontId="4" fillId="0" borderId="0" xfId="45" applyFont="1" applyBorder="1" applyAlignment="1">
      <alignment/>
    </xf>
    <xf numFmtId="10" fontId="4" fillId="0" borderId="0" xfId="82" applyNumberFormat="1" applyFont="1" applyAlignment="1">
      <alignment horizontal="center"/>
    </xf>
    <xf numFmtId="44" fontId="4" fillId="0" borderId="0" xfId="55" applyFont="1" applyAlignment="1">
      <alignment/>
    </xf>
    <xf numFmtId="44" fontId="8" fillId="0" borderId="0" xfId="53" applyFont="1" applyBorder="1" applyAlignment="1" applyProtection="1">
      <alignment horizontal="center"/>
      <protection/>
    </xf>
    <xf numFmtId="43" fontId="8" fillId="0" borderId="0" xfId="45" applyFont="1" applyBorder="1" applyAlignment="1">
      <alignment horizontal="center"/>
    </xf>
    <xf numFmtId="164" fontId="8" fillId="0" borderId="0" xfId="47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4" fontId="8" fillId="0" borderId="0" xfId="55" applyFont="1" applyBorder="1" applyAlignment="1">
      <alignment horizontal="right"/>
    </xf>
    <xf numFmtId="44" fontId="25" fillId="0" borderId="16" xfId="55" applyFont="1" applyBorder="1" applyAlignment="1">
      <alignment/>
    </xf>
    <xf numFmtId="44" fontId="104" fillId="0" borderId="0" xfId="52" applyFont="1" applyAlignment="1">
      <alignment/>
    </xf>
    <xf numFmtId="44" fontId="2" fillId="0" borderId="0" xfId="53" applyFont="1" applyAlignment="1">
      <alignment/>
    </xf>
    <xf numFmtId="43" fontId="13" fillId="0" borderId="0" xfId="45" applyFont="1" applyAlignment="1">
      <alignment/>
    </xf>
    <xf numFmtId="44" fontId="13" fillId="0" borderId="0" xfId="53" applyFont="1" applyAlignment="1">
      <alignment/>
    </xf>
    <xf numFmtId="10" fontId="9" fillId="0" borderId="0" xfId="82" applyNumberFormat="1" applyFont="1" applyAlignment="1">
      <alignment/>
    </xf>
    <xf numFmtId="164" fontId="13" fillId="0" borderId="0" xfId="44" applyNumberFormat="1" applyFont="1" applyAlignment="1">
      <alignment/>
    </xf>
    <xf numFmtId="166" fontId="13" fillId="0" borderId="0" xfId="52" applyNumberFormat="1" applyFont="1" applyAlignment="1">
      <alignment/>
    </xf>
    <xf numFmtId="43" fontId="98" fillId="0" borderId="0" xfId="45" applyFont="1" applyAlignment="1">
      <alignment/>
    </xf>
    <xf numFmtId="10" fontId="26" fillId="0" borderId="0" xfId="82" applyNumberFormat="1" applyFont="1" applyAlignment="1">
      <alignment/>
    </xf>
    <xf numFmtId="0" fontId="0" fillId="0" borderId="0" xfId="0" applyFont="1" applyAlignment="1">
      <alignment/>
    </xf>
    <xf numFmtId="189" fontId="0" fillId="0" borderId="0" xfId="42" applyNumberFormat="1" applyFont="1" applyAlignment="1">
      <alignment/>
    </xf>
    <xf numFmtId="189" fontId="0" fillId="0" borderId="0" xfId="42" applyNumberFormat="1" applyFont="1" applyBorder="1" applyAlignment="1">
      <alignment/>
    </xf>
    <xf numFmtId="189" fontId="0" fillId="0" borderId="17" xfId="42" applyNumberFormat="1" applyFont="1" applyBorder="1" applyAlignment="1">
      <alignment/>
    </xf>
    <xf numFmtId="176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0" fontId="4" fillId="0" borderId="0" xfId="79" applyNumberFormat="1" applyFont="1" applyBorder="1" applyAlignment="1">
      <alignment/>
    </xf>
    <xf numFmtId="37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25" fillId="0" borderId="18" xfId="0" applyNumberFormat="1" applyFont="1" applyBorder="1" applyAlignment="1" applyProtection="1">
      <alignment/>
      <protection locked="0"/>
    </xf>
    <xf numFmtId="44" fontId="2" fillId="0" borderId="0" xfId="55" applyFont="1" applyBorder="1" applyAlignment="1" applyProtection="1">
      <alignment/>
      <protection/>
    </xf>
    <xf numFmtId="166" fontId="2" fillId="0" borderId="0" xfId="55" applyNumberFormat="1" applyFont="1" applyAlignment="1" applyProtection="1">
      <alignment/>
      <protection/>
    </xf>
    <xf numFmtId="44" fontId="2" fillId="0" borderId="0" xfId="55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166" fontId="13" fillId="0" borderId="0" xfId="55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/>
      <protection/>
    </xf>
    <xf numFmtId="166" fontId="105" fillId="0" borderId="0" xfId="53" applyNumberFormat="1" applyFont="1" applyAlignment="1">
      <alignment/>
    </xf>
    <xf numFmtId="44" fontId="105" fillId="0" borderId="0" xfId="53" applyFont="1" applyAlignment="1">
      <alignment/>
    </xf>
    <xf numFmtId="43" fontId="105" fillId="0" borderId="0" xfId="45" applyFont="1" applyAlignment="1">
      <alignment/>
    </xf>
    <xf numFmtId="43" fontId="2" fillId="0" borderId="0" xfId="45" applyFont="1" applyAlignment="1" applyProtection="1">
      <alignment/>
      <protection/>
    </xf>
    <xf numFmtId="0" fontId="106" fillId="0" borderId="0" xfId="72" applyFont="1">
      <alignment/>
      <protection/>
    </xf>
    <xf numFmtId="44" fontId="106" fillId="0" borderId="0" xfId="52" applyFont="1" applyAlignment="1">
      <alignment/>
    </xf>
    <xf numFmtId="43" fontId="106" fillId="0" borderId="0" xfId="45" applyFont="1" applyAlignment="1">
      <alignment/>
    </xf>
    <xf numFmtId="44" fontId="106" fillId="0" borderId="0" xfId="53" applyFont="1" applyAlignment="1">
      <alignment/>
    </xf>
    <xf numFmtId="10" fontId="106" fillId="0" borderId="0" xfId="80" applyNumberFormat="1" applyFont="1" applyAlignment="1">
      <alignment/>
    </xf>
    <xf numFmtId="164" fontId="106" fillId="0" borderId="0" xfId="44" applyNumberFormat="1" applyFont="1" applyAlignment="1">
      <alignment/>
    </xf>
    <xf numFmtId="0" fontId="107" fillId="0" borderId="0" xfId="72" applyFont="1" applyAlignment="1">
      <alignment horizontal="center"/>
      <protection/>
    </xf>
    <xf numFmtId="0" fontId="107" fillId="0" borderId="0" xfId="72" applyFont="1">
      <alignment/>
      <protection/>
    </xf>
    <xf numFmtId="164" fontId="107" fillId="0" borderId="0" xfId="44" applyNumberFormat="1" applyFont="1" applyAlignment="1">
      <alignment horizontal="center"/>
    </xf>
    <xf numFmtId="44" fontId="107" fillId="0" borderId="0" xfId="52" applyFont="1" applyAlignment="1">
      <alignment horizontal="center"/>
    </xf>
    <xf numFmtId="164" fontId="108" fillId="0" borderId="0" xfId="44" applyNumberFormat="1" applyFont="1" applyAlignment="1">
      <alignment horizontal="center"/>
    </xf>
    <xf numFmtId="0" fontId="109" fillId="0" borderId="0" xfId="72" applyFont="1">
      <alignment/>
      <protection/>
    </xf>
    <xf numFmtId="44" fontId="109" fillId="0" borderId="0" xfId="52" applyFont="1" applyAlignment="1">
      <alignment horizontal="center"/>
    </xf>
    <xf numFmtId="0" fontId="109" fillId="0" borderId="0" xfId="72" applyFont="1" applyAlignment="1">
      <alignment horizontal="center"/>
      <protection/>
    </xf>
    <xf numFmtId="0" fontId="109" fillId="0" borderId="0" xfId="72" applyFont="1" applyAlignment="1" quotePrefix="1">
      <alignment horizontal="center"/>
      <protection/>
    </xf>
    <xf numFmtId="164" fontId="107" fillId="0" borderId="0" xfId="44" applyNumberFormat="1" applyFont="1" applyAlignment="1">
      <alignment/>
    </xf>
    <xf numFmtId="10" fontId="107" fillId="0" borderId="0" xfId="72" applyNumberFormat="1" applyFont="1">
      <alignment/>
      <protection/>
    </xf>
    <xf numFmtId="44" fontId="107" fillId="0" borderId="0" xfId="53" applyFont="1" applyAlignment="1">
      <alignment/>
    </xf>
    <xf numFmtId="43" fontId="107" fillId="0" borderId="0" xfId="45" applyFont="1" applyAlignment="1">
      <alignment/>
    </xf>
    <xf numFmtId="0" fontId="106" fillId="0" borderId="0" xfId="72" applyFont="1" applyAlignment="1">
      <alignment horizontal="center"/>
      <protection/>
    </xf>
    <xf numFmtId="44" fontId="110" fillId="0" borderId="0" xfId="52" applyFont="1" applyAlignment="1">
      <alignment/>
    </xf>
    <xf numFmtId="166" fontId="106" fillId="0" borderId="0" xfId="52" applyNumberFormat="1" applyFont="1" applyAlignment="1">
      <alignment/>
    </xf>
    <xf numFmtId="164" fontId="111" fillId="0" borderId="0" xfId="44" applyNumberFormat="1" applyFont="1" applyAlignment="1">
      <alignment/>
    </xf>
    <xf numFmtId="44" fontId="111" fillId="0" borderId="0" xfId="53" applyFont="1" applyAlignment="1">
      <alignment/>
    </xf>
    <xf numFmtId="166" fontId="111" fillId="0" borderId="0" xfId="52" applyNumberFormat="1" applyFont="1" applyAlignment="1">
      <alignment/>
    </xf>
    <xf numFmtId="164" fontId="108" fillId="0" borderId="0" xfId="44" applyNumberFormat="1" applyFont="1" applyAlignment="1">
      <alignment/>
    </xf>
    <xf numFmtId="166" fontId="108" fillId="0" borderId="0" xfId="72" applyNumberFormat="1" applyFont="1">
      <alignment/>
      <protection/>
    </xf>
    <xf numFmtId="10" fontId="108" fillId="0" borderId="0" xfId="80" applyNumberFormat="1" applyFont="1" applyAlignment="1">
      <alignment/>
    </xf>
    <xf numFmtId="44" fontId="108" fillId="0" borderId="0" xfId="53" applyFont="1" applyAlignment="1">
      <alignment/>
    </xf>
    <xf numFmtId="43" fontId="108" fillId="0" borderId="0" xfId="45" applyFont="1" applyAlignment="1">
      <alignment/>
    </xf>
    <xf numFmtId="10" fontId="112" fillId="0" borderId="0" xfId="80" applyNumberFormat="1" applyFont="1" applyAlignment="1">
      <alignment/>
    </xf>
    <xf numFmtId="10" fontId="27" fillId="0" borderId="0" xfId="83" applyNumberFormat="1" applyFont="1" applyFill="1" applyAlignment="1">
      <alignment/>
    </xf>
    <xf numFmtId="44" fontId="27" fillId="0" borderId="0" xfId="53" applyFont="1" applyFill="1" applyAlignment="1">
      <alignment/>
    </xf>
    <xf numFmtId="43" fontId="27" fillId="0" borderId="0" xfId="45" applyFont="1" applyFill="1" applyAlignment="1">
      <alignment/>
    </xf>
    <xf numFmtId="164" fontId="113" fillId="0" borderId="0" xfId="44" applyNumberFormat="1" applyFont="1" applyAlignment="1">
      <alignment/>
    </xf>
    <xf numFmtId="44" fontId="114" fillId="0" borderId="0" xfId="52" applyFont="1" applyAlignment="1">
      <alignment/>
    </xf>
    <xf numFmtId="166" fontId="113" fillId="0" borderId="0" xfId="72" applyNumberFormat="1" applyFont="1">
      <alignment/>
      <protection/>
    </xf>
    <xf numFmtId="44" fontId="113" fillId="0" borderId="0" xfId="53" applyFont="1" applyAlignment="1">
      <alignment/>
    </xf>
    <xf numFmtId="43" fontId="113" fillId="0" borderId="0" xfId="45" applyFont="1" applyAlignment="1">
      <alignment/>
    </xf>
    <xf numFmtId="166" fontId="112" fillId="0" borderId="0" xfId="53" applyNumberFormat="1" applyFont="1" applyAlignment="1">
      <alignment/>
    </xf>
    <xf numFmtId="10" fontId="112" fillId="0" borderId="0" xfId="53" applyNumberFormat="1" applyFont="1" applyAlignment="1">
      <alignment/>
    </xf>
    <xf numFmtId="43" fontId="112" fillId="0" borderId="0" xfId="45" applyFont="1" applyAlignment="1">
      <alignment/>
    </xf>
    <xf numFmtId="166" fontId="106" fillId="0" borderId="0" xfId="72" applyNumberFormat="1" applyFont="1">
      <alignment/>
      <protection/>
    </xf>
    <xf numFmtId="166" fontId="108" fillId="0" borderId="0" xfId="52" applyNumberFormat="1" applyFont="1" applyAlignment="1">
      <alignment/>
    </xf>
    <xf numFmtId="164" fontId="106" fillId="0" borderId="0" xfId="72" applyNumberFormat="1" applyFont="1">
      <alignment/>
      <protection/>
    </xf>
    <xf numFmtId="166" fontId="113" fillId="0" borderId="0" xfId="53" applyNumberFormat="1" applyFont="1" applyAlignment="1">
      <alignment/>
    </xf>
    <xf numFmtId="166" fontId="106" fillId="0" borderId="0" xfId="53" applyNumberFormat="1" applyFont="1" applyAlignment="1">
      <alignment/>
    </xf>
    <xf numFmtId="0" fontId="115" fillId="0" borderId="0" xfId="72" applyFont="1">
      <alignment/>
      <protection/>
    </xf>
    <xf numFmtId="164" fontId="115" fillId="0" borderId="0" xfId="44" applyNumberFormat="1" applyFont="1" applyAlignment="1">
      <alignment/>
    </xf>
    <xf numFmtId="0" fontId="115" fillId="0" borderId="0" xfId="72" applyFont="1" applyAlignment="1">
      <alignment horizontal="center"/>
      <protection/>
    </xf>
    <xf numFmtId="44" fontId="116" fillId="0" borderId="0" xfId="52" applyFont="1" applyAlignment="1">
      <alignment/>
    </xf>
    <xf numFmtId="10" fontId="28" fillId="0" borderId="0" xfId="83" applyNumberFormat="1" applyFont="1" applyFill="1" applyAlignment="1">
      <alignment/>
    </xf>
    <xf numFmtId="44" fontId="28" fillId="0" borderId="0" xfId="53" applyFont="1" applyFill="1" applyAlignment="1">
      <alignment/>
    </xf>
    <xf numFmtId="43" fontId="28" fillId="0" borderId="0" xfId="45" applyFont="1" applyFill="1" applyAlignment="1">
      <alignment/>
    </xf>
    <xf numFmtId="0" fontId="117" fillId="0" borderId="0" xfId="72" applyFont="1">
      <alignment/>
      <protection/>
    </xf>
    <xf numFmtId="166" fontId="2" fillId="0" borderId="0" xfId="53" applyNumberFormat="1" applyFont="1" applyAlignment="1">
      <alignment/>
    </xf>
    <xf numFmtId="166" fontId="13" fillId="0" borderId="0" xfId="53" applyNumberFormat="1" applyFont="1" applyAlignment="1">
      <alignment/>
    </xf>
    <xf numFmtId="166" fontId="108" fillId="0" borderId="0" xfId="53" applyNumberFormat="1" applyFont="1" applyAlignment="1">
      <alignment/>
    </xf>
    <xf numFmtId="166" fontId="107" fillId="0" borderId="0" xfId="72" applyNumberFormat="1" applyFont="1">
      <alignment/>
      <protection/>
    </xf>
    <xf numFmtId="166" fontId="107" fillId="0" borderId="0" xfId="53" applyNumberFormat="1" applyFont="1" applyAlignment="1">
      <alignment/>
    </xf>
    <xf numFmtId="166" fontId="28" fillId="0" borderId="0" xfId="83" applyNumberFormat="1" applyFont="1" applyFill="1" applyAlignment="1">
      <alignment/>
    </xf>
    <xf numFmtId="44" fontId="13" fillId="0" borderId="0" xfId="56" applyFont="1" applyBorder="1" applyAlignment="1">
      <alignment/>
    </xf>
    <xf numFmtId="191" fontId="118" fillId="0" borderId="0" xfId="69" applyNumberFormat="1" applyFont="1" applyBorder="1" applyAlignment="1">
      <alignment horizontal="center"/>
      <protection/>
    </xf>
    <xf numFmtId="10" fontId="2" fillId="0" borderId="0" xfId="79" applyNumberFormat="1" applyFont="1" applyAlignment="1">
      <alignment/>
    </xf>
    <xf numFmtId="166" fontId="2" fillId="0" borderId="0" xfId="50" applyNumberFormat="1" applyFont="1" applyBorder="1" applyAlignment="1">
      <alignment/>
    </xf>
    <xf numFmtId="166" fontId="13" fillId="0" borderId="0" xfId="50" applyNumberFormat="1" applyFont="1" applyBorder="1" applyAlignment="1">
      <alignment/>
    </xf>
    <xf numFmtId="166" fontId="15" fillId="0" borderId="0" xfId="50" applyNumberFormat="1" applyFont="1" applyBorder="1" applyAlignment="1">
      <alignment/>
    </xf>
    <xf numFmtId="0" fontId="119" fillId="0" borderId="0" xfId="72" applyFont="1" applyAlignment="1">
      <alignment horizontal="center"/>
      <protection/>
    </xf>
    <xf numFmtId="44" fontId="106" fillId="0" borderId="0" xfId="50" applyFont="1" applyAlignment="1">
      <alignment/>
    </xf>
    <xf numFmtId="0" fontId="0" fillId="0" borderId="0" xfId="72" applyFont="1">
      <alignment/>
      <protection/>
    </xf>
    <xf numFmtId="0" fontId="4" fillId="0" borderId="0" xfId="0" applyFont="1" applyBorder="1" applyAlignment="1">
      <alignment horizontal="center"/>
    </xf>
    <xf numFmtId="166" fontId="120" fillId="0" borderId="0" xfId="53" applyNumberFormat="1" applyFont="1" applyAlignment="1">
      <alignment/>
    </xf>
    <xf numFmtId="10" fontId="29" fillId="0" borderId="0" xfId="83" applyNumberFormat="1" applyFont="1" applyFill="1" applyAlignment="1">
      <alignment/>
    </xf>
    <xf numFmtId="10" fontId="30" fillId="0" borderId="0" xfId="83" applyNumberFormat="1" applyFont="1" applyFill="1" applyAlignment="1">
      <alignment/>
    </xf>
    <xf numFmtId="166" fontId="107" fillId="0" borderId="0" xfId="52" applyNumberFormat="1" applyFont="1" applyAlignment="1">
      <alignment/>
    </xf>
    <xf numFmtId="44" fontId="121" fillId="0" borderId="0" xfId="56" applyFont="1" applyBorder="1" applyAlignment="1">
      <alignment/>
    </xf>
    <xf numFmtId="43" fontId="106" fillId="0" borderId="0" xfId="72" applyNumberFormat="1" applyFont="1">
      <alignment/>
      <protection/>
    </xf>
    <xf numFmtId="166" fontId="27" fillId="0" borderId="0" xfId="50" applyNumberFormat="1" applyFont="1" applyFill="1" applyAlignment="1">
      <alignment/>
    </xf>
    <xf numFmtId="166" fontId="14" fillId="0" borderId="0" xfId="69" applyNumberFormat="1" applyFont="1" applyBorder="1">
      <alignment/>
      <protection/>
    </xf>
    <xf numFmtId="0" fontId="2" fillId="0" borderId="0" xfId="69" applyAlignment="1">
      <alignment horizontal="center"/>
      <protection/>
    </xf>
    <xf numFmtId="0" fontId="33" fillId="0" borderId="0" xfId="69" applyFont="1" applyBorder="1">
      <alignment/>
      <protection/>
    </xf>
    <xf numFmtId="0" fontId="91" fillId="35" borderId="17" xfId="0" applyFont="1" applyFill="1" applyBorder="1" applyAlignment="1">
      <alignment horizontal="center"/>
    </xf>
    <xf numFmtId="174" fontId="2" fillId="0" borderId="0" xfId="0" applyNumberFormat="1" applyFont="1" applyFill="1" applyAlignment="1" applyProtection="1">
      <alignment horizontal="right"/>
      <protection/>
    </xf>
    <xf numFmtId="10" fontId="93" fillId="0" borderId="0" xfId="79" applyNumberFormat="1" applyFont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6" xfId="47"/>
    <cellStyle name="Comma 2 6 2" xfId="48"/>
    <cellStyle name="Comma 3" xfId="49"/>
    <cellStyle name="Currency" xfId="50"/>
    <cellStyle name="Currency [0]" xfId="51"/>
    <cellStyle name="Currency 11" xfId="52"/>
    <cellStyle name="Currency 2" xfId="53"/>
    <cellStyle name="Currency 2 2" xfId="54"/>
    <cellStyle name="Currency 2 6" xfId="55"/>
    <cellStyle name="Currency 2 6 2" xfId="56"/>
    <cellStyle name="Currency 3" xfId="57"/>
    <cellStyle name="Currency 4" xfId="58"/>
    <cellStyle name="Currency 4 2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10 2" xfId="69"/>
    <cellStyle name="Normal 2" xfId="70"/>
    <cellStyle name="Normal 2 2" xfId="71"/>
    <cellStyle name="Normal 21" xfId="72"/>
    <cellStyle name="Normal 3" xfId="73"/>
    <cellStyle name="Normal 4" xfId="74"/>
    <cellStyle name="Normal 5" xfId="75"/>
    <cellStyle name="Normal 6" xfId="76"/>
    <cellStyle name="Note" xfId="77"/>
    <cellStyle name="Output" xfId="78"/>
    <cellStyle name="Percent" xfId="79"/>
    <cellStyle name="Percent 2" xfId="80"/>
    <cellStyle name="Percent 2 2" xfId="81"/>
    <cellStyle name="Percent 2 6" xfId="82"/>
    <cellStyle name="Percent 2 6 2" xfId="83"/>
    <cellStyle name="Percent 3" xfId="84"/>
    <cellStyle name="Percent 3 2" xfId="85"/>
    <cellStyle name="Percent 4" xfId="86"/>
    <cellStyle name="PS_Comma" xfId="87"/>
    <cellStyle name="PSChar" xfId="88"/>
    <cellStyle name="PSDate" xfId="89"/>
    <cellStyle name="PSDec" xfId="90"/>
    <cellStyle name="PSHeading" xfId="91"/>
    <cellStyle name="PSInt" xfId="92"/>
    <cellStyle name="PSSpacer" xfId="93"/>
    <cellStyle name="Title" xfId="94"/>
    <cellStyle name="Total" xfId="95"/>
    <cellStyle name="Warning Text" xfId="96"/>
    <cellStyle name="WM_STANDARD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weinst\Documents\WM%20Spokane\2014%20Rate%20Case\STAFF%20Rate%20Model%20TG-143889%20revised%202015-02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Legend"/>
      <sheetName val="Checklist"/>
      <sheetName val="Combined WTB"/>
      <sheetName val="STAFF Adjustments"/>
      <sheetName val="Summary of Restating Adj."/>
      <sheetName val="Summary of Pro Forma Adj."/>
      <sheetName val="Garbage WTB"/>
      <sheetName val="CM Garbage"/>
      <sheetName val="CM Recycle"/>
      <sheetName val="RS Garbage"/>
      <sheetName val="RS Recycling"/>
      <sheetName val="RS Yard Waste"/>
      <sheetName val="Rolloff"/>
      <sheetName val="OTHER CORE"/>
      <sheetName val="Monthly IS"/>
      <sheetName val="Total Billed Revenue"/>
      <sheetName val="Roll Off Disposal Revenue"/>
      <sheetName val="City of Airway Heights"/>
      <sheetName val="City of Deer Park"/>
      <sheetName val="City of Liberty Lake"/>
      <sheetName val="City of Spokane Valley"/>
      <sheetName val="Other Non-Reg"/>
      <sheetName val="WUTC - City of Millwood"/>
      <sheetName val="WUTC - Spokane County"/>
      <sheetName val="2013-2014 Rate Case Effects"/>
      <sheetName val="Revenue Summary"/>
      <sheetName val="Lurito - Total"/>
      <sheetName val="Lurito Total-Staff"/>
      <sheetName val="Lurito Garbage-Staff"/>
      <sheetName val="LG YW - Staff"/>
      <sheetName val="LG Rec - Staff"/>
      <sheetName val="Lurito - Res'l YW"/>
      <sheetName val="Lurito - Res'l Rec."/>
      <sheetName val="MF Revenue"/>
      <sheetName val="WUTC Millwood"/>
      <sheetName val="WUTC Spokane County"/>
      <sheetName val="Customer Count Summary"/>
      <sheetName val="Add'l Cart Price"/>
      <sheetName val="Total WUTC Priceout"/>
      <sheetName val="Balance Sheet"/>
      <sheetName val="Fixed Asset Detail listing"/>
      <sheetName val="Current Trucks"/>
      <sheetName val="Truck Inventory @ end of 2013"/>
      <sheetName val="Fixed Asset Reconciliation"/>
      <sheetName val="Additions"/>
      <sheetName val="Transfers"/>
      <sheetName val="Retirements"/>
      <sheetName val="Payroll Reconciliation"/>
      <sheetName val="Payroll Register"/>
      <sheetName val="Payroll Detail"/>
      <sheetName val="Wage Scale"/>
      <sheetName val="Union H &amp; W"/>
      <sheetName val="Summary of Cost Allocators"/>
      <sheetName val="CM RL"/>
      <sheetName val="RS FL"/>
      <sheetName val="RS RCY"/>
      <sheetName val="RS YW"/>
      <sheetName val="Yardage Allocation"/>
      <sheetName val="Mixed Route Analysis"/>
      <sheetName val="Mixed Route Pivot"/>
      <sheetName val="Quarter Mile Data"/>
      <sheetName val="RO Data"/>
      <sheetName val="Disposal Summary"/>
      <sheetName val="Com'l FL"/>
      <sheetName val="Com'l RL"/>
      <sheetName val="Res'l FL"/>
      <sheetName val="Com'l FL Rec."/>
      <sheetName val="Com'l Organics"/>
      <sheetName val="Res'l YW"/>
      <sheetName val="Roll Off Disposal"/>
      <sheetName val="Res'l Rec."/>
      <sheetName val="Fuel Analysis"/>
      <sheetName val="Fuel Update"/>
      <sheetName val="Fuel Invoices_ Prices"/>
      <sheetName val="Overhead Summary"/>
      <sheetName val="Corporate OH by Dept."/>
      <sheetName val="Corporate Allowable Cost"/>
      <sheetName val="Area Expenses by Dept."/>
      <sheetName val="PNW - Call Center Cost"/>
      <sheetName val="Hours &amp; Services"/>
      <sheetName val="Revenue"/>
      <sheetName val="Total Operating Cost"/>
      <sheetName val="Head Count"/>
      <sheetName val="Northern Tier G &amp; A"/>
      <sheetName val="Northern Tier Financials"/>
      <sheetName val="Container Shop Allocation"/>
      <sheetName val="WRRA fees"/>
      <sheetName val="MRF ROR Analysis"/>
      <sheetName val="SMaRT Inc. Statement"/>
      <sheetName val="SMaRT Fixed Assets"/>
      <sheetName val="Franchise Fee Drill"/>
    </sheetNames>
    <sheetDataSet>
      <sheetData sheetId="7">
        <row r="64">
          <cell r="W64">
            <v>1014885.9538938212</v>
          </cell>
        </row>
        <row r="65">
          <cell r="W65">
            <v>73647.14356042023</v>
          </cell>
        </row>
      </sheetData>
      <sheetData sheetId="9">
        <row r="64">
          <cell r="W64">
            <v>1921367.4894077124</v>
          </cell>
        </row>
        <row r="65">
          <cell r="W65">
            <v>48509.28401689744</v>
          </cell>
        </row>
      </sheetData>
      <sheetData sheetId="11">
        <row r="64">
          <cell r="W64">
            <v>390156.06938157487</v>
          </cell>
          <cell r="Y64">
            <v>0.47494862821979134</v>
          </cell>
        </row>
      </sheetData>
      <sheetData sheetId="26">
        <row r="40">
          <cell r="H40">
            <v>0.2681969599475377</v>
          </cell>
        </row>
      </sheetData>
      <sheetData sheetId="31">
        <row r="3">
          <cell r="E3">
            <v>1497754.7730090262</v>
          </cell>
        </row>
      </sheetData>
      <sheetData sheetId="35">
        <row r="79">
          <cell r="B79">
            <v>4</v>
          </cell>
          <cell r="C7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PageLayoutView="0" workbookViewId="0" topLeftCell="A1">
      <selection activeCell="Q12" sqref="Q12:U15"/>
    </sheetView>
  </sheetViews>
  <sheetFormatPr defaultColWidth="9.140625" defaultRowHeight="15"/>
  <cols>
    <col min="8" max="8" width="9.28125" style="0" bestFit="1" customWidth="1"/>
    <col min="9" max="9" width="3.7109375" style="0" customWidth="1"/>
    <col min="10" max="10" width="18.8515625" style="66" bestFit="1" customWidth="1"/>
    <col min="11" max="11" width="4.7109375" style="0" bestFit="1" customWidth="1"/>
    <col min="12" max="12" width="15.57421875" style="65" bestFit="1" customWidth="1"/>
    <col min="13" max="13" width="6.00390625" style="65" customWidth="1"/>
    <col min="14" max="14" width="18.8515625" style="65" bestFit="1" customWidth="1"/>
    <col min="15" max="15" width="6.421875" style="65" customWidth="1"/>
    <col min="16" max="16" width="12.28125" style="0" bestFit="1" customWidth="1"/>
    <col min="17" max="17" width="11.57421875" style="0" bestFit="1" customWidth="1"/>
  </cols>
  <sheetData>
    <row r="1" spans="1:8" ht="23.25">
      <c r="A1" s="131" t="s">
        <v>17</v>
      </c>
      <c r="B1" s="12"/>
      <c r="C1" s="13"/>
      <c r="D1" s="13"/>
      <c r="E1" s="13"/>
      <c r="F1" s="13"/>
      <c r="G1" s="19"/>
      <c r="H1" s="20"/>
    </row>
    <row r="2" spans="1:8" ht="20.25">
      <c r="A2" s="11" t="s">
        <v>18</v>
      </c>
      <c r="B2" s="12"/>
      <c r="C2" s="13"/>
      <c r="D2" s="13"/>
      <c r="E2" s="13"/>
      <c r="F2" s="10"/>
      <c r="G2" s="14"/>
      <c r="H2" s="15"/>
    </row>
    <row r="3" spans="1:8" ht="18">
      <c r="A3" s="16" t="s">
        <v>82</v>
      </c>
      <c r="B3" s="13"/>
      <c r="C3" s="17"/>
      <c r="D3" s="18"/>
      <c r="E3" s="18"/>
      <c r="F3" s="10"/>
      <c r="G3" s="19"/>
      <c r="H3" s="20"/>
    </row>
    <row r="4" spans="1:11" ht="15.75">
      <c r="A4" s="126" t="s">
        <v>83</v>
      </c>
      <c r="B4" s="21"/>
      <c r="C4" s="21"/>
      <c r="D4" s="21"/>
      <c r="E4" s="21"/>
      <c r="F4" s="21"/>
      <c r="G4" s="21"/>
      <c r="H4" s="21"/>
      <c r="J4" s="67"/>
      <c r="K4" s="61"/>
    </row>
    <row r="5" spans="1:12" ht="15.75">
      <c r="A5" s="21"/>
      <c r="B5" s="21"/>
      <c r="C5" s="21"/>
      <c r="D5" s="21"/>
      <c r="E5" s="21"/>
      <c r="F5" s="21"/>
      <c r="G5" s="21"/>
      <c r="H5" s="21"/>
      <c r="J5" s="67"/>
      <c r="K5" s="61"/>
      <c r="L5" s="118">
        <v>2017</v>
      </c>
    </row>
    <row r="6" spans="1:25" ht="15.75">
      <c r="A6" s="21"/>
      <c r="B6" s="21"/>
      <c r="C6" s="21"/>
      <c r="D6" s="21"/>
      <c r="E6" s="21"/>
      <c r="F6" s="21"/>
      <c r="G6" s="21"/>
      <c r="H6" s="21"/>
      <c r="I6" s="61"/>
      <c r="J6" s="67"/>
      <c r="K6" s="61"/>
      <c r="L6" s="119" t="s">
        <v>4</v>
      </c>
      <c r="M6" s="120"/>
      <c r="N6" s="120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5.75">
      <c r="A7" s="22"/>
      <c r="B7" s="22"/>
      <c r="C7" s="22"/>
      <c r="D7" s="22"/>
      <c r="E7" s="22"/>
      <c r="F7" s="22"/>
      <c r="G7" s="22"/>
      <c r="H7" s="22"/>
      <c r="I7" s="61"/>
      <c r="J7" s="68" t="s">
        <v>4</v>
      </c>
      <c r="K7" s="61"/>
      <c r="L7" s="119" t="s">
        <v>65</v>
      </c>
      <c r="M7" s="120"/>
      <c r="N7" s="120" t="s">
        <v>4</v>
      </c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" ht="17.25">
      <c r="A8" s="13"/>
      <c r="B8" s="23"/>
      <c r="C8" s="24"/>
      <c r="D8" s="25"/>
      <c r="E8" s="25"/>
      <c r="F8" s="26"/>
      <c r="G8" s="27"/>
      <c r="H8" s="69" t="s">
        <v>81</v>
      </c>
      <c r="I8" s="61"/>
      <c r="J8" s="69" t="s">
        <v>61</v>
      </c>
      <c r="K8" s="61"/>
      <c r="L8" s="121" t="s">
        <v>77</v>
      </c>
      <c r="M8" s="122"/>
      <c r="N8" s="122" t="s">
        <v>61</v>
      </c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ht="15.75">
      <c r="A9" s="10"/>
      <c r="B9" s="10"/>
      <c r="C9" s="28"/>
      <c r="D9" s="29"/>
      <c r="E9" s="29"/>
      <c r="F9" s="29"/>
      <c r="G9" s="29"/>
      <c r="H9" s="30"/>
      <c r="I9" s="61"/>
      <c r="J9" s="67"/>
      <c r="K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15.75">
      <c r="A10" s="31" t="s">
        <v>19</v>
      </c>
      <c r="B10" s="32"/>
      <c r="C10" s="33"/>
      <c r="D10" s="33"/>
      <c r="E10" s="33"/>
      <c r="F10" s="33"/>
      <c r="G10" s="33"/>
      <c r="H10" s="34"/>
      <c r="I10" s="61"/>
      <c r="J10" s="67"/>
      <c r="K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5.75">
      <c r="A11" s="35" t="s">
        <v>20</v>
      </c>
      <c r="B11" s="36"/>
      <c r="C11" s="21"/>
      <c r="D11" s="21"/>
      <c r="E11" s="21"/>
      <c r="F11" s="21"/>
      <c r="G11" s="21"/>
      <c r="H11" s="37"/>
      <c r="I11" s="61"/>
      <c r="J11" s="67"/>
      <c r="K11" s="61"/>
      <c r="P11" s="61"/>
      <c r="Q11" s="61"/>
      <c r="R11" s="61"/>
      <c r="S11" s="61"/>
      <c r="T11" s="61"/>
      <c r="U11" s="61"/>
      <c r="V11" s="61"/>
      <c r="W11" s="61"/>
      <c r="X11" s="61"/>
      <c r="Y11" s="61"/>
    </row>
    <row r="12" spans="1:25" ht="15.75">
      <c r="A12" s="38" t="s">
        <v>21</v>
      </c>
      <c r="B12" s="10"/>
      <c r="C12" s="10"/>
      <c r="D12" s="10"/>
      <c r="E12" s="10"/>
      <c r="F12" s="10"/>
      <c r="G12" s="10"/>
      <c r="H12" s="39" t="s">
        <v>22</v>
      </c>
      <c r="I12" s="61"/>
      <c r="J12" s="117">
        <v>2581287</v>
      </c>
      <c r="K12" s="130" t="s">
        <v>78</v>
      </c>
      <c r="L12" s="117">
        <f>+'Disposal Summary'!L13+'Disposal Summary'!M13</f>
        <v>38389.069020694755</v>
      </c>
      <c r="N12" s="123">
        <f>+L12+J12</f>
        <v>2619676.0690206946</v>
      </c>
      <c r="P12" s="61"/>
      <c r="Q12" s="282"/>
      <c r="R12" s="61"/>
      <c r="S12" s="61"/>
      <c r="T12" s="61"/>
      <c r="U12" s="61"/>
      <c r="V12" s="61"/>
      <c r="W12" s="61"/>
      <c r="X12" s="61"/>
      <c r="Y12" s="61"/>
    </row>
    <row r="13" spans="1:25" ht="15.75">
      <c r="A13" s="38" t="s">
        <v>23</v>
      </c>
      <c r="B13" s="10"/>
      <c r="C13" s="10"/>
      <c r="D13" s="10"/>
      <c r="E13" s="10"/>
      <c r="F13" s="10"/>
      <c r="G13" s="10"/>
      <c r="H13" s="39"/>
      <c r="I13" s="61"/>
      <c r="J13" s="67">
        <v>145753</v>
      </c>
      <c r="K13" s="61"/>
      <c r="N13" s="67">
        <f>+L13+J13</f>
        <v>145753</v>
      </c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ht="15.75">
      <c r="A14" s="38" t="s">
        <v>24</v>
      </c>
      <c r="B14" s="10"/>
      <c r="C14" s="10"/>
      <c r="D14" s="10"/>
      <c r="E14" s="41"/>
      <c r="F14" s="10"/>
      <c r="G14" s="10"/>
      <c r="H14" s="39" t="s">
        <v>25</v>
      </c>
      <c r="I14" s="61"/>
      <c r="J14" s="67">
        <v>5596902</v>
      </c>
      <c r="K14" s="130" t="s">
        <v>78</v>
      </c>
      <c r="L14" s="67">
        <f>+'Disposal Summary'!L20+'Disposal Summary'!M20</f>
        <v>69894.98284577913</v>
      </c>
      <c r="N14" s="67">
        <f aca="true" t="shared" si="0" ref="N14:N22">+L14+J14</f>
        <v>5666796.9828457795</v>
      </c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ht="15.75">
      <c r="A15" s="38" t="s">
        <v>26</v>
      </c>
      <c r="B15" s="10"/>
      <c r="C15" s="10"/>
      <c r="D15" s="10"/>
      <c r="E15" s="10"/>
      <c r="F15" s="10"/>
      <c r="G15" s="10"/>
      <c r="H15" s="39" t="s">
        <v>27</v>
      </c>
      <c r="I15" s="61"/>
      <c r="J15" s="67">
        <v>1504719</v>
      </c>
      <c r="K15" s="130" t="s">
        <v>78</v>
      </c>
      <c r="L15" s="67">
        <f>+'Disposal Summary'!L38+'Disposal Summary'!M38</f>
        <v>24867.822671413054</v>
      </c>
      <c r="N15" s="67">
        <f t="shared" si="0"/>
        <v>1529586.822671413</v>
      </c>
      <c r="P15" s="61"/>
      <c r="Q15" s="133"/>
      <c r="R15" s="133"/>
      <c r="S15" s="282"/>
      <c r="T15" s="61"/>
      <c r="U15" s="61"/>
      <c r="V15" s="61"/>
      <c r="W15" s="61"/>
      <c r="X15" s="61"/>
      <c r="Y15" s="61"/>
    </row>
    <row r="16" spans="1:25" ht="15.75">
      <c r="A16" s="38" t="s">
        <v>28</v>
      </c>
      <c r="B16" s="10"/>
      <c r="C16" s="10"/>
      <c r="D16" s="10"/>
      <c r="E16" s="10"/>
      <c r="F16" s="10"/>
      <c r="G16" s="10"/>
      <c r="H16" s="39" t="s">
        <v>29</v>
      </c>
      <c r="I16" s="61"/>
      <c r="J16" s="67">
        <v>2051788</v>
      </c>
      <c r="K16" s="61"/>
      <c r="N16" s="67">
        <f t="shared" si="0"/>
        <v>2051788</v>
      </c>
      <c r="P16" s="61"/>
      <c r="Q16" s="61"/>
      <c r="R16" s="61"/>
      <c r="S16" s="61"/>
      <c r="T16" s="61"/>
      <c r="U16" s="61"/>
      <c r="V16" s="61"/>
      <c r="W16" s="61"/>
      <c r="X16" s="61"/>
      <c r="Y16" s="61"/>
    </row>
    <row r="17" spans="1:25" ht="15.75">
      <c r="A17" s="38" t="s">
        <v>30</v>
      </c>
      <c r="B17" s="10"/>
      <c r="C17" s="10"/>
      <c r="D17" s="10"/>
      <c r="E17" s="10"/>
      <c r="F17" s="10"/>
      <c r="G17" s="10"/>
      <c r="H17" s="39"/>
      <c r="I17" s="61"/>
      <c r="J17" s="67">
        <v>15687</v>
      </c>
      <c r="K17" s="61"/>
      <c r="N17" s="67">
        <f t="shared" si="0"/>
        <v>15687</v>
      </c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ht="15.75">
      <c r="A18" s="38" t="s">
        <v>31</v>
      </c>
      <c r="B18" s="10"/>
      <c r="C18" s="10"/>
      <c r="D18" s="10"/>
      <c r="E18" s="10"/>
      <c r="F18" s="10"/>
      <c r="G18" s="10"/>
      <c r="H18" s="39" t="s">
        <v>32</v>
      </c>
      <c r="I18" s="61"/>
      <c r="J18" s="67">
        <v>138446</v>
      </c>
      <c r="K18" s="61"/>
      <c r="N18" s="67">
        <f t="shared" si="0"/>
        <v>138446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1:25" ht="15.75">
      <c r="A19" s="38" t="s">
        <v>33</v>
      </c>
      <c r="B19" s="10"/>
      <c r="C19" s="10"/>
      <c r="D19" s="10"/>
      <c r="E19" s="10"/>
      <c r="F19" s="10"/>
      <c r="G19" s="39" t="s">
        <v>197</v>
      </c>
      <c r="H19" s="39"/>
      <c r="I19" s="61"/>
      <c r="J19" s="67">
        <v>318460</v>
      </c>
      <c r="K19" s="130" t="s">
        <v>195</v>
      </c>
      <c r="L19" s="67">
        <f>+'Disposal Summary'!L30</f>
        <v>29391.579999999994</v>
      </c>
      <c r="N19" s="67">
        <f t="shared" si="0"/>
        <v>347851.58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15.75">
      <c r="A20" s="38" t="s">
        <v>34</v>
      </c>
      <c r="B20" s="10"/>
      <c r="C20" s="10"/>
      <c r="D20" s="10"/>
      <c r="E20" s="10"/>
      <c r="F20" s="10"/>
      <c r="G20" s="10"/>
      <c r="H20" s="39"/>
      <c r="I20" s="61"/>
      <c r="J20" s="67">
        <v>36582</v>
      </c>
      <c r="K20" s="61"/>
      <c r="N20" s="67">
        <f t="shared" si="0"/>
        <v>36582</v>
      </c>
      <c r="P20" s="61"/>
      <c r="Q20" s="61"/>
      <c r="R20" s="61"/>
      <c r="S20" s="61"/>
      <c r="T20" s="61"/>
      <c r="U20" s="61"/>
      <c r="V20" s="61"/>
      <c r="W20" s="61"/>
      <c r="X20" s="61"/>
      <c r="Y20" s="61"/>
    </row>
    <row r="21" spans="1:25" ht="15.75">
      <c r="A21" s="38" t="s">
        <v>35</v>
      </c>
      <c r="B21" s="10"/>
      <c r="C21" s="10"/>
      <c r="D21" s="10"/>
      <c r="E21" s="10"/>
      <c r="F21" s="10"/>
      <c r="G21" s="10"/>
      <c r="H21" s="39" t="s">
        <v>36</v>
      </c>
      <c r="I21" s="61"/>
      <c r="J21" s="67">
        <v>6231</v>
      </c>
      <c r="K21" s="61"/>
      <c r="N21" s="67">
        <f t="shared" si="0"/>
        <v>6231</v>
      </c>
      <c r="P21" s="61"/>
      <c r="Q21" s="61"/>
      <c r="R21" s="61"/>
      <c r="S21" s="61"/>
      <c r="T21" s="61"/>
      <c r="U21" s="61"/>
      <c r="V21" s="61"/>
      <c r="W21" s="61"/>
      <c r="X21" s="61"/>
      <c r="Y21" s="61"/>
    </row>
    <row r="22" spans="1:25" ht="17.25">
      <c r="A22" s="38" t="s">
        <v>37</v>
      </c>
      <c r="B22" s="10"/>
      <c r="C22" s="10"/>
      <c r="D22" s="10"/>
      <c r="E22" s="10"/>
      <c r="F22" s="10"/>
      <c r="G22" s="10"/>
      <c r="H22" s="39"/>
      <c r="I22" s="61"/>
      <c r="J22" s="113">
        <v>66043</v>
      </c>
      <c r="K22" s="61"/>
      <c r="N22" s="113">
        <f t="shared" si="0"/>
        <v>66043</v>
      </c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" ht="17.25">
      <c r="A23" s="32" t="s">
        <v>39</v>
      </c>
      <c r="B23" s="36"/>
      <c r="C23" s="42"/>
      <c r="D23" s="43"/>
      <c r="E23" s="44"/>
      <c r="F23" s="45" t="s">
        <v>38</v>
      </c>
      <c r="G23" s="44"/>
      <c r="H23" s="46"/>
      <c r="I23" s="61"/>
      <c r="J23" s="124">
        <f>SUM(J12:J22)</f>
        <v>12461898</v>
      </c>
      <c r="K23" s="124"/>
      <c r="L23" s="124">
        <f>SUM(L12:L22)</f>
        <v>162543.45453788692</v>
      </c>
      <c r="M23" s="124"/>
      <c r="N23" s="124">
        <f>SUM(N12:N22)</f>
        <v>12624441.454537887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</row>
    <row r="24" spans="1:25" ht="15.75">
      <c r="A24" s="281" t="s">
        <v>197</v>
      </c>
      <c r="B24" s="279" t="s">
        <v>196</v>
      </c>
      <c r="C24" s="48"/>
      <c r="D24" s="48"/>
      <c r="E24" s="48"/>
      <c r="F24" s="48"/>
      <c r="G24" s="48"/>
      <c r="H24" s="49"/>
      <c r="I24" s="61"/>
      <c r="J24" s="67"/>
      <c r="K24" s="61"/>
      <c r="P24" s="61"/>
      <c r="Q24" s="61"/>
      <c r="R24" s="61"/>
      <c r="S24" s="61"/>
      <c r="T24" s="61"/>
      <c r="U24" s="61"/>
      <c r="V24" s="61"/>
      <c r="W24" s="61"/>
      <c r="X24" s="61"/>
      <c r="Y24" s="61"/>
    </row>
    <row r="25" spans="1:25" ht="15.75">
      <c r="A25" s="47"/>
      <c r="B25" s="47"/>
      <c r="C25" s="48"/>
      <c r="D25" s="48"/>
      <c r="E25" s="48"/>
      <c r="F25" s="48"/>
      <c r="G25" s="48"/>
      <c r="H25" s="49"/>
      <c r="I25" s="61"/>
      <c r="J25" s="67"/>
      <c r="K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5.75">
      <c r="A26" s="32" t="s">
        <v>40</v>
      </c>
      <c r="B26" s="32"/>
      <c r="C26" s="52"/>
      <c r="D26" s="52"/>
      <c r="E26" s="52"/>
      <c r="F26" s="52"/>
      <c r="G26" s="52"/>
      <c r="H26" s="53"/>
      <c r="I26" s="61"/>
      <c r="J26" s="67"/>
      <c r="K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25" ht="15.75">
      <c r="A27" s="38" t="s">
        <v>84</v>
      </c>
      <c r="B27" s="10"/>
      <c r="C27" s="10"/>
      <c r="D27" s="10"/>
      <c r="E27" s="40"/>
      <c r="F27" s="10"/>
      <c r="G27" s="10"/>
      <c r="H27" s="39" t="s">
        <v>41</v>
      </c>
      <c r="I27" s="61"/>
      <c r="J27" s="67">
        <f>+'[1]RS Garbage'!$W$64</f>
        <v>1921367.4894077124</v>
      </c>
      <c r="K27" s="130" t="s">
        <v>79</v>
      </c>
      <c r="L27" s="67">
        <f>+'Disposal Summary'!L20</f>
        <v>68027.03942922568</v>
      </c>
      <c r="N27" s="67">
        <f aca="true" t="shared" si="1" ref="N27:N36">+L27+J27</f>
        <v>1989394.528836938</v>
      </c>
      <c r="P27" s="133"/>
      <c r="Q27" s="61"/>
      <c r="R27" s="61"/>
      <c r="S27" s="61"/>
      <c r="T27" s="61"/>
      <c r="U27" s="61"/>
      <c r="V27" s="61"/>
      <c r="W27" s="61"/>
      <c r="X27" s="61"/>
      <c r="Y27" s="61"/>
    </row>
    <row r="28" spans="1:25" s="132" customFormat="1" ht="15.75">
      <c r="A28" s="38" t="s">
        <v>86</v>
      </c>
      <c r="B28" s="10"/>
      <c r="C28" s="10"/>
      <c r="D28" s="10"/>
      <c r="E28" s="40"/>
      <c r="F28" s="10"/>
      <c r="G28" s="10"/>
      <c r="H28" s="39" t="str">
        <f>+H27</f>
        <v>500500</v>
      </c>
      <c r="I28" s="61"/>
      <c r="J28" s="67">
        <f>+'[1]CM Garbage'!$W$64</f>
        <v>1014885.9538938212</v>
      </c>
      <c r="K28" s="130" t="s">
        <v>79</v>
      </c>
      <c r="L28" s="67">
        <f>+'Disposal Summary'!L13</f>
        <v>37363.121151116684</v>
      </c>
      <c r="M28" s="65"/>
      <c r="N28" s="67">
        <f t="shared" si="1"/>
        <v>1052249.075044938</v>
      </c>
      <c r="O28" s="65"/>
      <c r="P28" s="133"/>
      <c r="Q28" s="61"/>
      <c r="R28" s="61"/>
      <c r="S28" s="61"/>
      <c r="T28" s="61"/>
      <c r="U28" s="61"/>
      <c r="V28" s="61"/>
      <c r="W28" s="61"/>
      <c r="X28" s="61"/>
      <c r="Y28" s="61"/>
    </row>
    <row r="29" spans="1:25" s="132" customFormat="1" ht="15.75">
      <c r="A29" s="38" t="s">
        <v>85</v>
      </c>
      <c r="B29" s="10"/>
      <c r="C29" s="10"/>
      <c r="D29" s="10"/>
      <c r="E29" s="40"/>
      <c r="F29" s="10"/>
      <c r="G29" s="10"/>
      <c r="H29" s="39" t="s">
        <v>43</v>
      </c>
      <c r="I29" s="61"/>
      <c r="J29" s="67">
        <f>+'[1]RS Garbage'!$W$65</f>
        <v>48509.28401689744</v>
      </c>
      <c r="K29" s="130" t="s">
        <v>79</v>
      </c>
      <c r="L29" s="67">
        <f>+'Disposal Summary'!L19</f>
        <v>1444.9977170772247</v>
      </c>
      <c r="M29" s="65"/>
      <c r="N29" s="67">
        <f t="shared" si="1"/>
        <v>49954.28173397467</v>
      </c>
      <c r="O29" s="65"/>
      <c r="P29" s="133"/>
      <c r="Q29" s="61"/>
      <c r="R29" s="61"/>
      <c r="S29" s="61"/>
      <c r="T29" s="61"/>
      <c r="U29" s="61"/>
      <c r="V29" s="61"/>
      <c r="W29" s="61"/>
      <c r="X29" s="61"/>
      <c r="Y29" s="61"/>
    </row>
    <row r="30" spans="1:25" s="132" customFormat="1" ht="15.75">
      <c r="A30" s="38" t="s">
        <v>87</v>
      </c>
      <c r="B30" s="10"/>
      <c r="C30" s="10"/>
      <c r="D30" s="10"/>
      <c r="E30" s="40"/>
      <c r="F30" s="10"/>
      <c r="G30" s="10"/>
      <c r="H30" s="39" t="str">
        <f>+H29</f>
        <v>500800</v>
      </c>
      <c r="I30" s="61"/>
      <c r="J30" s="67">
        <f>+'[1]CM Garbage'!$W$65</f>
        <v>73647.14356042023</v>
      </c>
      <c r="K30" s="130" t="s">
        <v>79</v>
      </c>
      <c r="L30" s="67">
        <f>+'Disposal Summary'!L12</f>
        <v>2193.8059171723944</v>
      </c>
      <c r="M30" s="65"/>
      <c r="N30" s="67">
        <f t="shared" si="1"/>
        <v>75840.94947759263</v>
      </c>
      <c r="O30" s="65"/>
      <c r="P30" s="133"/>
      <c r="Q30" s="61"/>
      <c r="R30" s="61"/>
      <c r="S30" s="61"/>
      <c r="T30" s="61"/>
      <c r="U30" s="61"/>
      <c r="V30" s="61"/>
      <c r="W30" s="61"/>
      <c r="X30" s="61"/>
      <c r="Y30" s="61"/>
    </row>
    <row r="31" spans="1:25" s="132" customFormat="1" ht="15.75">
      <c r="A31" s="38" t="s">
        <v>88</v>
      </c>
      <c r="B31" s="10"/>
      <c r="C31" s="10"/>
      <c r="D31" s="10"/>
      <c r="E31" s="40"/>
      <c r="F31" s="10"/>
      <c r="G31" s="10"/>
      <c r="H31" s="39" t="str">
        <f>+H28</f>
        <v>500500</v>
      </c>
      <c r="I31" s="61"/>
      <c r="J31" s="67">
        <f>+'[1]RS Yard Waste'!$W$64</f>
        <v>390156.06938157487</v>
      </c>
      <c r="K31" s="130" t="s">
        <v>79</v>
      </c>
      <c r="L31" s="67">
        <f>+'Disposal Summary'!L38</f>
        <v>24203.23011051954</v>
      </c>
      <c r="M31" s="65"/>
      <c r="N31" s="67">
        <f t="shared" si="1"/>
        <v>414359.29949209443</v>
      </c>
      <c r="O31" s="65"/>
      <c r="P31" s="133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15.75">
      <c r="A32" s="38" t="s">
        <v>42</v>
      </c>
      <c r="B32" s="10"/>
      <c r="C32" s="10"/>
      <c r="D32" s="10"/>
      <c r="E32" s="10"/>
      <c r="F32" s="10"/>
      <c r="G32" s="10"/>
      <c r="H32" s="39"/>
      <c r="I32" s="61"/>
      <c r="J32" s="67">
        <f>+J19</f>
        <v>318460</v>
      </c>
      <c r="K32" s="130" t="s">
        <v>79</v>
      </c>
      <c r="L32" s="67">
        <f>+'Disposal Summary'!L30</f>
        <v>29391.579999999994</v>
      </c>
      <c r="N32" s="67">
        <f t="shared" si="1"/>
        <v>347851.58</v>
      </c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ht="15.75">
      <c r="A33" s="38" t="s">
        <v>44</v>
      </c>
      <c r="B33" s="10"/>
      <c r="C33" s="10"/>
      <c r="D33" s="10"/>
      <c r="E33" s="40"/>
      <c r="F33" s="10"/>
      <c r="G33" s="10"/>
      <c r="H33" s="39"/>
      <c r="I33" s="61"/>
      <c r="J33" s="67">
        <v>542647</v>
      </c>
      <c r="K33" s="61"/>
      <c r="N33" s="67">
        <f t="shared" si="1"/>
        <v>542647</v>
      </c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15.75">
      <c r="A34" s="38" t="s">
        <v>45</v>
      </c>
      <c r="B34" s="10"/>
      <c r="C34" s="10"/>
      <c r="D34" s="10"/>
      <c r="E34" s="40"/>
      <c r="F34" s="10"/>
      <c r="G34" s="10"/>
      <c r="H34" s="39" t="s">
        <v>46</v>
      </c>
      <c r="I34" s="61"/>
      <c r="J34" s="67">
        <v>66043</v>
      </c>
      <c r="K34" s="61"/>
      <c r="N34" s="67">
        <f t="shared" si="1"/>
        <v>66043</v>
      </c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ht="15.75">
      <c r="A35" s="38" t="s">
        <v>47</v>
      </c>
      <c r="B35" s="10"/>
      <c r="C35" s="10"/>
      <c r="D35" s="10"/>
      <c r="E35" s="40"/>
      <c r="F35" s="10"/>
      <c r="G35" s="10"/>
      <c r="H35" s="39"/>
      <c r="I35" s="61"/>
      <c r="J35" s="67">
        <v>184035</v>
      </c>
      <c r="K35" s="130" t="s">
        <v>80</v>
      </c>
      <c r="L35" s="67">
        <f>+L23*0.015</f>
        <v>2438.151818068304</v>
      </c>
      <c r="N35" s="67">
        <f t="shared" si="1"/>
        <v>186473.1518180683</v>
      </c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ht="17.25">
      <c r="A36" s="38" t="s">
        <v>48</v>
      </c>
      <c r="B36" s="10"/>
      <c r="C36" s="10"/>
      <c r="D36" s="10"/>
      <c r="E36" s="40"/>
      <c r="F36" s="10"/>
      <c r="G36" s="10"/>
      <c r="H36" s="39" t="s">
        <v>49</v>
      </c>
      <c r="I36" s="61"/>
      <c r="J36" s="113">
        <v>53275</v>
      </c>
      <c r="K36" s="130" t="s">
        <v>80</v>
      </c>
      <c r="L36" s="113">
        <f>+L23*0.004275</f>
        <v>694.8732681494666</v>
      </c>
      <c r="N36" s="113">
        <f t="shared" si="1"/>
        <v>53969.873268149466</v>
      </c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17.25">
      <c r="A37" s="32" t="s">
        <v>50</v>
      </c>
      <c r="B37" s="51"/>
      <c r="C37" s="51"/>
      <c r="D37" s="51"/>
      <c r="E37" s="51"/>
      <c r="F37" s="51"/>
      <c r="G37" s="51"/>
      <c r="H37" s="51"/>
      <c r="I37" s="61"/>
      <c r="J37" s="114">
        <f>SUM(J27:J36)</f>
        <v>4613025.940260426</v>
      </c>
      <c r="K37" s="114"/>
      <c r="L37" s="114">
        <f>SUM(L27:L36)</f>
        <v>165756.79941132927</v>
      </c>
      <c r="M37" s="114"/>
      <c r="N37" s="114">
        <f>SUM(N27:N36)</f>
        <v>4778782.7396717565</v>
      </c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15.75">
      <c r="A38" s="47"/>
      <c r="B38" s="51"/>
      <c r="C38" s="51"/>
      <c r="D38" s="51"/>
      <c r="E38" s="51"/>
      <c r="F38" s="51"/>
      <c r="G38" s="51"/>
      <c r="H38" s="51"/>
      <c r="I38" s="61"/>
      <c r="J38" s="67"/>
      <c r="K38" s="67"/>
      <c r="L38" s="67"/>
      <c r="M38" s="67"/>
      <c r="N38" s="67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18">
      <c r="A39" s="32" t="s">
        <v>51</v>
      </c>
      <c r="B39" s="51"/>
      <c r="C39" s="51"/>
      <c r="D39" s="51"/>
      <c r="E39" s="51"/>
      <c r="F39" s="51"/>
      <c r="G39" s="51"/>
      <c r="H39" s="51"/>
      <c r="I39" s="61"/>
      <c r="J39" s="125">
        <f>+J23-J37</f>
        <v>7848872.059739574</v>
      </c>
      <c r="K39" s="125"/>
      <c r="L39" s="125">
        <f>+L23-L37</f>
        <v>-3213.3448734423437</v>
      </c>
      <c r="M39" s="125"/>
      <c r="N39" s="125">
        <f>+N23-N37</f>
        <v>7845658.714866131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ht="15.75">
      <c r="A40" s="47"/>
      <c r="B40" s="51"/>
      <c r="C40" s="51"/>
      <c r="D40" s="51"/>
      <c r="E40" s="51"/>
      <c r="F40" s="51"/>
      <c r="G40" s="51"/>
      <c r="H40" s="51"/>
      <c r="I40" s="61"/>
      <c r="J40" s="67"/>
      <c r="K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>
      <c r="A41" s="32" t="s">
        <v>52</v>
      </c>
      <c r="B41" s="51"/>
      <c r="C41" s="51"/>
      <c r="D41" s="51"/>
      <c r="E41" s="51"/>
      <c r="F41" s="51"/>
      <c r="G41" s="51"/>
      <c r="H41" s="51"/>
      <c r="I41" s="61"/>
      <c r="J41" s="67"/>
      <c r="K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15.75">
      <c r="A42" s="36"/>
      <c r="B42" s="51"/>
      <c r="C42" s="51"/>
      <c r="D42" s="51"/>
      <c r="E42" s="51"/>
      <c r="F42" s="51"/>
      <c r="G42" s="51"/>
      <c r="H42" s="51"/>
      <c r="I42" s="61"/>
      <c r="J42" s="67"/>
      <c r="K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15.75">
      <c r="A43" s="50" t="s">
        <v>53</v>
      </c>
      <c r="B43" s="51"/>
      <c r="C43" s="51"/>
      <c r="D43" s="51"/>
      <c r="E43" s="51"/>
      <c r="F43" s="51"/>
      <c r="G43" s="51"/>
      <c r="H43" s="51"/>
      <c r="I43" s="61"/>
      <c r="J43" s="67">
        <v>2189550</v>
      </c>
      <c r="K43" s="61"/>
      <c r="N43" s="67">
        <f>+L43+J43</f>
        <v>2189550</v>
      </c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20.25">
      <c r="A44" s="135" t="s">
        <v>54</v>
      </c>
      <c r="B44" s="36"/>
      <c r="C44" s="42"/>
      <c r="D44" s="54"/>
      <c r="E44" s="44"/>
      <c r="F44" s="55" t="s">
        <v>38</v>
      </c>
      <c r="G44" s="44"/>
      <c r="H44" s="56"/>
      <c r="I44" s="61"/>
      <c r="J44" s="67">
        <v>2039073</v>
      </c>
      <c r="K44" s="114"/>
      <c r="L44" s="114"/>
      <c r="M44" s="114"/>
      <c r="N44" s="67">
        <f>+L44+J44</f>
        <v>2039073</v>
      </c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20.25">
      <c r="A45" s="135" t="s">
        <v>55</v>
      </c>
      <c r="B45" s="36"/>
      <c r="C45" s="42"/>
      <c r="D45" s="54"/>
      <c r="E45" s="44"/>
      <c r="F45" s="55" t="s">
        <v>38</v>
      </c>
      <c r="G45" s="44"/>
      <c r="H45" s="56"/>
      <c r="I45" s="61"/>
      <c r="J45" s="67">
        <v>464525</v>
      </c>
      <c r="K45" s="114"/>
      <c r="L45" s="114"/>
      <c r="M45" s="114"/>
      <c r="N45" s="67">
        <f>+L45+J45</f>
        <v>464525</v>
      </c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ht="20.25">
      <c r="A46" s="50" t="s">
        <v>56</v>
      </c>
      <c r="B46" s="59"/>
      <c r="C46" s="42"/>
      <c r="D46" s="54"/>
      <c r="E46" s="51"/>
      <c r="F46" s="55" t="s">
        <v>38</v>
      </c>
      <c r="G46" s="44"/>
      <c r="H46" s="56"/>
      <c r="I46" s="61"/>
      <c r="J46" s="113">
        <v>970572</v>
      </c>
      <c r="K46" s="114"/>
      <c r="L46" s="113"/>
      <c r="M46" s="114"/>
      <c r="N46" s="113">
        <f>+L46+J46</f>
        <v>970572</v>
      </c>
      <c r="P46" s="61"/>
      <c r="Q46" s="61"/>
      <c r="R46" s="61"/>
      <c r="S46" s="61"/>
      <c r="T46" s="61"/>
      <c r="U46" s="61"/>
      <c r="V46" s="61"/>
      <c r="W46" s="61"/>
      <c r="X46" s="61"/>
      <c r="Y46" s="61"/>
    </row>
    <row r="47" spans="1:25" ht="15.75">
      <c r="A47" s="51"/>
      <c r="B47" s="51"/>
      <c r="C47" s="57"/>
      <c r="D47" s="57"/>
      <c r="E47" s="57"/>
      <c r="F47" s="57"/>
      <c r="G47" s="57"/>
      <c r="H47" s="58"/>
      <c r="I47" s="61"/>
      <c r="J47" s="67"/>
      <c r="K47" s="67"/>
      <c r="L47" s="67"/>
      <c r="M47" s="67"/>
      <c r="N47" s="67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" ht="20.25">
      <c r="A48" s="32" t="s">
        <v>52</v>
      </c>
      <c r="B48" s="32"/>
      <c r="C48" s="42"/>
      <c r="D48" s="54"/>
      <c r="E48" s="44"/>
      <c r="F48" s="55" t="s">
        <v>38</v>
      </c>
      <c r="G48" s="44"/>
      <c r="H48" s="56"/>
      <c r="I48" s="61"/>
      <c r="J48" s="124">
        <f>SUM(J43:J47)</f>
        <v>5663720</v>
      </c>
      <c r="K48" s="124"/>
      <c r="L48" s="124">
        <f>SUM(L43:L47)</f>
        <v>0</v>
      </c>
      <c r="M48" s="124"/>
      <c r="N48" s="124">
        <f>SUM(N43:N47)</f>
        <v>5663720</v>
      </c>
      <c r="P48" s="61"/>
      <c r="Q48" s="61"/>
      <c r="R48" s="61"/>
      <c r="S48" s="61"/>
      <c r="T48" s="61"/>
      <c r="U48" s="61"/>
      <c r="V48" s="61"/>
      <c r="W48" s="61"/>
      <c r="X48" s="61"/>
      <c r="Y48" s="61"/>
    </row>
    <row r="49" spans="1:25" s="116" customFormat="1" ht="15.75">
      <c r="A49" s="48"/>
      <c r="B49" s="64"/>
      <c r="C49" s="64"/>
      <c r="D49" s="64"/>
      <c r="E49" s="62"/>
      <c r="F49" s="63"/>
      <c r="G49" s="64"/>
      <c r="H49" s="21"/>
      <c r="I49" s="136"/>
      <c r="J49" s="137"/>
      <c r="K49" s="137"/>
      <c r="L49" s="137"/>
      <c r="M49" s="137"/>
      <c r="N49" s="137"/>
      <c r="O49" s="138"/>
      <c r="P49" s="136"/>
      <c r="Q49" s="136"/>
      <c r="R49" s="136"/>
      <c r="S49" s="136"/>
      <c r="T49" s="136"/>
      <c r="U49" s="136"/>
      <c r="V49" s="136"/>
      <c r="W49" s="136"/>
      <c r="X49" s="136"/>
      <c r="Y49" s="136"/>
    </row>
    <row r="50" spans="1:25" ht="15.75">
      <c r="A50" s="32" t="s">
        <v>57</v>
      </c>
      <c r="B50" s="32"/>
      <c r="C50" s="42"/>
      <c r="D50" s="54"/>
      <c r="E50" s="44"/>
      <c r="F50" s="55" t="s">
        <v>38</v>
      </c>
      <c r="G50" s="44"/>
      <c r="H50" s="56"/>
      <c r="I50" s="61"/>
      <c r="J50" s="139">
        <f>+J39-J48</f>
        <v>2185152.059739574</v>
      </c>
      <c r="K50" s="139"/>
      <c r="L50" s="139">
        <f>+L39-L48</f>
        <v>-3213.3448734423437</v>
      </c>
      <c r="M50" s="139"/>
      <c r="N50" s="139">
        <f>+N39-N48</f>
        <v>2181938.7148661306</v>
      </c>
      <c r="P50" s="61"/>
      <c r="Q50" s="61"/>
      <c r="R50" s="61"/>
      <c r="S50" s="61"/>
      <c r="T50" s="61"/>
      <c r="U50" s="61"/>
      <c r="V50" s="61"/>
      <c r="W50" s="61"/>
      <c r="X50" s="61"/>
      <c r="Y50" s="61"/>
    </row>
    <row r="51" spans="1:25" ht="15.75">
      <c r="A51" s="47"/>
      <c r="B51" s="47"/>
      <c r="C51" s="48"/>
      <c r="D51" s="48"/>
      <c r="E51" s="48"/>
      <c r="F51" s="48"/>
      <c r="G51" s="48"/>
      <c r="H51" s="49"/>
      <c r="I51" s="61"/>
      <c r="J51" s="67"/>
      <c r="K51" s="61"/>
      <c r="P51" s="61"/>
      <c r="Q51" s="61"/>
      <c r="R51" s="61"/>
      <c r="S51" s="61"/>
      <c r="T51" s="61"/>
      <c r="U51" s="61"/>
      <c r="V51" s="61"/>
      <c r="W51" s="61"/>
      <c r="X51" s="61"/>
      <c r="Y51" s="61"/>
    </row>
    <row r="52" spans="1:25" ht="20.25">
      <c r="A52" s="32" t="s">
        <v>58</v>
      </c>
      <c r="B52" s="32"/>
      <c r="C52" s="52"/>
      <c r="D52" s="52"/>
      <c r="E52" s="52"/>
      <c r="F52" s="52"/>
      <c r="G52" s="52"/>
      <c r="H52" s="53"/>
      <c r="I52" s="61"/>
      <c r="J52" s="114">
        <v>1055405</v>
      </c>
      <c r="K52" s="130" t="s">
        <v>80</v>
      </c>
      <c r="L52" s="114">
        <f>+L23*'Disposal Summary'!C45</f>
        <v>1210.9487363072576</v>
      </c>
      <c r="M52" s="114"/>
      <c r="N52" s="114">
        <f>+L52+J52</f>
        <v>1056615.9487363072</v>
      </c>
      <c r="P52" s="61"/>
      <c r="Q52" s="61"/>
      <c r="R52" s="61"/>
      <c r="S52" s="61"/>
      <c r="T52" s="61"/>
      <c r="U52" s="61"/>
      <c r="V52" s="61"/>
      <c r="W52" s="61"/>
      <c r="X52" s="61"/>
      <c r="Y52" s="61"/>
    </row>
    <row r="53" spans="1:25" ht="15.75">
      <c r="A53" s="47"/>
      <c r="B53" s="47"/>
      <c r="C53" s="48"/>
      <c r="D53" s="48"/>
      <c r="E53" s="48"/>
      <c r="F53" s="48"/>
      <c r="G53" s="48"/>
      <c r="H53" s="49"/>
      <c r="I53" s="61"/>
      <c r="J53" s="67"/>
      <c r="K53" s="67"/>
      <c r="L53" s="67"/>
      <c r="M53" s="67"/>
      <c r="N53" s="67"/>
      <c r="P53" s="61"/>
      <c r="Q53" s="61"/>
      <c r="R53" s="61"/>
      <c r="S53" s="61"/>
      <c r="T53" s="61"/>
      <c r="U53" s="61"/>
      <c r="V53" s="61"/>
      <c r="W53" s="61"/>
      <c r="X53" s="61"/>
      <c r="Y53" s="61"/>
    </row>
    <row r="54" spans="1:25" ht="15.75">
      <c r="A54" s="42"/>
      <c r="B54" s="42"/>
      <c r="C54" s="33"/>
      <c r="D54" s="21"/>
      <c r="E54" s="21"/>
      <c r="F54" s="21"/>
      <c r="G54" s="21"/>
      <c r="H54" s="37"/>
      <c r="I54" s="61"/>
      <c r="J54" s="67"/>
      <c r="K54" s="67"/>
      <c r="L54" s="67"/>
      <c r="M54" s="67"/>
      <c r="N54" s="67"/>
      <c r="P54" s="61"/>
      <c r="Q54" s="61"/>
      <c r="R54" s="61"/>
      <c r="S54" s="61"/>
      <c r="T54" s="61"/>
      <c r="U54" s="61"/>
      <c r="V54" s="61"/>
      <c r="W54" s="61"/>
      <c r="X54" s="61"/>
      <c r="Y54" s="61"/>
    </row>
    <row r="55" spans="1:25" ht="18">
      <c r="A55" s="32" t="s">
        <v>59</v>
      </c>
      <c r="B55" s="32"/>
      <c r="C55" s="42"/>
      <c r="D55" s="54"/>
      <c r="E55" s="44"/>
      <c r="F55" s="55" t="s">
        <v>38</v>
      </c>
      <c r="G55" s="44"/>
      <c r="H55" s="56"/>
      <c r="I55" s="61"/>
      <c r="J55" s="125">
        <f>+J50-J52</f>
        <v>1129747.0597395739</v>
      </c>
      <c r="K55" s="125"/>
      <c r="L55" s="125">
        <f>+L50-L52</f>
        <v>-4424.293609749601</v>
      </c>
      <c r="M55" s="125"/>
      <c r="N55" s="125">
        <f>+N50-N52</f>
        <v>1125322.7661298234</v>
      </c>
      <c r="P55" s="61"/>
      <c r="Q55" s="61"/>
      <c r="R55" s="61"/>
      <c r="S55" s="61"/>
      <c r="T55" s="61"/>
      <c r="U55" s="61"/>
      <c r="V55" s="61"/>
      <c r="W55" s="61"/>
      <c r="X55" s="61"/>
      <c r="Y55" s="61"/>
    </row>
    <row r="56" spans="1:25" ht="15.75">
      <c r="A56" s="10"/>
      <c r="B56" s="10"/>
      <c r="C56" s="10"/>
      <c r="D56" s="10"/>
      <c r="E56" s="10"/>
      <c r="F56" s="10"/>
      <c r="G56" s="10"/>
      <c r="H56" s="39"/>
      <c r="I56" s="61"/>
      <c r="J56" s="67"/>
      <c r="K56" s="61"/>
      <c r="P56" s="61"/>
      <c r="Q56" s="61"/>
      <c r="R56" s="61"/>
      <c r="S56" s="61"/>
      <c r="T56" s="61"/>
      <c r="U56" s="61"/>
      <c r="V56" s="61"/>
      <c r="W56" s="61"/>
      <c r="X56" s="61"/>
      <c r="Y56" s="61"/>
    </row>
    <row r="57" spans="1:25" ht="15.75">
      <c r="A57" s="60" t="s">
        <v>60</v>
      </c>
      <c r="B57" s="10"/>
      <c r="C57" s="10"/>
      <c r="D57" s="10"/>
      <c r="E57" s="10"/>
      <c r="F57" s="10"/>
      <c r="G57" s="10"/>
      <c r="H57" s="39"/>
      <c r="I57" s="61"/>
      <c r="J57" s="115">
        <f>1-J55/J23</f>
        <v>0.9093439009258804</v>
      </c>
      <c r="K57" s="115"/>
      <c r="L57" s="115"/>
      <c r="M57" s="115"/>
      <c r="N57" s="115">
        <f>1-N55/N23</f>
        <v>0.9108615798819897</v>
      </c>
      <c r="P57" s="61"/>
      <c r="Q57" s="61"/>
      <c r="R57" s="61"/>
      <c r="S57" s="61"/>
      <c r="T57" s="61"/>
      <c r="U57" s="61"/>
      <c r="V57" s="61"/>
      <c r="W57" s="61"/>
      <c r="X57" s="61"/>
      <c r="Y57" s="61"/>
    </row>
    <row r="58" spans="1:25" ht="15.75">
      <c r="A58" s="10"/>
      <c r="B58" s="10"/>
      <c r="C58" s="10"/>
      <c r="D58" s="10"/>
      <c r="E58" s="10"/>
      <c r="F58" s="10"/>
      <c r="G58" s="10"/>
      <c r="H58" s="39"/>
      <c r="I58" s="61"/>
      <c r="J58" s="67"/>
      <c r="K58" s="61"/>
      <c r="P58" s="61"/>
      <c r="Q58" s="61"/>
      <c r="R58" s="61"/>
      <c r="S58" s="61"/>
      <c r="T58" s="61"/>
      <c r="U58" s="61"/>
      <c r="V58" s="61"/>
      <c r="W58" s="61"/>
      <c r="X58" s="61"/>
      <c r="Y58" s="61"/>
    </row>
    <row r="59" spans="1:25" ht="15.75">
      <c r="A59" s="10"/>
      <c r="B59" s="10"/>
      <c r="C59" s="10"/>
      <c r="D59" s="10"/>
      <c r="E59" s="10"/>
      <c r="F59" s="10"/>
      <c r="G59" s="10"/>
      <c r="H59" s="39"/>
      <c r="I59" s="61"/>
      <c r="J59" s="67"/>
      <c r="K59" s="61"/>
      <c r="P59" s="61"/>
      <c r="Q59" s="61"/>
      <c r="R59" s="61"/>
      <c r="S59" s="61"/>
      <c r="T59" s="61"/>
      <c r="U59" s="61"/>
      <c r="V59" s="61"/>
      <c r="W59" s="61"/>
      <c r="X59" s="61"/>
      <c r="Y59" s="61"/>
    </row>
    <row r="60" spans="1:25" ht="15.75">
      <c r="A60" s="51"/>
      <c r="B60" s="51"/>
      <c r="C60" s="51"/>
      <c r="D60" s="51"/>
      <c r="E60" s="51"/>
      <c r="F60" s="51"/>
      <c r="G60" s="51"/>
      <c r="H60" s="51"/>
      <c r="I60" s="61"/>
      <c r="J60" s="67"/>
      <c r="K60" s="61"/>
      <c r="P60" s="61"/>
      <c r="Q60" s="61"/>
      <c r="R60" s="61"/>
      <c r="S60" s="61"/>
      <c r="T60" s="61"/>
      <c r="U60" s="61"/>
      <c r="V60" s="61"/>
      <c r="W60" s="61"/>
      <c r="X60" s="61"/>
      <c r="Y60" s="61"/>
    </row>
  </sheetData>
  <sheetProtection/>
  <printOptions/>
  <pageMargins left="0.7" right="0.7" top="0.5" bottom="0.5" header="0" footer="0"/>
  <pageSetup fitToHeight="6" fitToWidth="1" horizontalDpi="600" verticalDpi="600" orientation="portrait" scale="64" r:id="rId3"/>
  <headerFooter>
    <oddFooter>&amp;C&amp;A&amp;RPage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4">
      <selection activeCell="B31" sqref="B31"/>
    </sheetView>
  </sheetViews>
  <sheetFormatPr defaultColWidth="9.140625" defaultRowHeight="15"/>
  <cols>
    <col min="1" max="1" width="9.140625" style="71" customWidth="1"/>
    <col min="2" max="2" width="23.421875" style="71" customWidth="1"/>
    <col min="3" max="3" width="20.28125" style="71" bestFit="1" customWidth="1"/>
    <col min="4" max="4" width="3.57421875" style="71" customWidth="1"/>
    <col min="5" max="5" width="11.7109375" style="77" customWidth="1"/>
    <col min="6" max="6" width="11.421875" style="77" bestFit="1" customWidth="1"/>
    <col min="7" max="7" width="12.140625" style="77" customWidth="1"/>
    <col min="8" max="8" width="11.28125" style="90" bestFit="1" customWidth="1"/>
    <col min="9" max="9" width="15.00390625" style="76" bestFit="1" customWidth="1"/>
    <col min="10" max="10" width="3.28125" style="77" customWidth="1"/>
    <col min="11" max="11" width="9.57421875" style="90" customWidth="1"/>
    <col min="12" max="12" width="11.28125" style="77" bestFit="1" customWidth="1"/>
    <col min="13" max="13" width="10.28125" style="77" bestFit="1" customWidth="1"/>
    <col min="14" max="14" width="15.00390625" style="77" bestFit="1" customWidth="1"/>
    <col min="15" max="15" width="4.421875" style="77" customWidth="1"/>
    <col min="16" max="16" width="9.7109375" style="77" bestFit="1" customWidth="1"/>
    <col min="17" max="17" width="9.140625" style="71" customWidth="1"/>
    <col min="18" max="19" width="10.28125" style="71" bestFit="1" customWidth="1"/>
    <col min="20" max="16384" width="9.140625" style="71" customWidth="1"/>
  </cols>
  <sheetData>
    <row r="1" spans="1:8" ht="27.75">
      <c r="A1" s="70" t="s">
        <v>2</v>
      </c>
      <c r="E1" s="86"/>
      <c r="F1" s="86"/>
      <c r="G1" s="86"/>
      <c r="H1" s="111"/>
    </row>
    <row r="2" spans="1:8" ht="18">
      <c r="A2" s="72" t="s">
        <v>62</v>
      </c>
      <c r="E2" s="86"/>
      <c r="F2" s="86"/>
      <c r="G2" s="86"/>
      <c r="H2" s="111"/>
    </row>
    <row r="3" spans="1:8" ht="15">
      <c r="A3" s="140" t="s">
        <v>82</v>
      </c>
      <c r="E3" s="86"/>
      <c r="F3" s="86"/>
      <c r="G3" s="86"/>
      <c r="H3" s="111"/>
    </row>
    <row r="4" spans="1:8" ht="15">
      <c r="A4" s="126" t="s">
        <v>83</v>
      </c>
      <c r="E4" s="86"/>
      <c r="F4" s="86"/>
      <c r="G4" s="86"/>
      <c r="H4" s="111"/>
    </row>
    <row r="5" spans="5:13" ht="15">
      <c r="E5" s="86"/>
      <c r="F5" s="86"/>
      <c r="G5" s="86"/>
      <c r="H5" s="143" t="s">
        <v>192</v>
      </c>
      <c r="K5" s="91">
        <v>2017</v>
      </c>
      <c r="L5" s="91" t="s">
        <v>4</v>
      </c>
      <c r="M5" s="91" t="s">
        <v>193</v>
      </c>
    </row>
    <row r="6" spans="5:14" ht="15">
      <c r="E6" s="104" t="s">
        <v>61</v>
      </c>
      <c r="F6" s="101" t="s">
        <v>5</v>
      </c>
      <c r="G6" s="104" t="s">
        <v>76</v>
      </c>
      <c r="H6" s="91" t="s">
        <v>6</v>
      </c>
      <c r="K6" s="91" t="s">
        <v>8</v>
      </c>
      <c r="L6" s="91" t="s">
        <v>91</v>
      </c>
      <c r="M6" s="91" t="s">
        <v>191</v>
      </c>
      <c r="N6" s="91" t="s">
        <v>4</v>
      </c>
    </row>
    <row r="7" spans="5:14" ht="12.75">
      <c r="E7" s="92" t="s">
        <v>0</v>
      </c>
      <c r="F7" s="92" t="s">
        <v>76</v>
      </c>
      <c r="G7" s="92" t="s">
        <v>0</v>
      </c>
      <c r="H7" s="93" t="s">
        <v>64</v>
      </c>
      <c r="I7" s="94" t="s">
        <v>63</v>
      </c>
      <c r="K7" s="93" t="s">
        <v>64</v>
      </c>
      <c r="L7" s="95" t="s">
        <v>189</v>
      </c>
      <c r="M7" s="261">
        <f>+C48</f>
        <v>0.973275</v>
      </c>
      <c r="N7" s="95" t="s">
        <v>1</v>
      </c>
    </row>
    <row r="8" spans="5:11" ht="15">
      <c r="E8" s="86"/>
      <c r="F8" s="86"/>
      <c r="G8" s="86"/>
      <c r="K8" s="127"/>
    </row>
    <row r="9" spans="1:7" ht="15">
      <c r="A9" s="73" t="s">
        <v>66</v>
      </c>
      <c r="E9" s="111"/>
      <c r="F9" s="86"/>
      <c r="G9" s="86"/>
    </row>
    <row r="10" spans="2:17" ht="15">
      <c r="B10" s="71" t="s">
        <v>67</v>
      </c>
      <c r="C10" s="74"/>
      <c r="E10" s="96">
        <v>28623.899999999998</v>
      </c>
      <c r="F10" s="102">
        <v>0.2834804551972607</v>
      </c>
      <c r="G10" s="96">
        <f>+E10*F10</f>
        <v>8114.316201520869</v>
      </c>
      <c r="H10" s="75">
        <v>101</v>
      </c>
      <c r="I10" s="76">
        <f>+H10*G10</f>
        <v>819545.9363536078</v>
      </c>
      <c r="K10" s="128">
        <v>104.5</v>
      </c>
      <c r="L10" s="78">
        <f>(+K10-H10)*G10</f>
        <v>28400.106705323044</v>
      </c>
      <c r="M10" s="263">
        <f>+L10/$M$7-L10</f>
        <v>779.8339130253626</v>
      </c>
      <c r="N10" s="78">
        <f>+M10+L10+I10</f>
        <v>848725.8769719562</v>
      </c>
      <c r="P10" s="129"/>
      <c r="Q10" s="262"/>
    </row>
    <row r="11" spans="2:14" ht="15">
      <c r="B11" s="71" t="s">
        <v>68</v>
      </c>
      <c r="C11" s="74"/>
      <c r="E11" s="141">
        <v>6822.549999999999</v>
      </c>
      <c r="F11" s="109">
        <f>+F10</f>
        <v>0.2834804551972607</v>
      </c>
      <c r="G11" s="96">
        <f>+E11*F11</f>
        <v>1934.0595796060707</v>
      </c>
      <c r="H11" s="75">
        <f>+H10</f>
        <v>101</v>
      </c>
      <c r="I11" s="76">
        <f>+H11*G11</f>
        <v>195340.01754021313</v>
      </c>
      <c r="K11" s="75">
        <f>+K10</f>
        <v>104.5</v>
      </c>
      <c r="L11" s="78">
        <f>(+K11-H11)*G11</f>
        <v>6769.208528621248</v>
      </c>
      <c r="M11" s="263">
        <f>+L11/$M$7-L11</f>
        <v>185.87459651938298</v>
      </c>
      <c r="N11" s="78">
        <f>+M11+L11+I11</f>
        <v>202295.10066535376</v>
      </c>
    </row>
    <row r="12" spans="2:14" ht="17.25">
      <c r="B12" s="71" t="s">
        <v>69</v>
      </c>
      <c r="C12" s="74"/>
      <c r="E12" s="142">
        <v>2537.3200000000006</v>
      </c>
      <c r="F12" s="109">
        <f>+F11</f>
        <v>0.2834804551972607</v>
      </c>
      <c r="G12" s="100">
        <f>+E12*F12</f>
        <v>719.2806285811137</v>
      </c>
      <c r="H12" s="75">
        <v>105.36</v>
      </c>
      <c r="I12" s="105">
        <f>+H12*G12</f>
        <v>75783.40702730614</v>
      </c>
      <c r="K12" s="274">
        <v>108.41</v>
      </c>
      <c r="L12" s="79">
        <f>(+K12-H12)*G12</f>
        <v>2193.8059171723944</v>
      </c>
      <c r="M12" s="264">
        <f>+L12/$M$7-L12</f>
        <v>60.23936003332301</v>
      </c>
      <c r="N12" s="79">
        <f>+M12+L12+I12</f>
        <v>78037.45230451185</v>
      </c>
    </row>
    <row r="13" spans="5:14" ht="17.25">
      <c r="E13" s="98">
        <f>SUM(E10:E12)</f>
        <v>37983.77</v>
      </c>
      <c r="F13" s="144"/>
      <c r="G13" s="98">
        <f>SUM(G10:G12)</f>
        <v>10767.656409708052</v>
      </c>
      <c r="H13" s="145"/>
      <c r="I13" s="80">
        <f>SUM(I10:I12)</f>
        <v>1090669.360921127</v>
      </c>
      <c r="J13" s="83"/>
      <c r="K13" s="145">
        <f>+N13/G13</f>
        <v>104.85646894563517</v>
      </c>
      <c r="L13" s="81">
        <f>SUM(L10:L12)</f>
        <v>37363.121151116684</v>
      </c>
      <c r="M13" s="265">
        <f>SUM(M10:M12)</f>
        <v>1025.9478695780685</v>
      </c>
      <c r="N13" s="81">
        <f>SUM(N10:N12)</f>
        <v>1129058.4299418218</v>
      </c>
    </row>
    <row r="14" spans="5:14" ht="16.5">
      <c r="E14" s="86"/>
      <c r="F14" s="103"/>
      <c r="G14" s="86"/>
      <c r="H14" s="75"/>
      <c r="K14" s="75"/>
      <c r="L14" s="82"/>
      <c r="N14" s="78"/>
    </row>
    <row r="15" spans="5:14" ht="15">
      <c r="E15" s="88"/>
      <c r="F15" s="88"/>
      <c r="G15" s="88"/>
      <c r="I15" s="84"/>
      <c r="K15" s="106"/>
      <c r="L15" s="85"/>
      <c r="N15" s="78"/>
    </row>
    <row r="16" spans="1:14" ht="15">
      <c r="A16" s="73" t="s">
        <v>70</v>
      </c>
      <c r="E16" s="86"/>
      <c r="F16" s="86"/>
      <c r="G16" s="86"/>
      <c r="N16" s="78"/>
    </row>
    <row r="17" spans="2:18" ht="15">
      <c r="B17" s="71" t="s">
        <v>67</v>
      </c>
      <c r="C17" s="74"/>
      <c r="E17" s="86">
        <f>10624.31+23102.65</f>
        <v>33726.96</v>
      </c>
      <c r="F17" s="109">
        <v>0.48119457560560297</v>
      </c>
      <c r="G17" s="96">
        <f>+E17*F17</f>
        <v>16229.230203667146</v>
      </c>
      <c r="H17" s="75">
        <v>101</v>
      </c>
      <c r="I17" s="76">
        <f>+H17*G17</f>
        <v>1639152.2505703818</v>
      </c>
      <c r="K17" s="75">
        <f>+K10</f>
        <v>104.5</v>
      </c>
      <c r="L17" s="78">
        <f>(+K17-H17)*G17</f>
        <v>56802.30571283501</v>
      </c>
      <c r="M17" s="78">
        <f>+L17/$M$7-L17</f>
        <v>1559.7252782363794</v>
      </c>
      <c r="N17" s="78">
        <f>+M17+L17+I17</f>
        <v>1697514.2815614531</v>
      </c>
      <c r="R17" s="134"/>
    </row>
    <row r="18" spans="2:18" ht="15">
      <c r="B18" s="71" t="s">
        <v>68</v>
      </c>
      <c r="C18" s="74"/>
      <c r="E18" s="86">
        <f>1505.65+4301.17</f>
        <v>5806.82</v>
      </c>
      <c r="F18" s="109">
        <f>+F17</f>
        <v>0.48119457560560297</v>
      </c>
      <c r="G18" s="96">
        <f>+E18*F18</f>
        <v>2794.2102855181274</v>
      </c>
      <c r="H18" s="75">
        <f>+H17</f>
        <v>101</v>
      </c>
      <c r="I18" s="76">
        <f>+H18*G18</f>
        <v>282215.2388373309</v>
      </c>
      <c r="K18" s="75">
        <f>+K17</f>
        <v>104.5</v>
      </c>
      <c r="L18" s="78">
        <f>(+K18-H18)*G18</f>
        <v>9779.735999313445</v>
      </c>
      <c r="M18" s="78">
        <f>+L18/$M$7-L18</f>
        <v>268.54018091664875</v>
      </c>
      <c r="N18" s="78">
        <f>+M18+L18+I18</f>
        <v>292263.515017561</v>
      </c>
      <c r="R18" s="134"/>
    </row>
    <row r="19" spans="2:17" ht="17.25">
      <c r="B19" s="71" t="s">
        <v>69</v>
      </c>
      <c r="C19" s="74"/>
      <c r="E19" s="97">
        <v>984.57</v>
      </c>
      <c r="F19" s="109">
        <f>+F18</f>
        <v>0.48119457560560297</v>
      </c>
      <c r="G19" s="100">
        <f>+E19*F19</f>
        <v>473.76974330400856</v>
      </c>
      <c r="H19" s="75">
        <f>+H12</f>
        <v>105.36</v>
      </c>
      <c r="I19" s="105">
        <f>+H19*G19</f>
        <v>49916.38015451034</v>
      </c>
      <c r="K19" s="260">
        <f>+K12</f>
        <v>108.41</v>
      </c>
      <c r="L19" s="79">
        <f>(+K19-H19)*G19</f>
        <v>1444.9977170772247</v>
      </c>
      <c r="M19" s="79">
        <f>+L19/$M$7-L19</f>
        <v>39.677957400414925</v>
      </c>
      <c r="N19" s="79">
        <f>+M19+L19+I19</f>
        <v>51401.055828987985</v>
      </c>
      <c r="Q19" s="134"/>
    </row>
    <row r="20" spans="5:19" ht="15">
      <c r="E20" s="98">
        <f>SUM(E17:E19)</f>
        <v>40518.35</v>
      </c>
      <c r="F20" s="98"/>
      <c r="G20" s="98">
        <f>SUM(G17:G19)</f>
        <v>19497.210232489284</v>
      </c>
      <c r="H20" s="145"/>
      <c r="I20" s="80">
        <f>SUM(I17:I19)</f>
        <v>1971283.8695622229</v>
      </c>
      <c r="J20" s="83"/>
      <c r="K20" s="145">
        <f>+N20/G20</f>
        <v>104.6908161766996</v>
      </c>
      <c r="L20" s="81">
        <f>SUM(L17:L19)</f>
        <v>68027.03942922568</v>
      </c>
      <c r="M20" s="265">
        <f>SUM(M17:M19)</f>
        <v>1867.943416553443</v>
      </c>
      <c r="N20" s="81">
        <f>SUM(N17:N19)</f>
        <v>2041178.8524080021</v>
      </c>
      <c r="P20" s="182"/>
      <c r="Q20" s="134"/>
      <c r="R20" s="134"/>
      <c r="S20" s="134"/>
    </row>
    <row r="21" spans="5:14" ht="16.5">
      <c r="E21" s="86"/>
      <c r="F21" s="86"/>
      <c r="G21" s="86"/>
      <c r="H21" s="111"/>
      <c r="L21" s="82"/>
      <c r="M21" s="82"/>
      <c r="N21" s="82"/>
    </row>
    <row r="22" spans="5:8" ht="15">
      <c r="E22" s="86"/>
      <c r="F22" s="86"/>
      <c r="G22" s="86"/>
      <c r="H22" s="111"/>
    </row>
    <row r="23" spans="2:14" ht="15">
      <c r="B23" s="87" t="s">
        <v>71</v>
      </c>
      <c r="E23" s="88">
        <f>+E20+E13</f>
        <v>78502.12</v>
      </c>
      <c r="F23" s="88"/>
      <c r="G23" s="88">
        <f>+G20+G13</f>
        <v>30264.866642197336</v>
      </c>
      <c r="H23" s="107"/>
      <c r="I23" s="108">
        <f>+I20+I13</f>
        <v>3061953.23048335</v>
      </c>
      <c r="J23" s="88"/>
      <c r="K23" s="82">
        <f>+N23/G23</f>
        <v>104.74975224009953</v>
      </c>
      <c r="L23" s="108">
        <f>+L20+L13</f>
        <v>105390.16058034237</v>
      </c>
      <c r="M23" s="108">
        <f>+M20+M13</f>
        <v>2893.8912861315116</v>
      </c>
      <c r="N23" s="108">
        <f>+N20+N13</f>
        <v>3170237.282349824</v>
      </c>
    </row>
    <row r="24" spans="5:8" ht="15">
      <c r="E24" s="86"/>
      <c r="F24" s="86"/>
      <c r="G24" s="86"/>
      <c r="H24" s="111"/>
    </row>
    <row r="25" spans="5:8" ht="15">
      <c r="E25" s="86"/>
      <c r="F25" s="86"/>
      <c r="G25" s="86"/>
      <c r="H25" s="111"/>
    </row>
    <row r="26" spans="1:8" ht="15">
      <c r="A26" s="73" t="s">
        <v>72</v>
      </c>
      <c r="E26" s="86"/>
      <c r="F26" s="86"/>
      <c r="G26" s="86"/>
      <c r="H26" s="112"/>
    </row>
    <row r="27" spans="2:14" ht="15">
      <c r="B27" s="71" t="s">
        <v>67</v>
      </c>
      <c r="C27" s="74"/>
      <c r="E27" s="86">
        <f>899.93+1935.91</f>
        <v>2835.84</v>
      </c>
      <c r="F27" s="109">
        <v>0.356489</v>
      </c>
      <c r="G27" s="96">
        <f>+E27*F27</f>
        <v>1010.9457657600001</v>
      </c>
      <c r="H27" s="75">
        <f>+H17</f>
        <v>101</v>
      </c>
      <c r="I27" s="76">
        <f>+H27*G27</f>
        <v>102105.52234176</v>
      </c>
      <c r="K27" s="75">
        <f>+K17</f>
        <v>104.5</v>
      </c>
      <c r="L27" s="78">
        <f>+E27*(K27-H27)</f>
        <v>9925.44</v>
      </c>
      <c r="M27" s="78">
        <f>+L27/$M$7-L27</f>
        <v>272.54104338444995</v>
      </c>
      <c r="N27" s="78">
        <f>+M27+L27+I27</f>
        <v>112303.50338514446</v>
      </c>
    </row>
    <row r="28" spans="2:14" ht="15">
      <c r="B28" s="71" t="s">
        <v>68</v>
      </c>
      <c r="C28" s="74"/>
      <c r="E28" s="86">
        <f>823.93+1999.97</f>
        <v>2823.9</v>
      </c>
      <c r="F28" s="103">
        <f>+F27</f>
        <v>0.356489</v>
      </c>
      <c r="G28" s="96">
        <f>+E28*F28</f>
        <v>1006.6892871</v>
      </c>
      <c r="H28" s="75">
        <f>+H27</f>
        <v>101</v>
      </c>
      <c r="I28" s="76">
        <f>+H28*G28</f>
        <v>101675.6179971</v>
      </c>
      <c r="K28" s="75">
        <f>+K27</f>
        <v>104.5</v>
      </c>
      <c r="L28" s="78">
        <f>+E28*(K28-H28)</f>
        <v>9883.65</v>
      </c>
      <c r="M28" s="78">
        <f>+L28/$M$7-L28</f>
        <v>271.3935385682362</v>
      </c>
      <c r="N28" s="78">
        <f>+M28+L28+I28</f>
        <v>111830.66153566823</v>
      </c>
    </row>
    <row r="29" spans="2:14" ht="17.25">
      <c r="B29" s="71" t="s">
        <v>69</v>
      </c>
      <c r="C29" s="74"/>
      <c r="E29" s="97">
        <f>1024.42+2117.38</f>
        <v>3141.8</v>
      </c>
      <c r="F29" s="103">
        <f>+F28</f>
        <v>0.356489</v>
      </c>
      <c r="G29" s="100">
        <f>+E29*F29</f>
        <v>1120.0171402</v>
      </c>
      <c r="H29" s="75">
        <f>+H19</f>
        <v>105.36</v>
      </c>
      <c r="I29" s="105">
        <f>+H29*G29</f>
        <v>118005.00589147201</v>
      </c>
      <c r="J29" s="90" t="s">
        <v>197</v>
      </c>
      <c r="K29" s="260">
        <f>+K19</f>
        <v>108.41</v>
      </c>
      <c r="L29" s="79">
        <f>+E29*(K29-H29)</f>
        <v>9582.489999999993</v>
      </c>
      <c r="M29" s="79">
        <f>+L29/$M$7-L29</f>
        <v>263.1240350877197</v>
      </c>
      <c r="N29" s="79">
        <f>+M29+L29+I29</f>
        <v>127850.61992655972</v>
      </c>
    </row>
    <row r="30" spans="5:14" ht="15">
      <c r="E30" s="88">
        <f>SUM(E27:E29)</f>
        <v>8801.54</v>
      </c>
      <c r="F30" s="88"/>
      <c r="G30" s="88">
        <f>SUM(G27:G29)</f>
        <v>3137.65219306</v>
      </c>
      <c r="H30" s="106"/>
      <c r="I30" s="84">
        <f>SUM(I27:I29)</f>
        <v>321786.146230332</v>
      </c>
      <c r="K30" s="82">
        <f>+N30/G30</f>
        <v>112.18094396374084</v>
      </c>
      <c r="L30" s="85">
        <f>SUM(L27:L29)</f>
        <v>29391.579999999994</v>
      </c>
      <c r="M30" s="108">
        <f>SUM(M27:M29)</f>
        <v>807.0586170404058</v>
      </c>
      <c r="N30" s="85">
        <f>SUM(N27:N29)</f>
        <v>351984.78484737244</v>
      </c>
    </row>
    <row r="31" spans="1:8" ht="15">
      <c r="A31" s="278" t="s">
        <v>197</v>
      </c>
      <c r="B31" s="279" t="s">
        <v>196</v>
      </c>
      <c r="E31" s="86"/>
      <c r="F31" s="86"/>
      <c r="G31" s="86"/>
      <c r="H31" s="111"/>
    </row>
    <row r="32" ht="12.75">
      <c r="I32" s="99"/>
    </row>
    <row r="34" ht="15">
      <c r="A34" s="73" t="s">
        <v>73</v>
      </c>
    </row>
    <row r="35" spans="2:14" ht="15">
      <c r="B35" s="74" t="s">
        <v>74</v>
      </c>
      <c r="C35" s="74"/>
      <c r="E35" s="96">
        <f>3233.61+11.57+161.67</f>
        <v>3406.8500000000004</v>
      </c>
      <c r="F35" s="102">
        <f>+'[1]RS Yard Waste'!$Y$64</f>
        <v>0.47494862821979134</v>
      </c>
      <c r="G35" s="96">
        <f>+E35*F35</f>
        <v>1618.0787340505963</v>
      </c>
      <c r="H35" s="75">
        <v>47</v>
      </c>
      <c r="I35" s="76">
        <f>+H35*G35</f>
        <v>76049.70050037802</v>
      </c>
      <c r="K35" s="75">
        <v>50</v>
      </c>
      <c r="L35" s="78">
        <f>+G35*(K35-H35)</f>
        <v>4854.236202151789</v>
      </c>
      <c r="M35" s="78">
        <f>+L35/$M$7-L35</f>
        <v>133.2916827232866</v>
      </c>
      <c r="N35" s="78">
        <f>+M35+L35+I35</f>
        <v>81037.2283852531</v>
      </c>
    </row>
    <row r="36" spans="2:14" ht="15">
      <c r="B36" s="74" t="s">
        <v>75</v>
      </c>
      <c r="C36" s="74"/>
      <c r="E36" s="96">
        <v>13554.01</v>
      </c>
      <c r="F36" s="110">
        <f>+F35</f>
        <v>0.47494862821979134</v>
      </c>
      <c r="G36" s="96">
        <f>+E36*F36</f>
        <v>6437.458456377334</v>
      </c>
      <c r="H36" s="75">
        <f>+H35</f>
        <v>47</v>
      </c>
      <c r="I36" s="76">
        <f>+H36*G36</f>
        <v>302560.5474497347</v>
      </c>
      <c r="K36" s="75">
        <f>+K35</f>
        <v>50</v>
      </c>
      <c r="L36" s="78">
        <f>+G36*(K36-H36)</f>
        <v>19312.375369132</v>
      </c>
      <c r="M36" s="78">
        <f>+L36/$M$7-L36</f>
        <v>530.2953756544157</v>
      </c>
      <c r="N36" s="78">
        <f>+M36+L36+I36</f>
        <v>322403.21819452115</v>
      </c>
    </row>
    <row r="37" spans="2:14" ht="17.25">
      <c r="B37" s="71" t="s">
        <v>69</v>
      </c>
      <c r="E37" s="100">
        <v>25.7</v>
      </c>
      <c r="F37" s="110">
        <f>+F36</f>
        <v>0.47494862821979134</v>
      </c>
      <c r="G37" s="100">
        <f>+E37*F37</f>
        <v>12.206179745248637</v>
      </c>
      <c r="H37" s="75">
        <f>+H36</f>
        <v>47</v>
      </c>
      <c r="I37" s="105">
        <f>+H37*G37</f>
        <v>573.6904480266859</v>
      </c>
      <c r="K37" s="75">
        <f>+K36</f>
        <v>50</v>
      </c>
      <c r="L37" s="79">
        <f>+G37*(K37-H37)</f>
        <v>36.618539235745914</v>
      </c>
      <c r="M37" s="79">
        <f>+L37/$M$7-L37</f>
        <v>1.005502515810342</v>
      </c>
      <c r="N37" s="79">
        <f>+M37+L37+I37</f>
        <v>611.3144897782421</v>
      </c>
    </row>
    <row r="38" spans="5:14" ht="15">
      <c r="E38" s="89">
        <f>SUM(E35:E37)</f>
        <v>16986.56</v>
      </c>
      <c r="F38" s="89"/>
      <c r="G38" s="89">
        <f>SUM(G35:G37)</f>
        <v>8067.74337017318</v>
      </c>
      <c r="H38" s="106"/>
      <c r="I38" s="84">
        <f>SUM(I35:I37)</f>
        <v>379183.93839813943</v>
      </c>
      <c r="K38" s="106"/>
      <c r="L38" s="85">
        <f>SUM(L35:L37)</f>
        <v>24203.23011051954</v>
      </c>
      <c r="M38" s="108">
        <f>SUM(M35:M37)</f>
        <v>664.5925608935127</v>
      </c>
      <c r="N38" s="85">
        <f>SUM(N35:N37)</f>
        <v>404051.7610695525</v>
      </c>
    </row>
    <row r="40" spans="12:14" ht="16.5">
      <c r="L40" s="277">
        <f>+L38+L30+L23</f>
        <v>158984.97069086193</v>
      </c>
      <c r="M40" s="277">
        <f>+M38+M30+M23</f>
        <v>4365.54246406543</v>
      </c>
      <c r="N40" s="277">
        <f>+N38+N30+N23</f>
        <v>3926273.828266749</v>
      </c>
    </row>
    <row r="42" spans="2:13" ht="15">
      <c r="B42" s="280" t="s">
        <v>186</v>
      </c>
      <c r="C42" s="280"/>
      <c r="M42" s="263">
        <f>+WTB!L35+WTB!L36+WTB!L52</f>
        <v>4343.973822525028</v>
      </c>
    </row>
    <row r="43" spans="2:3" ht="15">
      <c r="B43" s="176" t="s">
        <v>187</v>
      </c>
      <c r="C43" s="177">
        <f>0.015</f>
        <v>0.015</v>
      </c>
    </row>
    <row r="44" spans="2:3" ht="15">
      <c r="B44" s="176" t="s">
        <v>188</v>
      </c>
      <c r="C44" s="178">
        <f>0.004275</f>
        <v>0.004275</v>
      </c>
    </row>
    <row r="45" spans="2:3" ht="15">
      <c r="B45" s="176" t="s">
        <v>190</v>
      </c>
      <c r="C45" s="179">
        <v>0.00745</v>
      </c>
    </row>
    <row r="46" spans="2:3" ht="15">
      <c r="B46" s="176" t="s">
        <v>61</v>
      </c>
      <c r="C46" s="180">
        <f>SUM(C43:C45)</f>
        <v>0.026725</v>
      </c>
    </row>
    <row r="47" spans="2:3" ht="15">
      <c r="B47" s="176"/>
      <c r="C47" s="176"/>
    </row>
    <row r="48" spans="2:3" ht="15">
      <c r="B48" s="176" t="s">
        <v>191</v>
      </c>
      <c r="C48" s="181">
        <f>1-C46</f>
        <v>0.973275</v>
      </c>
    </row>
  </sheetData>
  <sheetProtection/>
  <mergeCells count="1">
    <mergeCell ref="B42:C42"/>
  </mergeCells>
  <printOptions/>
  <pageMargins left="0.7" right="0.45" top="0.5" bottom="0.5" header="0.3" footer="0"/>
  <pageSetup fitToHeight="1" fitToWidth="1" horizontalDpi="600" verticalDpi="600" orientation="landscape" scale="74" r:id="rId1"/>
  <headerFoot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2"/>
  <sheetViews>
    <sheetView zoomScalePageLayoutView="0" workbookViewId="0" topLeftCell="A11">
      <selection activeCell="M43" sqref="M43"/>
    </sheetView>
  </sheetViews>
  <sheetFormatPr defaultColWidth="9.140625" defaultRowHeight="15"/>
  <cols>
    <col min="1" max="1" width="39.00390625" style="146" bestFit="1" customWidth="1"/>
    <col min="2" max="2" width="12.140625" style="151" bestFit="1" customWidth="1"/>
    <col min="3" max="3" width="12.00390625" style="151" bestFit="1" customWidth="1"/>
    <col min="4" max="4" width="10.57421875" style="146" bestFit="1" customWidth="1"/>
    <col min="5" max="5" width="8.8515625" style="147" bestFit="1" customWidth="1"/>
    <col min="6" max="6" width="11.8515625" style="146" bestFit="1" customWidth="1"/>
    <col min="7" max="7" width="10.140625" style="146" bestFit="1" customWidth="1"/>
    <col min="8" max="8" width="11.8515625" style="146" bestFit="1" customWidth="1"/>
    <col min="9" max="9" width="6.7109375" style="268" bestFit="1" customWidth="1"/>
    <col min="10" max="10" width="9.28125" style="146" bestFit="1" customWidth="1"/>
    <col min="11" max="11" width="6.421875" style="146" bestFit="1" customWidth="1"/>
    <col min="12" max="12" width="7.7109375" style="148" bestFit="1" customWidth="1"/>
    <col min="13" max="13" width="9.28125" style="149" bestFit="1" customWidth="1"/>
    <col min="14" max="14" width="10.28125" style="149" bestFit="1" customWidth="1"/>
    <col min="15" max="15" width="12.28125" style="146" bestFit="1" customWidth="1"/>
    <col min="16" max="17" width="8.57421875" style="146" bestFit="1" customWidth="1"/>
    <col min="18" max="18" width="9.00390625" style="146" bestFit="1" customWidth="1"/>
    <col min="19" max="20" width="14.28125" style="146" customWidth="1"/>
    <col min="21" max="21" width="12.57421875" style="146" bestFit="1" customWidth="1"/>
    <col min="22" max="22" width="13.28125" style="146" bestFit="1" customWidth="1"/>
    <col min="23" max="16384" width="9.140625" style="146" customWidth="1"/>
  </cols>
  <sheetData>
    <row r="1" spans="1:3" ht="18">
      <c r="A1" s="3" t="s">
        <v>2</v>
      </c>
      <c r="B1" s="4"/>
      <c r="C1" s="5"/>
    </row>
    <row r="2" spans="1:13" ht="15.75" thickBot="1">
      <c r="A2" s="6" t="s">
        <v>3</v>
      </c>
      <c r="B2" s="7"/>
      <c r="C2" s="8"/>
      <c r="J2" s="149"/>
      <c r="K2" s="149"/>
      <c r="M2" s="150"/>
    </row>
    <row r="3" spans="2:14" s="199" customFormat="1" ht="12.75">
      <c r="B3" s="204"/>
      <c r="C3" s="204"/>
      <c r="E3" s="200"/>
      <c r="J3" s="201"/>
      <c r="K3" s="201"/>
      <c r="L3" s="202"/>
      <c r="M3" s="203"/>
      <c r="N3" s="201"/>
    </row>
    <row r="4" spans="2:14" s="199" customFormat="1" ht="12.75">
      <c r="B4" s="204"/>
      <c r="C4" s="204"/>
      <c r="E4" s="200"/>
      <c r="J4" s="201"/>
      <c r="K4" s="201"/>
      <c r="L4" s="202"/>
      <c r="M4" s="203"/>
      <c r="N4" s="201"/>
    </row>
    <row r="5" spans="2:24" s="199" customFormat="1" ht="12.75">
      <c r="B5" s="204"/>
      <c r="C5" s="204"/>
      <c r="E5" s="200"/>
      <c r="G5" s="183"/>
      <c r="H5" s="184" t="s">
        <v>4</v>
      </c>
      <c r="I5" s="9"/>
      <c r="J5" s="9"/>
      <c r="K5" s="9" t="s">
        <v>5</v>
      </c>
      <c r="L5" s="156"/>
      <c r="M5" s="152"/>
      <c r="N5" s="152"/>
      <c r="O5" s="153"/>
      <c r="P5" s="154"/>
      <c r="Q5" s="2"/>
      <c r="R5" s="155"/>
      <c r="W5" s="205"/>
      <c r="X5" s="205"/>
    </row>
    <row r="6" spans="2:24" s="206" customFormat="1" ht="12.75">
      <c r="B6" s="207" t="s">
        <v>89</v>
      </c>
      <c r="C6" s="207" t="s">
        <v>89</v>
      </c>
      <c r="E6" s="208" t="s">
        <v>6</v>
      </c>
      <c r="F6" s="205" t="s">
        <v>7</v>
      </c>
      <c r="G6" s="185" t="s">
        <v>185</v>
      </c>
      <c r="H6" s="184" t="s">
        <v>7</v>
      </c>
      <c r="I6" s="9" t="s">
        <v>9</v>
      </c>
      <c r="J6" s="9" t="s">
        <v>1</v>
      </c>
      <c r="K6" s="9" t="s">
        <v>10</v>
      </c>
      <c r="L6" s="156" t="s">
        <v>193</v>
      </c>
      <c r="M6" s="157" t="s">
        <v>90</v>
      </c>
      <c r="N6" s="158"/>
      <c r="O6" s="9" t="s">
        <v>91</v>
      </c>
      <c r="P6" s="159" t="s">
        <v>5</v>
      </c>
      <c r="Q6" s="1"/>
      <c r="R6" s="160"/>
      <c r="S6" s="205"/>
      <c r="T6" s="205"/>
      <c r="U6" s="205"/>
      <c r="W6" s="205"/>
      <c r="X6" s="205"/>
    </row>
    <row r="7" spans="2:24" s="206" customFormat="1" ht="15.75" thickBot="1">
      <c r="B7" s="209" t="s">
        <v>16</v>
      </c>
      <c r="C7" s="209" t="s">
        <v>15</v>
      </c>
      <c r="D7" s="210" t="s">
        <v>92</v>
      </c>
      <c r="E7" s="211" t="s">
        <v>11</v>
      </c>
      <c r="F7" s="212" t="s">
        <v>1</v>
      </c>
      <c r="G7" s="186" t="s">
        <v>11</v>
      </c>
      <c r="H7" s="186" t="s">
        <v>1</v>
      </c>
      <c r="I7" s="269" t="s">
        <v>12</v>
      </c>
      <c r="J7" s="187" t="s">
        <v>12</v>
      </c>
      <c r="K7" s="187" t="s">
        <v>13</v>
      </c>
      <c r="L7" s="161" t="s">
        <v>194</v>
      </c>
      <c r="M7" s="162" t="s">
        <v>93</v>
      </c>
      <c r="N7" s="162" t="s">
        <v>0</v>
      </c>
      <c r="O7" s="163" t="s">
        <v>94</v>
      </c>
      <c r="P7" s="164" t="s">
        <v>91</v>
      </c>
      <c r="Q7" s="164" t="s">
        <v>91</v>
      </c>
      <c r="R7" s="165" t="s">
        <v>95</v>
      </c>
      <c r="S7" s="212"/>
      <c r="T7" s="212"/>
      <c r="U7" s="212"/>
      <c r="W7" s="213"/>
      <c r="X7" s="213"/>
    </row>
    <row r="8" spans="2:15" s="206" customFormat="1" ht="14.25" thickBot="1" thickTop="1">
      <c r="B8" s="214"/>
      <c r="C8" s="214"/>
      <c r="E8" s="200"/>
      <c r="G8" s="188">
        <v>0.0122</v>
      </c>
      <c r="I8" s="215"/>
      <c r="L8" s="216"/>
      <c r="M8" s="217"/>
      <c r="N8" s="217"/>
      <c r="O8" s="166">
        <f>+'Disposal Summary'!K20</f>
        <v>104.6908161766996</v>
      </c>
    </row>
    <row r="9" spans="1:14" s="206" customFormat="1" ht="13.5" thickTop="1">
      <c r="A9" s="210" t="s">
        <v>96</v>
      </c>
      <c r="B9" s="204"/>
      <c r="C9" s="204"/>
      <c r="E9" s="200"/>
      <c r="L9" s="216"/>
      <c r="M9" s="217"/>
      <c r="N9" s="217"/>
    </row>
    <row r="10" spans="1:21" s="206" customFormat="1" ht="12.75">
      <c r="A10" s="199" t="s">
        <v>97</v>
      </c>
      <c r="B10" s="204">
        <v>111</v>
      </c>
      <c r="C10" s="204">
        <v>111</v>
      </c>
      <c r="D10" s="218">
        <v>1</v>
      </c>
      <c r="E10" s="219">
        <v>7.05</v>
      </c>
      <c r="F10" s="220">
        <f aca="true" t="shared" si="0" ref="F10:F28">+E10*D10*C10*12</f>
        <v>9390.599999999999</v>
      </c>
      <c r="G10" s="189">
        <f aca="true" t="shared" si="1" ref="G10:G27">ROUND(E10*(1+$G$8),2)</f>
        <v>7.14</v>
      </c>
      <c r="H10" s="190">
        <f>+G10*C10*D10*12</f>
        <v>9510.48</v>
      </c>
      <c r="I10" s="191">
        <f aca="true" t="shared" si="2" ref="I10:I28">G10-E10</f>
        <v>0.08999999999999986</v>
      </c>
      <c r="J10" s="190">
        <f>+H10-F10</f>
        <v>119.88000000000102</v>
      </c>
      <c r="K10" s="192">
        <f aca="true" t="shared" si="3" ref="K10:K28">I10/E10</f>
        <v>0.012765957446808491</v>
      </c>
      <c r="L10" s="202"/>
      <c r="M10" s="152">
        <f>+M14*1.25</f>
        <v>24.020000000000003</v>
      </c>
      <c r="N10" s="152">
        <f>+M10*C10*D10*(12/2000)</f>
        <v>15.997320000000002</v>
      </c>
      <c r="O10" s="254">
        <f>+$O$8*N10</f>
        <v>1674.7724874398402</v>
      </c>
      <c r="P10" s="154">
        <f aca="true" t="shared" si="4" ref="P10:P28">+O10/H10</f>
        <v>0.1760975773504429</v>
      </c>
      <c r="Q10" s="155">
        <f aca="true" t="shared" si="5" ref="Q10:Q28">+P10*G10</f>
        <v>1.2573367022821622</v>
      </c>
      <c r="R10" s="155">
        <f aca="true" t="shared" si="6" ref="R10:R28">+G10-Q10</f>
        <v>5.882663297717837</v>
      </c>
      <c r="S10" s="220"/>
      <c r="T10" s="220"/>
      <c r="U10" s="220"/>
    </row>
    <row r="11" spans="1:21" s="206" customFormat="1" ht="12.75">
      <c r="A11" s="199" t="s">
        <v>98</v>
      </c>
      <c r="B11" s="204">
        <v>124</v>
      </c>
      <c r="C11" s="204">
        <v>124</v>
      </c>
      <c r="D11" s="218">
        <v>1</v>
      </c>
      <c r="E11" s="219">
        <v>8.24</v>
      </c>
      <c r="F11" s="220">
        <f t="shared" si="0"/>
        <v>12261.119999999999</v>
      </c>
      <c r="G11" s="189">
        <f t="shared" si="1"/>
        <v>8.34</v>
      </c>
      <c r="H11" s="190">
        <f aca="true" t="shared" si="7" ref="H11:H28">+G11*C11*D11*12</f>
        <v>12409.920000000002</v>
      </c>
      <c r="I11" s="191">
        <f t="shared" si="2"/>
        <v>0.09999999999999964</v>
      </c>
      <c r="J11" s="190">
        <f aca="true" t="shared" si="8" ref="J11:J26">+H11-F11</f>
        <v>148.8000000000029</v>
      </c>
      <c r="K11" s="192">
        <f t="shared" si="3"/>
        <v>0.012135922330097044</v>
      </c>
      <c r="L11" s="202"/>
      <c r="M11" s="201">
        <f>(35/32)*M10</f>
        <v>26.271875000000005</v>
      </c>
      <c r="N11" s="152">
        <f>+M11*C11*D11*(12/2000)</f>
        <v>19.546275000000005</v>
      </c>
      <c r="O11" s="254">
        <f aca="true" t="shared" si="9" ref="O11:O28">+$O$8*N11</f>
        <v>2046.3154829642194</v>
      </c>
      <c r="P11" s="154">
        <f t="shared" si="4"/>
        <v>0.16489352735265167</v>
      </c>
      <c r="Q11" s="155">
        <f t="shared" si="5"/>
        <v>1.375212018121115</v>
      </c>
      <c r="R11" s="155">
        <f t="shared" si="6"/>
        <v>6.964787981878885</v>
      </c>
      <c r="S11" s="220"/>
      <c r="T11" s="220"/>
      <c r="U11" s="220"/>
    </row>
    <row r="12" spans="1:21" s="206" customFormat="1" ht="12.75">
      <c r="A12" s="199" t="s">
        <v>99</v>
      </c>
      <c r="B12" s="204">
        <v>143</v>
      </c>
      <c r="C12" s="204">
        <v>143</v>
      </c>
      <c r="D12" s="218">
        <v>1</v>
      </c>
      <c r="E12" s="219">
        <v>10.81</v>
      </c>
      <c r="F12" s="220">
        <f t="shared" si="0"/>
        <v>18549.960000000003</v>
      </c>
      <c r="G12" s="189">
        <f t="shared" si="1"/>
        <v>10.94</v>
      </c>
      <c r="H12" s="190">
        <f t="shared" si="7"/>
        <v>18773.039999999997</v>
      </c>
      <c r="I12" s="191">
        <f t="shared" si="2"/>
        <v>0.129999999999999</v>
      </c>
      <c r="J12" s="190">
        <f t="shared" si="8"/>
        <v>223.07999999999447</v>
      </c>
      <c r="K12" s="192">
        <f t="shared" si="3"/>
        <v>0.012025901942645606</v>
      </c>
      <c r="L12" s="202"/>
      <c r="M12" s="201">
        <f>20/32*M14</f>
        <v>12.010000000000002</v>
      </c>
      <c r="N12" s="152">
        <f aca="true" t="shared" si="10" ref="N12:N27">+M12*C12*D12*52/2000</f>
        <v>44.653180000000006</v>
      </c>
      <c r="O12" s="254">
        <f t="shared" si="9"/>
        <v>4674.777859085079</v>
      </c>
      <c r="P12" s="154">
        <f t="shared" si="4"/>
        <v>0.24901549557690603</v>
      </c>
      <c r="Q12" s="155">
        <f t="shared" si="5"/>
        <v>2.7242295216113517</v>
      </c>
      <c r="R12" s="155">
        <f t="shared" si="6"/>
        <v>8.215770478388649</v>
      </c>
      <c r="S12" s="220"/>
      <c r="T12" s="220"/>
      <c r="U12" s="220"/>
    </row>
    <row r="13" spans="1:21" s="206" customFormat="1" ht="12.75">
      <c r="A13" s="199" t="s">
        <v>100</v>
      </c>
      <c r="B13" s="204">
        <v>1094</v>
      </c>
      <c r="C13" s="204">
        <v>1094</v>
      </c>
      <c r="D13" s="218">
        <v>1</v>
      </c>
      <c r="E13" s="219">
        <v>11.81</v>
      </c>
      <c r="F13" s="220">
        <f t="shared" si="0"/>
        <v>155041.68000000002</v>
      </c>
      <c r="G13" s="189">
        <f t="shared" si="1"/>
        <v>11.95</v>
      </c>
      <c r="H13" s="190">
        <f t="shared" si="7"/>
        <v>156879.59999999998</v>
      </c>
      <c r="I13" s="191">
        <f t="shared" si="2"/>
        <v>0.1399999999999988</v>
      </c>
      <c r="J13" s="190">
        <f t="shared" si="8"/>
        <v>1837.9199999999546</v>
      </c>
      <c r="K13" s="192">
        <f t="shared" si="3"/>
        <v>0.01185436071126154</v>
      </c>
      <c r="L13" s="202"/>
      <c r="M13" s="201">
        <f>+M12</f>
        <v>12.010000000000002</v>
      </c>
      <c r="N13" s="152">
        <f t="shared" si="10"/>
        <v>341.61244000000005</v>
      </c>
      <c r="O13" s="254">
        <f t="shared" si="9"/>
        <v>35763.68515971382</v>
      </c>
      <c r="P13" s="154">
        <f t="shared" si="4"/>
        <v>0.22796899762438091</v>
      </c>
      <c r="Q13" s="155">
        <f t="shared" si="5"/>
        <v>2.7242295216113517</v>
      </c>
      <c r="R13" s="155">
        <f t="shared" si="6"/>
        <v>9.225770478388647</v>
      </c>
      <c r="S13" s="220"/>
      <c r="T13" s="220"/>
      <c r="U13" s="220"/>
    </row>
    <row r="14" spans="1:21" s="206" customFormat="1" ht="12.75">
      <c r="A14" s="199" t="s">
        <v>101</v>
      </c>
      <c r="B14" s="204">
        <v>3914</v>
      </c>
      <c r="C14" s="204">
        <v>3912</v>
      </c>
      <c r="D14" s="218">
        <v>1</v>
      </c>
      <c r="E14" s="219">
        <v>13.99</v>
      </c>
      <c r="F14" s="220">
        <f t="shared" si="0"/>
        <v>656746.5599999999</v>
      </c>
      <c r="G14" s="189">
        <f t="shared" si="1"/>
        <v>14.16</v>
      </c>
      <c r="H14" s="190">
        <f t="shared" si="7"/>
        <v>664727.04</v>
      </c>
      <c r="I14" s="191">
        <f t="shared" si="2"/>
        <v>0.16999999999999993</v>
      </c>
      <c r="J14" s="190">
        <f t="shared" si="8"/>
        <v>7980.480000000098</v>
      </c>
      <c r="K14" s="192">
        <f t="shared" si="3"/>
        <v>0.012151536812008572</v>
      </c>
      <c r="L14" s="202"/>
      <c r="M14" s="174">
        <v>19.216</v>
      </c>
      <c r="N14" s="152">
        <f t="shared" si="10"/>
        <v>1954.497792</v>
      </c>
      <c r="O14" s="254">
        <f t="shared" si="9"/>
        <v>204617.96906003723</v>
      </c>
      <c r="P14" s="154">
        <f t="shared" si="4"/>
        <v>0.3078225448148419</v>
      </c>
      <c r="Q14" s="155">
        <f t="shared" si="5"/>
        <v>4.358767234578162</v>
      </c>
      <c r="R14" s="155">
        <f t="shared" si="6"/>
        <v>9.801232765421839</v>
      </c>
      <c r="S14" s="220"/>
      <c r="T14" s="220"/>
      <c r="U14" s="220"/>
    </row>
    <row r="15" spans="1:21" s="206" customFormat="1" ht="12.75">
      <c r="A15" s="199" t="s">
        <v>102</v>
      </c>
      <c r="B15" s="204">
        <v>2264</v>
      </c>
      <c r="C15" s="204">
        <v>1136</v>
      </c>
      <c r="D15" s="218">
        <v>1</v>
      </c>
      <c r="E15" s="219">
        <v>21.7</v>
      </c>
      <c r="F15" s="220">
        <f t="shared" si="0"/>
        <v>295814.4</v>
      </c>
      <c r="G15" s="189">
        <f t="shared" si="1"/>
        <v>21.96</v>
      </c>
      <c r="H15" s="190">
        <f t="shared" si="7"/>
        <v>299358.72000000003</v>
      </c>
      <c r="I15" s="191">
        <f t="shared" si="2"/>
        <v>0.26000000000000156</v>
      </c>
      <c r="J15" s="190">
        <f t="shared" si="8"/>
        <v>3544.320000000007</v>
      </c>
      <c r="K15" s="192">
        <f t="shared" si="3"/>
        <v>0.01198156682027657</v>
      </c>
      <c r="L15" s="202">
        <f>+G15-G14</f>
        <v>7.800000000000001</v>
      </c>
      <c r="M15" s="201">
        <f>+M14*2</f>
        <v>38.432</v>
      </c>
      <c r="N15" s="152">
        <f t="shared" si="10"/>
        <v>1135.127552</v>
      </c>
      <c r="O15" s="254">
        <f t="shared" si="9"/>
        <v>118837.42988353901</v>
      </c>
      <c r="P15" s="154">
        <f t="shared" si="4"/>
        <v>0.39697333648252836</v>
      </c>
      <c r="Q15" s="155">
        <f t="shared" si="5"/>
        <v>8.717534469156323</v>
      </c>
      <c r="R15" s="155">
        <f t="shared" si="6"/>
        <v>13.242465530843678</v>
      </c>
      <c r="S15" s="220"/>
      <c r="T15" s="220"/>
      <c r="U15" s="220"/>
    </row>
    <row r="16" spans="1:21" s="206" customFormat="1" ht="12.75">
      <c r="A16" s="199" t="s">
        <v>103</v>
      </c>
      <c r="B16" s="204">
        <v>192</v>
      </c>
      <c r="C16" s="204">
        <v>64</v>
      </c>
      <c r="D16" s="218">
        <v>1</v>
      </c>
      <c r="E16" s="219">
        <v>29.41</v>
      </c>
      <c r="F16" s="220">
        <f t="shared" si="0"/>
        <v>22586.88</v>
      </c>
      <c r="G16" s="189">
        <f t="shared" si="1"/>
        <v>29.77</v>
      </c>
      <c r="H16" s="190">
        <f t="shared" si="7"/>
        <v>22863.36</v>
      </c>
      <c r="I16" s="191">
        <f t="shared" si="2"/>
        <v>0.35999999999999943</v>
      </c>
      <c r="J16" s="190">
        <f t="shared" si="8"/>
        <v>276.47999999999956</v>
      </c>
      <c r="K16" s="192">
        <f t="shared" si="3"/>
        <v>0.012240734444066625</v>
      </c>
      <c r="L16" s="202">
        <f>+G16-G15</f>
        <v>7.809999999999999</v>
      </c>
      <c r="M16" s="201">
        <f>+M14*3</f>
        <v>57.648</v>
      </c>
      <c r="N16" s="152">
        <f t="shared" si="10"/>
        <v>95.92627200000001</v>
      </c>
      <c r="O16" s="254">
        <f t="shared" si="9"/>
        <v>10042.599708468088</v>
      </c>
      <c r="P16" s="154">
        <f t="shared" si="4"/>
        <v>0.4392442628059956</v>
      </c>
      <c r="Q16" s="155">
        <f t="shared" si="5"/>
        <v>13.076301703734488</v>
      </c>
      <c r="R16" s="155">
        <f t="shared" si="6"/>
        <v>16.69369829626551</v>
      </c>
      <c r="S16" s="220"/>
      <c r="T16" s="220"/>
      <c r="U16" s="220"/>
    </row>
    <row r="17" spans="1:21" s="206" customFormat="1" ht="12.75">
      <c r="A17" s="199" t="s">
        <v>104</v>
      </c>
      <c r="B17" s="204">
        <v>52</v>
      </c>
      <c r="C17" s="204">
        <v>13</v>
      </c>
      <c r="D17" s="218">
        <v>1</v>
      </c>
      <c r="E17" s="219">
        <v>37.12</v>
      </c>
      <c r="F17" s="220">
        <f t="shared" si="0"/>
        <v>5790.719999999999</v>
      </c>
      <c r="G17" s="189">
        <f t="shared" si="1"/>
        <v>37.57</v>
      </c>
      <c r="H17" s="190">
        <f t="shared" si="7"/>
        <v>5860.92</v>
      </c>
      <c r="I17" s="191">
        <f t="shared" si="2"/>
        <v>0.45000000000000284</v>
      </c>
      <c r="J17" s="190">
        <f t="shared" si="8"/>
        <v>70.20000000000073</v>
      </c>
      <c r="K17" s="192">
        <f t="shared" si="3"/>
        <v>0.012122844827586285</v>
      </c>
      <c r="L17" s="202">
        <f>+G17-G16</f>
        <v>7.800000000000001</v>
      </c>
      <c r="M17" s="201">
        <f>+M14*4</f>
        <v>76.864</v>
      </c>
      <c r="N17" s="152">
        <f t="shared" si="10"/>
        <v>25.980032</v>
      </c>
      <c r="O17" s="254">
        <f t="shared" si="9"/>
        <v>2719.870754376773</v>
      </c>
      <c r="P17" s="154">
        <f t="shared" si="4"/>
        <v>0.46406890972352005</v>
      </c>
      <c r="Q17" s="155">
        <f t="shared" si="5"/>
        <v>17.43506893831265</v>
      </c>
      <c r="R17" s="155">
        <f t="shared" si="6"/>
        <v>20.13493106168735</v>
      </c>
      <c r="S17" s="220"/>
      <c r="T17" s="220"/>
      <c r="U17" s="220"/>
    </row>
    <row r="18" spans="1:21" s="206" customFormat="1" ht="12.75">
      <c r="A18" s="199" t="s">
        <v>105</v>
      </c>
      <c r="B18" s="204">
        <v>15</v>
      </c>
      <c r="C18" s="204">
        <v>3</v>
      </c>
      <c r="D18" s="218">
        <v>1</v>
      </c>
      <c r="E18" s="219">
        <v>44.84</v>
      </c>
      <c r="F18" s="220">
        <f t="shared" si="0"/>
        <v>1614.2400000000002</v>
      </c>
      <c r="G18" s="189">
        <f t="shared" si="1"/>
        <v>45.39</v>
      </c>
      <c r="H18" s="190">
        <f t="shared" si="7"/>
        <v>1634.0400000000002</v>
      </c>
      <c r="I18" s="191">
        <f t="shared" si="2"/>
        <v>0.5499999999999972</v>
      </c>
      <c r="J18" s="190">
        <f t="shared" si="8"/>
        <v>19.799999999999955</v>
      </c>
      <c r="K18" s="192">
        <f t="shared" si="3"/>
        <v>0.012265834076717153</v>
      </c>
      <c r="L18" s="202">
        <f>+G18-G17</f>
        <v>7.82</v>
      </c>
      <c r="M18" s="201">
        <f>+M14*5</f>
        <v>96.08000000000001</v>
      </c>
      <c r="N18" s="152">
        <f t="shared" si="10"/>
        <v>7.49424</v>
      </c>
      <c r="O18" s="254">
        <f t="shared" si="9"/>
        <v>784.5781022240692</v>
      </c>
      <c r="P18" s="154">
        <f t="shared" si="4"/>
        <v>0.48014620341244346</v>
      </c>
      <c r="Q18" s="155">
        <f t="shared" si="5"/>
        <v>21.79383617289081</v>
      </c>
      <c r="R18" s="155">
        <f t="shared" si="6"/>
        <v>23.59616382710919</v>
      </c>
      <c r="S18" s="220"/>
      <c r="T18" s="220"/>
      <c r="U18" s="220"/>
    </row>
    <row r="19" spans="1:21" s="206" customFormat="1" ht="12.75">
      <c r="A19" s="199" t="s">
        <v>106</v>
      </c>
      <c r="B19" s="204">
        <v>8020</v>
      </c>
      <c r="C19" s="204">
        <f>+B19</f>
        <v>8020</v>
      </c>
      <c r="D19" s="218">
        <v>1</v>
      </c>
      <c r="E19" s="219">
        <v>15.09</v>
      </c>
      <c r="F19" s="220">
        <f t="shared" si="0"/>
        <v>1452261.6</v>
      </c>
      <c r="G19" s="189">
        <f t="shared" si="1"/>
        <v>15.27</v>
      </c>
      <c r="H19" s="190">
        <f t="shared" si="7"/>
        <v>1469584.7999999998</v>
      </c>
      <c r="I19" s="191">
        <f t="shared" si="2"/>
        <v>0.17999999999999972</v>
      </c>
      <c r="J19" s="190">
        <f t="shared" si="8"/>
        <v>17323.19999999972</v>
      </c>
      <c r="K19" s="192">
        <f t="shared" si="3"/>
        <v>0.011928429423459225</v>
      </c>
      <c r="L19" s="202"/>
      <c r="M19" s="201">
        <f>(35/32)*M14</f>
        <v>21.017500000000002</v>
      </c>
      <c r="N19" s="152">
        <f t="shared" si="10"/>
        <v>4382.569100000001</v>
      </c>
      <c r="O19" s="254">
        <f t="shared" si="9"/>
        <v>458814.73602978385</v>
      </c>
      <c r="P19" s="154">
        <f t="shared" si="4"/>
        <v>0.3122070506103383</v>
      </c>
      <c r="Q19" s="155">
        <f t="shared" si="5"/>
        <v>4.767401662819866</v>
      </c>
      <c r="R19" s="155">
        <f t="shared" si="6"/>
        <v>10.502598337180133</v>
      </c>
      <c r="S19" s="220"/>
      <c r="T19" s="220"/>
      <c r="U19" s="220"/>
    </row>
    <row r="20" spans="1:21" s="206" customFormat="1" ht="12.75">
      <c r="A20" s="199" t="s">
        <v>107</v>
      </c>
      <c r="B20" s="204">
        <v>46</v>
      </c>
      <c r="C20" s="204">
        <v>23</v>
      </c>
      <c r="D20" s="218">
        <v>1</v>
      </c>
      <c r="E20" s="219">
        <f>+E19+8.2</f>
        <v>23.29</v>
      </c>
      <c r="F20" s="220">
        <f t="shared" si="0"/>
        <v>6428.039999999999</v>
      </c>
      <c r="G20" s="189">
        <f t="shared" si="1"/>
        <v>23.57</v>
      </c>
      <c r="H20" s="190">
        <f t="shared" si="7"/>
        <v>6505.32</v>
      </c>
      <c r="I20" s="191">
        <f t="shared" si="2"/>
        <v>0.28000000000000114</v>
      </c>
      <c r="J20" s="190">
        <f t="shared" si="8"/>
        <v>77.28000000000065</v>
      </c>
      <c r="K20" s="192">
        <f t="shared" si="3"/>
        <v>0.012022327179046851</v>
      </c>
      <c r="L20" s="202">
        <f>+G20-G19</f>
        <v>8.3</v>
      </c>
      <c r="M20" s="201">
        <f>+M19*2</f>
        <v>42.035000000000004</v>
      </c>
      <c r="N20" s="152">
        <f t="shared" si="10"/>
        <v>25.13693</v>
      </c>
      <c r="O20" s="254">
        <f t="shared" si="9"/>
        <v>2631.6057178765654</v>
      </c>
      <c r="P20" s="154">
        <f t="shared" si="4"/>
        <v>0.40453132480440096</v>
      </c>
      <c r="Q20" s="155">
        <f t="shared" si="5"/>
        <v>9.53480332563973</v>
      </c>
      <c r="R20" s="155">
        <f t="shared" si="6"/>
        <v>14.03519667436027</v>
      </c>
      <c r="S20" s="220"/>
      <c r="T20" s="220"/>
      <c r="U20" s="220"/>
    </row>
    <row r="21" spans="1:21" s="206" customFormat="1" ht="12.75">
      <c r="A21" s="199" t="s">
        <v>108</v>
      </c>
      <c r="B21" s="204">
        <v>3</v>
      </c>
      <c r="C21" s="204">
        <v>1</v>
      </c>
      <c r="D21" s="218">
        <v>1</v>
      </c>
      <c r="E21" s="219">
        <f>+E20+8.2</f>
        <v>31.49</v>
      </c>
      <c r="F21" s="220">
        <f t="shared" si="0"/>
        <v>377.88</v>
      </c>
      <c r="G21" s="189">
        <f t="shared" si="1"/>
        <v>31.87</v>
      </c>
      <c r="H21" s="190">
        <f t="shared" si="7"/>
        <v>382.44</v>
      </c>
      <c r="I21" s="191">
        <f t="shared" si="2"/>
        <v>0.38000000000000256</v>
      </c>
      <c r="J21" s="190">
        <f t="shared" si="8"/>
        <v>4.560000000000002</v>
      </c>
      <c r="K21" s="192">
        <f t="shared" si="3"/>
        <v>0.012067322959669818</v>
      </c>
      <c r="L21" s="202">
        <f>+G21-G20</f>
        <v>8.3</v>
      </c>
      <c r="M21" s="201">
        <f>+M19*3</f>
        <v>63.05250000000001</v>
      </c>
      <c r="N21" s="152">
        <f t="shared" si="10"/>
        <v>1.6393650000000002</v>
      </c>
      <c r="O21" s="254">
        <f t="shared" si="9"/>
        <v>171.62645986151514</v>
      </c>
      <c r="P21" s="154">
        <f t="shared" si="4"/>
        <v>0.4487670219158957</v>
      </c>
      <c r="Q21" s="155">
        <f t="shared" si="5"/>
        <v>14.302204988459597</v>
      </c>
      <c r="R21" s="155">
        <f t="shared" si="6"/>
        <v>17.567795011540404</v>
      </c>
      <c r="S21" s="220"/>
      <c r="T21" s="220"/>
      <c r="U21" s="220"/>
    </row>
    <row r="22" spans="1:21" s="206" customFormat="1" ht="12.75">
      <c r="A22" s="199" t="s">
        <v>109</v>
      </c>
      <c r="B22" s="204">
        <v>4</v>
      </c>
      <c r="C22" s="204">
        <v>1</v>
      </c>
      <c r="D22" s="218">
        <v>1</v>
      </c>
      <c r="E22" s="219">
        <f>+E21+8.2</f>
        <v>39.69</v>
      </c>
      <c r="F22" s="220">
        <f t="shared" si="0"/>
        <v>476.28</v>
      </c>
      <c r="G22" s="189">
        <f t="shared" si="1"/>
        <v>40.17</v>
      </c>
      <c r="H22" s="190">
        <f t="shared" si="7"/>
        <v>482.04</v>
      </c>
      <c r="I22" s="191">
        <f t="shared" si="2"/>
        <v>0.480000000000004</v>
      </c>
      <c r="J22" s="190">
        <f t="shared" si="8"/>
        <v>5.760000000000048</v>
      </c>
      <c r="K22" s="192">
        <f t="shared" si="3"/>
        <v>0.012093726379440766</v>
      </c>
      <c r="L22" s="202">
        <f>+G22-G21</f>
        <v>8.3</v>
      </c>
      <c r="M22" s="201">
        <f>+M19*4</f>
        <v>84.07000000000001</v>
      </c>
      <c r="N22" s="152">
        <f t="shared" si="10"/>
        <v>2.18582</v>
      </c>
      <c r="O22" s="254">
        <f t="shared" si="9"/>
        <v>228.83527981535352</v>
      </c>
      <c r="P22" s="154">
        <f t="shared" si="4"/>
        <v>0.47472259525216476</v>
      </c>
      <c r="Q22" s="155">
        <f t="shared" si="5"/>
        <v>19.06960665127946</v>
      </c>
      <c r="R22" s="155">
        <f t="shared" si="6"/>
        <v>21.10039334872054</v>
      </c>
      <c r="S22" s="220"/>
      <c r="T22" s="220"/>
      <c r="U22" s="220"/>
    </row>
    <row r="23" spans="1:21" s="206" customFormat="1" ht="12.75">
      <c r="A23" s="199" t="s">
        <v>110</v>
      </c>
      <c r="B23" s="204">
        <v>7811</v>
      </c>
      <c r="C23" s="204">
        <v>7810</v>
      </c>
      <c r="D23" s="218">
        <v>1</v>
      </c>
      <c r="E23" s="219">
        <v>22.76</v>
      </c>
      <c r="F23" s="220">
        <f t="shared" si="0"/>
        <v>2133067.2</v>
      </c>
      <c r="G23" s="189">
        <f t="shared" si="1"/>
        <v>23.04</v>
      </c>
      <c r="H23" s="190">
        <f t="shared" si="7"/>
        <v>2159308.8</v>
      </c>
      <c r="I23" s="191">
        <f t="shared" si="2"/>
        <v>0.2799999999999976</v>
      </c>
      <c r="J23" s="190">
        <f t="shared" si="8"/>
        <v>26241.599999999627</v>
      </c>
      <c r="K23" s="192">
        <f t="shared" si="3"/>
        <v>0.012302284710017469</v>
      </c>
      <c r="L23" s="202"/>
      <c r="M23" s="201">
        <f>+M14*2</f>
        <v>38.432</v>
      </c>
      <c r="N23" s="152">
        <f t="shared" si="10"/>
        <v>7804.001920000001</v>
      </c>
      <c r="O23" s="254">
        <f t="shared" si="9"/>
        <v>817007.3304493307</v>
      </c>
      <c r="P23" s="154">
        <f t="shared" si="4"/>
        <v>0.37836521133490997</v>
      </c>
      <c r="Q23" s="155">
        <f t="shared" si="5"/>
        <v>8.717534469156325</v>
      </c>
      <c r="R23" s="155">
        <f t="shared" si="6"/>
        <v>14.322465530843674</v>
      </c>
      <c r="S23" s="220"/>
      <c r="T23" s="220"/>
      <c r="U23" s="220"/>
    </row>
    <row r="24" spans="1:21" s="206" customFormat="1" ht="12.75">
      <c r="A24" s="199" t="s">
        <v>111</v>
      </c>
      <c r="B24" s="204">
        <v>116</v>
      </c>
      <c r="C24" s="204">
        <v>59</v>
      </c>
      <c r="D24" s="218">
        <v>1</v>
      </c>
      <c r="E24" s="219">
        <f>+E23+12.36</f>
        <v>35.120000000000005</v>
      </c>
      <c r="F24" s="220">
        <f t="shared" si="0"/>
        <v>24864.960000000006</v>
      </c>
      <c r="G24" s="189">
        <f t="shared" si="1"/>
        <v>35.55</v>
      </c>
      <c r="H24" s="190">
        <f t="shared" si="7"/>
        <v>25169.399999999998</v>
      </c>
      <c r="I24" s="191">
        <f t="shared" si="2"/>
        <v>0.4299999999999926</v>
      </c>
      <c r="J24" s="190">
        <f t="shared" si="8"/>
        <v>304.4399999999914</v>
      </c>
      <c r="K24" s="192">
        <f t="shared" si="3"/>
        <v>0.012243735763097738</v>
      </c>
      <c r="L24" s="202">
        <f>+G24-G23</f>
        <v>12.509999999999998</v>
      </c>
      <c r="M24" s="201">
        <f>+M23*2</f>
        <v>76.864</v>
      </c>
      <c r="N24" s="152">
        <f t="shared" si="10"/>
        <v>117.90937600000002</v>
      </c>
      <c r="O24" s="254">
        <f t="shared" si="9"/>
        <v>12344.028808325358</v>
      </c>
      <c r="P24" s="154">
        <f t="shared" si="4"/>
        <v>0.49043794481892133</v>
      </c>
      <c r="Q24" s="155">
        <f t="shared" si="5"/>
        <v>17.435068938312654</v>
      </c>
      <c r="R24" s="155">
        <f t="shared" si="6"/>
        <v>18.114931061687344</v>
      </c>
      <c r="S24" s="220"/>
      <c r="T24" s="220"/>
      <c r="U24" s="220"/>
    </row>
    <row r="25" spans="1:21" s="206" customFormat="1" ht="12.75">
      <c r="A25" s="199" t="s">
        <v>112</v>
      </c>
      <c r="B25" s="204">
        <v>12</v>
      </c>
      <c r="C25" s="204">
        <v>4</v>
      </c>
      <c r="D25" s="218">
        <v>1</v>
      </c>
      <c r="E25" s="219">
        <f>+E24+12.36</f>
        <v>47.480000000000004</v>
      </c>
      <c r="F25" s="220">
        <f t="shared" si="0"/>
        <v>2279.04</v>
      </c>
      <c r="G25" s="189">
        <f t="shared" si="1"/>
        <v>48.06</v>
      </c>
      <c r="H25" s="190">
        <f t="shared" si="7"/>
        <v>2306.88</v>
      </c>
      <c r="I25" s="191">
        <f t="shared" si="2"/>
        <v>0.5799999999999983</v>
      </c>
      <c r="J25" s="190">
        <f t="shared" si="8"/>
        <v>27.840000000000146</v>
      </c>
      <c r="K25" s="192">
        <f t="shared" si="3"/>
        <v>0.012215669755686567</v>
      </c>
      <c r="L25" s="202">
        <f>+G25-G24</f>
        <v>12.510000000000005</v>
      </c>
      <c r="M25" s="201">
        <f>+M23*3</f>
        <v>115.296</v>
      </c>
      <c r="N25" s="152">
        <f t="shared" si="10"/>
        <v>11.990784000000001</v>
      </c>
      <c r="O25" s="254">
        <f t="shared" si="9"/>
        <v>1255.324963558511</v>
      </c>
      <c r="P25" s="154">
        <f t="shared" si="4"/>
        <v>0.5441656972007693</v>
      </c>
      <c r="Q25" s="155">
        <f t="shared" si="5"/>
        <v>26.152603407468977</v>
      </c>
      <c r="R25" s="155">
        <f t="shared" si="6"/>
        <v>21.907396592531025</v>
      </c>
      <c r="S25" s="220"/>
      <c r="T25" s="220"/>
      <c r="U25" s="220"/>
    </row>
    <row r="26" spans="1:21" s="206" customFormat="1" ht="12.75">
      <c r="A26" s="199" t="s">
        <v>113</v>
      </c>
      <c r="B26" s="204">
        <v>2014</v>
      </c>
      <c r="C26" s="204">
        <v>2014</v>
      </c>
      <c r="D26" s="218">
        <v>1</v>
      </c>
      <c r="E26" s="219">
        <v>30.44</v>
      </c>
      <c r="F26" s="220">
        <f t="shared" si="0"/>
        <v>735673.92</v>
      </c>
      <c r="G26" s="189">
        <f t="shared" si="1"/>
        <v>30.81</v>
      </c>
      <c r="H26" s="190">
        <f t="shared" si="7"/>
        <v>744616.08</v>
      </c>
      <c r="I26" s="191">
        <f t="shared" si="2"/>
        <v>0.36999999999999744</v>
      </c>
      <c r="J26" s="190">
        <f t="shared" si="8"/>
        <v>8942.159999999916</v>
      </c>
      <c r="K26" s="192">
        <f t="shared" si="3"/>
        <v>0.01215505913272002</v>
      </c>
      <c r="L26" s="202"/>
      <c r="M26" s="201">
        <f>+M14*3</f>
        <v>57.648</v>
      </c>
      <c r="N26" s="152">
        <f t="shared" si="10"/>
        <v>3018.679872</v>
      </c>
      <c r="O26" s="254">
        <f t="shared" si="9"/>
        <v>316028.0595758551</v>
      </c>
      <c r="P26" s="154">
        <f t="shared" si="4"/>
        <v>0.4244174522471434</v>
      </c>
      <c r="Q26" s="155">
        <f t="shared" si="5"/>
        <v>13.076301703734487</v>
      </c>
      <c r="R26" s="155">
        <f t="shared" si="6"/>
        <v>17.733698296265512</v>
      </c>
      <c r="S26" s="220"/>
      <c r="T26" s="220"/>
      <c r="U26" s="220"/>
    </row>
    <row r="27" spans="1:21" s="206" customFormat="1" ht="12.75">
      <c r="A27" s="199" t="s">
        <v>114</v>
      </c>
      <c r="B27" s="204">
        <v>104</v>
      </c>
      <c r="C27" s="204">
        <v>53</v>
      </c>
      <c r="D27" s="218">
        <v>1</v>
      </c>
      <c r="E27" s="219">
        <f>+E26+16.53</f>
        <v>46.97</v>
      </c>
      <c r="F27" s="220">
        <f t="shared" si="0"/>
        <v>29872.92</v>
      </c>
      <c r="G27" s="189">
        <f t="shared" si="1"/>
        <v>47.54</v>
      </c>
      <c r="H27" s="190">
        <f t="shared" si="7"/>
        <v>30235.44</v>
      </c>
      <c r="I27" s="191">
        <f t="shared" si="2"/>
        <v>0.5700000000000003</v>
      </c>
      <c r="J27" s="190">
        <f>+H27-F27</f>
        <v>362.52000000000044</v>
      </c>
      <c r="K27" s="192">
        <f t="shared" si="3"/>
        <v>0.012135405578028535</v>
      </c>
      <c r="L27" s="202">
        <f>+G27-G26</f>
        <v>16.73</v>
      </c>
      <c r="M27" s="201">
        <f>+M26*2</f>
        <v>115.296</v>
      </c>
      <c r="N27" s="152">
        <f t="shared" si="10"/>
        <v>158.877888</v>
      </c>
      <c r="O27" s="254">
        <f t="shared" si="9"/>
        <v>16633.05576715027</v>
      </c>
      <c r="P27" s="154">
        <f t="shared" si="4"/>
        <v>0.5501178672164277</v>
      </c>
      <c r="Q27" s="155">
        <f t="shared" si="5"/>
        <v>26.152603407468973</v>
      </c>
      <c r="R27" s="155">
        <f t="shared" si="6"/>
        <v>21.387396592531026</v>
      </c>
      <c r="S27" s="220"/>
      <c r="T27" s="220"/>
      <c r="U27" s="220"/>
    </row>
    <row r="28" spans="1:21" s="206" customFormat="1" ht="15">
      <c r="A28" s="199" t="s">
        <v>14</v>
      </c>
      <c r="B28" s="221">
        <v>2895</v>
      </c>
      <c r="C28" s="221">
        <v>2895</v>
      </c>
      <c r="D28" s="218">
        <v>1</v>
      </c>
      <c r="E28" s="219">
        <v>3.83</v>
      </c>
      <c r="F28" s="223">
        <f t="shared" si="0"/>
        <v>133054.2</v>
      </c>
      <c r="G28" s="189">
        <f>ROUND(E28*(1+$G$8),2)+0.02</f>
        <v>3.9</v>
      </c>
      <c r="H28" s="193">
        <f t="shared" si="7"/>
        <v>135486</v>
      </c>
      <c r="I28" s="191">
        <f t="shared" si="2"/>
        <v>0.06999999999999984</v>
      </c>
      <c r="J28" s="193">
        <f>+H28-F28</f>
        <v>2431.7999999999884</v>
      </c>
      <c r="K28" s="194">
        <f t="shared" si="3"/>
        <v>0.018276762402088732</v>
      </c>
      <c r="L28" s="222"/>
      <c r="M28" s="201">
        <f>+M14</f>
        <v>19.216</v>
      </c>
      <c r="N28" s="169">
        <f>+M28*C28*D28*12/2000</f>
        <v>333.78191999999996</v>
      </c>
      <c r="O28" s="255">
        <f t="shared" si="9"/>
        <v>34943.90162982585</v>
      </c>
      <c r="P28" s="171">
        <f t="shared" si="4"/>
        <v>0.2579152209809563</v>
      </c>
      <c r="Q28" s="155">
        <f t="shared" si="5"/>
        <v>1.0058693618257295</v>
      </c>
      <c r="R28" s="155">
        <f t="shared" si="6"/>
        <v>2.8941306381742704</v>
      </c>
      <c r="S28" s="223"/>
      <c r="T28" s="223"/>
      <c r="U28" s="223"/>
    </row>
    <row r="29" spans="1:21" s="206" customFormat="1" ht="15">
      <c r="A29" s="199"/>
      <c r="B29" s="233">
        <f>SUM(B10:B28)</f>
        <v>28934</v>
      </c>
      <c r="C29" s="233">
        <f>SUM(C10:C28)</f>
        <v>27480</v>
      </c>
      <c r="D29" s="266"/>
      <c r="E29" s="234"/>
      <c r="F29" s="235">
        <f>SUM(F10:F28)</f>
        <v>5696152.2</v>
      </c>
      <c r="G29" s="235"/>
      <c r="H29" s="235">
        <f>SUM(H10:H28)</f>
        <v>5766094.32</v>
      </c>
      <c r="I29" s="257"/>
      <c r="J29" s="235">
        <f>SUM(J10:J28)</f>
        <v>69942.1199999993</v>
      </c>
      <c r="K29" s="226">
        <f>+J29/F29</f>
        <v>0.01227883622913013</v>
      </c>
      <c r="L29" s="227"/>
      <c r="M29" s="228"/>
      <c r="N29" s="228">
        <f>SUM(N10:N28)</f>
        <v>19497.608077999997</v>
      </c>
      <c r="O29" s="256">
        <f>SUM(O10:O28)</f>
        <v>2041220.5031792312</v>
      </c>
      <c r="P29" s="226">
        <f>+O29/H29</f>
        <v>0.354004008588474</v>
      </c>
      <c r="Q29" s="225"/>
      <c r="R29" s="225"/>
      <c r="S29" s="225"/>
      <c r="T29" s="225"/>
      <c r="U29" s="225"/>
    </row>
    <row r="30" spans="1:15" s="206" customFormat="1" ht="12.75">
      <c r="A30" s="199"/>
      <c r="B30" s="204"/>
      <c r="C30" s="204"/>
      <c r="D30" s="218"/>
      <c r="E30" s="219"/>
      <c r="L30" s="216"/>
      <c r="M30" s="217"/>
      <c r="O30" s="257"/>
    </row>
    <row r="31" spans="1:20" s="206" customFormat="1" ht="15">
      <c r="A31" s="199"/>
      <c r="B31" s="204"/>
      <c r="C31" s="204"/>
      <c r="D31" s="218"/>
      <c r="E31" s="219"/>
      <c r="F31" s="195">
        <f>+WTB!J14</f>
        <v>5596902</v>
      </c>
      <c r="G31" s="195"/>
      <c r="H31" s="195">
        <f>+WTB!N14</f>
        <v>5666796.9828457795</v>
      </c>
      <c r="I31" s="270"/>
      <c r="J31" s="195">
        <f>+'Disposal Summary'!L20+'Disposal Summary'!M20</f>
        <v>69894.98284577913</v>
      </c>
      <c r="K31" s="229"/>
      <c r="L31" s="196"/>
      <c r="M31" s="197"/>
      <c r="N31" s="228">
        <f>+'Disposal Summary'!G20</f>
        <v>19497.210232489284</v>
      </c>
      <c r="O31" s="256">
        <f>+'Disposal Summary'!I20</f>
        <v>1971283.8695622229</v>
      </c>
      <c r="P31" s="195"/>
      <c r="Q31" s="195"/>
      <c r="R31" s="195"/>
      <c r="S31" s="195"/>
      <c r="T31" s="195"/>
    </row>
    <row r="32" spans="1:20" s="253" customFormat="1" ht="14.25">
      <c r="A32" s="246"/>
      <c r="B32" s="247"/>
      <c r="C32" s="247"/>
      <c r="D32" s="248"/>
      <c r="E32" s="249"/>
      <c r="F32" s="250">
        <f>+F29/F31-1</f>
        <v>0.017733060182222316</v>
      </c>
      <c r="G32" s="250"/>
      <c r="H32" s="250">
        <f>+H29/H31-1</f>
        <v>0.01752265652974838</v>
      </c>
      <c r="I32" s="271"/>
      <c r="J32" s="250"/>
      <c r="K32" s="250"/>
      <c r="L32" s="251"/>
      <c r="M32" s="252"/>
      <c r="N32" s="252"/>
      <c r="O32" s="259">
        <f>+O29-O31</f>
        <v>69936.63361700834</v>
      </c>
      <c r="P32" s="250"/>
      <c r="Q32" s="250"/>
      <c r="R32" s="250"/>
      <c r="S32" s="250"/>
      <c r="T32" s="250"/>
    </row>
    <row r="33" spans="1:14" s="206" customFormat="1" ht="13.5" thickBot="1">
      <c r="A33" s="199"/>
      <c r="B33" s="204"/>
      <c r="C33" s="204"/>
      <c r="D33" s="218"/>
      <c r="E33" s="219"/>
      <c r="L33" s="216"/>
      <c r="M33" s="217"/>
      <c r="N33" s="217"/>
    </row>
    <row r="34" spans="1:14" s="206" customFormat="1" ht="14.25" thickBot="1" thickTop="1">
      <c r="A34" s="210" t="s">
        <v>115</v>
      </c>
      <c r="B34" s="204"/>
      <c r="C34" s="204"/>
      <c r="D34" s="218"/>
      <c r="E34" s="219"/>
      <c r="G34" s="188">
        <v>0.016</v>
      </c>
      <c r="L34" s="216"/>
      <c r="M34" s="217"/>
      <c r="N34" s="217"/>
    </row>
    <row r="35" spans="1:21" s="206" customFormat="1" ht="13.5" thickTop="1">
      <c r="A35" s="199" t="s">
        <v>116</v>
      </c>
      <c r="B35" s="204">
        <v>8941</v>
      </c>
      <c r="C35" s="204">
        <f>+B35</f>
        <v>8941</v>
      </c>
      <c r="D35" s="218">
        <v>1</v>
      </c>
      <c r="E35" s="219">
        <v>13.58</v>
      </c>
      <c r="F35" s="220">
        <f aca="true" t="shared" si="11" ref="F35:F40">+E35*D35*C35*12</f>
        <v>1457025.3599999999</v>
      </c>
      <c r="G35" s="189">
        <f>ROUND(E35*(1+$G$34),2)</f>
        <v>13.8</v>
      </c>
      <c r="H35" s="190">
        <f aca="true" t="shared" si="12" ref="H35:H40">+G35*C35*D35*12</f>
        <v>1480629.6</v>
      </c>
      <c r="I35" s="191">
        <f aca="true" t="shared" si="13" ref="I35:I40">G35-E35</f>
        <v>0.22000000000000064</v>
      </c>
      <c r="J35" s="190">
        <f aca="true" t="shared" si="14" ref="J35:J40">+H35-F35</f>
        <v>23604.240000000224</v>
      </c>
      <c r="K35" s="192">
        <f aca="true" t="shared" si="15" ref="K35:K40">I35/E35</f>
        <v>0.01620029455081006</v>
      </c>
      <c r="L35" s="202"/>
      <c r="M35" s="201"/>
      <c r="N35" s="201"/>
      <c r="O35" s="220"/>
      <c r="P35" s="220"/>
      <c r="Q35" s="220"/>
      <c r="R35" s="220"/>
      <c r="S35" s="220"/>
      <c r="T35" s="220"/>
      <c r="U35" s="220"/>
    </row>
    <row r="36" spans="1:21" s="206" customFormat="1" ht="12.75">
      <c r="A36" s="199" t="s">
        <v>117</v>
      </c>
      <c r="B36" s="204">
        <f>+C36*2</f>
        <v>534</v>
      </c>
      <c r="C36" s="204">
        <v>267</v>
      </c>
      <c r="D36" s="218">
        <v>1</v>
      </c>
      <c r="E36" s="219">
        <f>+E35+8.47</f>
        <v>22.05</v>
      </c>
      <c r="F36" s="220">
        <f t="shared" si="11"/>
        <v>70648.20000000001</v>
      </c>
      <c r="G36" s="189">
        <f>ROUND(E36*(1+$G$34),2)</f>
        <v>22.4</v>
      </c>
      <c r="H36" s="190">
        <f t="shared" si="12"/>
        <v>71769.59999999999</v>
      </c>
      <c r="I36" s="191">
        <f t="shared" si="13"/>
        <v>0.34999999999999787</v>
      </c>
      <c r="J36" s="190">
        <f t="shared" si="14"/>
        <v>1121.3999999999796</v>
      </c>
      <c r="K36" s="192">
        <f t="shared" si="15"/>
        <v>0.015873015873015775</v>
      </c>
      <c r="L36" s="202"/>
      <c r="M36" s="267">
        <f>+G36-G35</f>
        <v>8.599999999999998</v>
      </c>
      <c r="N36" s="201"/>
      <c r="O36" s="220"/>
      <c r="P36" s="220"/>
      <c r="Q36" s="220"/>
      <c r="R36" s="220"/>
      <c r="S36" s="220"/>
      <c r="T36" s="220"/>
      <c r="U36" s="220"/>
    </row>
    <row r="37" spans="1:21" s="206" customFormat="1" ht="12.75">
      <c r="A37" s="199" t="s">
        <v>118</v>
      </c>
      <c r="B37" s="204">
        <f>+C37*3</f>
        <v>69</v>
      </c>
      <c r="C37" s="204">
        <v>23</v>
      </c>
      <c r="D37" s="218">
        <v>1</v>
      </c>
      <c r="E37" s="219">
        <f>+E36+8.47</f>
        <v>30.520000000000003</v>
      </c>
      <c r="F37" s="220">
        <f t="shared" si="11"/>
        <v>8423.52</v>
      </c>
      <c r="G37" s="189">
        <f>ROUND(E37*(1+$G$34),2)-0.01</f>
        <v>31</v>
      </c>
      <c r="H37" s="190">
        <f t="shared" si="12"/>
        <v>8556</v>
      </c>
      <c r="I37" s="191">
        <f t="shared" si="13"/>
        <v>0.4799999999999969</v>
      </c>
      <c r="J37" s="190">
        <f t="shared" si="14"/>
        <v>132.47999999999956</v>
      </c>
      <c r="K37" s="192">
        <f t="shared" si="15"/>
        <v>0.01572739187418076</v>
      </c>
      <c r="L37" s="202"/>
      <c r="M37" s="267">
        <f>+G37-G36</f>
        <v>8.600000000000001</v>
      </c>
      <c r="N37" s="201"/>
      <c r="O37" s="220"/>
      <c r="P37" s="220"/>
      <c r="Q37" s="220"/>
      <c r="R37" s="220"/>
      <c r="S37" s="220"/>
      <c r="T37" s="220"/>
      <c r="U37" s="220"/>
    </row>
    <row r="38" spans="1:21" s="206" customFormat="1" ht="12.75">
      <c r="A38" s="199" t="s">
        <v>119</v>
      </c>
      <c r="B38" s="204">
        <f>+C38*4</f>
        <v>32</v>
      </c>
      <c r="C38" s="204">
        <v>8</v>
      </c>
      <c r="D38" s="218">
        <v>1</v>
      </c>
      <c r="E38" s="219">
        <f>+E37+8.47</f>
        <v>38.99</v>
      </c>
      <c r="F38" s="220">
        <f t="shared" si="11"/>
        <v>3743.04</v>
      </c>
      <c r="G38" s="189">
        <f>ROUND(E38*(1+$G$34),2)-0.01</f>
        <v>39.6</v>
      </c>
      <c r="H38" s="190">
        <f t="shared" si="12"/>
        <v>3801.6000000000004</v>
      </c>
      <c r="I38" s="191">
        <f t="shared" si="13"/>
        <v>0.6099999999999994</v>
      </c>
      <c r="J38" s="190">
        <f t="shared" si="14"/>
        <v>58.5600000000004</v>
      </c>
      <c r="K38" s="192">
        <f t="shared" si="15"/>
        <v>0.015645037189022812</v>
      </c>
      <c r="L38" s="202"/>
      <c r="M38" s="267">
        <f>+G38-G37</f>
        <v>8.600000000000001</v>
      </c>
      <c r="N38" s="201"/>
      <c r="O38" s="220"/>
      <c r="P38" s="220"/>
      <c r="Q38" s="220"/>
      <c r="R38" s="220"/>
      <c r="S38" s="220"/>
      <c r="T38" s="220"/>
      <c r="U38" s="220"/>
    </row>
    <row r="39" spans="1:21" s="206" customFormat="1" ht="12.75">
      <c r="A39" s="199" t="s">
        <v>120</v>
      </c>
      <c r="B39" s="204">
        <v>5</v>
      </c>
      <c r="C39" s="204">
        <v>1</v>
      </c>
      <c r="D39" s="218">
        <v>1</v>
      </c>
      <c r="E39" s="219">
        <f>+E38+8.47</f>
        <v>47.46</v>
      </c>
      <c r="F39" s="220">
        <f t="shared" si="11"/>
        <v>569.52</v>
      </c>
      <c r="G39" s="189">
        <f>ROUND(E39*(1+$G$34),2)-0.02</f>
        <v>48.199999999999996</v>
      </c>
      <c r="H39" s="190">
        <f t="shared" si="12"/>
        <v>578.4</v>
      </c>
      <c r="I39" s="191">
        <f t="shared" si="13"/>
        <v>0.7399999999999949</v>
      </c>
      <c r="J39" s="190">
        <f t="shared" si="14"/>
        <v>8.879999999999995</v>
      </c>
      <c r="K39" s="192">
        <f t="shared" si="15"/>
        <v>0.015592077538980086</v>
      </c>
      <c r="L39" s="202"/>
      <c r="M39" s="267">
        <f>+G39-G38</f>
        <v>8.599999999999994</v>
      </c>
      <c r="N39" s="201"/>
      <c r="O39" s="220"/>
      <c r="P39" s="220"/>
      <c r="Q39" s="220"/>
      <c r="R39" s="220"/>
      <c r="S39" s="220"/>
      <c r="T39" s="220"/>
      <c r="U39" s="220"/>
    </row>
    <row r="40" spans="1:21" s="206" customFormat="1" ht="15">
      <c r="A40" s="199" t="s">
        <v>121</v>
      </c>
      <c r="B40" s="221">
        <v>6</v>
      </c>
      <c r="C40" s="221">
        <v>1</v>
      </c>
      <c r="D40" s="218">
        <v>1</v>
      </c>
      <c r="E40" s="219">
        <f>+E39+8.47</f>
        <v>55.93</v>
      </c>
      <c r="F40" s="223">
        <f t="shared" si="11"/>
        <v>671.16</v>
      </c>
      <c r="G40" s="189">
        <f>ROUND(E40*(1+$G$34),2)-0.02</f>
        <v>56.8</v>
      </c>
      <c r="H40" s="193">
        <f t="shared" si="12"/>
        <v>681.5999999999999</v>
      </c>
      <c r="I40" s="191">
        <f t="shared" si="13"/>
        <v>0.8699999999999974</v>
      </c>
      <c r="J40" s="193">
        <f t="shared" si="14"/>
        <v>10.43999999999994</v>
      </c>
      <c r="K40" s="194">
        <f t="shared" si="15"/>
        <v>0.015555158233506122</v>
      </c>
      <c r="L40" s="202"/>
      <c r="M40" s="267">
        <f>+G40-G39</f>
        <v>8.600000000000001</v>
      </c>
      <c r="N40" s="201"/>
      <c r="O40" s="220"/>
      <c r="P40" s="220"/>
      <c r="Q40" s="220"/>
      <c r="R40" s="220"/>
      <c r="S40" s="220"/>
      <c r="T40" s="220"/>
      <c r="U40" s="220"/>
    </row>
    <row r="41" spans="1:22" s="206" customFormat="1" ht="15">
      <c r="A41" s="199"/>
      <c r="B41" s="233">
        <f>SUM(B35:B40)</f>
        <v>9587</v>
      </c>
      <c r="C41" s="233">
        <f>SUM(C35:C40)</f>
        <v>9241</v>
      </c>
      <c r="D41" s="218"/>
      <c r="E41" s="234"/>
      <c r="F41" s="235">
        <f>SUM(F35:F40)</f>
        <v>1541080.7999999998</v>
      </c>
      <c r="G41" s="235"/>
      <c r="H41" s="235">
        <f>SUM(H35:H40)</f>
        <v>1566016.8000000003</v>
      </c>
      <c r="I41" s="257"/>
      <c r="J41" s="235">
        <f>SUM(J35:J40)</f>
        <v>24936.000000000204</v>
      </c>
      <c r="K41" s="229">
        <f>+J41/F41</f>
        <v>0.01618085177623406</v>
      </c>
      <c r="L41" s="236"/>
      <c r="M41" s="237"/>
      <c r="N41" s="237">
        <f>+'Disposal Summary'!G38</f>
        <v>8067.74337017318</v>
      </c>
      <c r="O41" s="235"/>
      <c r="P41" s="235"/>
      <c r="Q41" s="235"/>
      <c r="R41" s="235"/>
      <c r="S41" s="235"/>
      <c r="T41" s="235"/>
      <c r="U41" s="235"/>
      <c r="V41" s="235"/>
    </row>
    <row r="42" spans="1:22" s="206" customFormat="1" ht="15">
      <c r="A42" s="199"/>
      <c r="B42" s="233"/>
      <c r="C42" s="233"/>
      <c r="D42" s="218"/>
      <c r="E42" s="234"/>
      <c r="F42" s="235"/>
      <c r="G42" s="235"/>
      <c r="H42" s="235"/>
      <c r="I42" s="257"/>
      <c r="J42" s="235"/>
      <c r="K42" s="229"/>
      <c r="L42" s="236"/>
      <c r="M42" s="237"/>
      <c r="N42" s="237">
        <f>+'Disposal Summary'!L38+'Disposal Summary'!M38</f>
        <v>24867.822671413054</v>
      </c>
      <c r="O42" s="235"/>
      <c r="P42" s="235"/>
      <c r="Q42" s="235"/>
      <c r="R42" s="235"/>
      <c r="S42" s="235"/>
      <c r="T42" s="235"/>
      <c r="U42" s="235"/>
      <c r="V42" s="235"/>
    </row>
    <row r="43" spans="1:20" s="206" customFormat="1" ht="15">
      <c r="A43" s="199"/>
      <c r="B43" s="204"/>
      <c r="C43" s="204"/>
      <c r="D43" s="218"/>
      <c r="E43" s="219"/>
      <c r="F43" s="238">
        <f>+WTB!J15</f>
        <v>1504719</v>
      </c>
      <c r="G43" s="238"/>
      <c r="H43" s="238">
        <f>'[1]Lurito - Res''l YW'!E3</f>
        <v>1497754.7730090262</v>
      </c>
      <c r="I43" s="258"/>
      <c r="J43" s="195">
        <f>J41</f>
        <v>24936.000000000204</v>
      </c>
      <c r="K43" s="229">
        <f>+J43/F43</f>
        <v>0.01657186491298389</v>
      </c>
      <c r="L43" s="239">
        <f>+'[1]Lurito - Total'!H40</f>
        <v>0.2681969599475377</v>
      </c>
      <c r="M43" s="240"/>
      <c r="N43" s="240"/>
      <c r="O43" s="238"/>
      <c r="P43" s="238"/>
      <c r="Q43" s="238"/>
      <c r="R43" s="238"/>
      <c r="S43" s="238"/>
      <c r="T43" s="238"/>
    </row>
    <row r="44" spans="1:20" s="253" customFormat="1" ht="14.25">
      <c r="A44" s="246"/>
      <c r="B44" s="247"/>
      <c r="C44" s="247"/>
      <c r="D44" s="248"/>
      <c r="E44" s="249"/>
      <c r="F44" s="250">
        <f>(F41-F43)/F41</f>
        <v>0.023594999042230502</v>
      </c>
      <c r="G44" s="250"/>
      <c r="H44" s="250">
        <f>(H41-H43)/H41</f>
        <v>0.04358958792202873</v>
      </c>
      <c r="I44" s="271"/>
      <c r="J44" s="250">
        <f>(J41-J43)/J41</f>
        <v>0</v>
      </c>
      <c r="K44" s="250"/>
      <c r="L44" s="251"/>
      <c r="M44" s="252"/>
      <c r="N44" s="252"/>
      <c r="O44" s="250"/>
      <c r="P44" s="250"/>
      <c r="Q44" s="250"/>
      <c r="R44" s="250"/>
      <c r="S44" s="250"/>
      <c r="T44" s="250"/>
    </row>
    <row r="45" spans="2:20" s="206" customFormat="1" ht="15.75" thickBot="1">
      <c r="B45" s="214"/>
      <c r="C45" s="214"/>
      <c r="E45" s="219"/>
      <c r="F45" s="230"/>
      <c r="G45" s="230"/>
      <c r="H45" s="230"/>
      <c r="I45" s="272"/>
      <c r="J45" s="230"/>
      <c r="K45" s="230"/>
      <c r="L45" s="231"/>
      <c r="M45" s="232"/>
      <c r="N45" s="232"/>
      <c r="O45" s="230"/>
      <c r="P45" s="230"/>
      <c r="Q45" s="230"/>
      <c r="R45" s="230"/>
      <c r="S45" s="230"/>
      <c r="T45" s="230"/>
    </row>
    <row r="46" spans="1:15" s="199" customFormat="1" ht="16.5" thickBot="1" thickTop="1">
      <c r="A46" s="210" t="s">
        <v>122</v>
      </c>
      <c r="B46" s="204"/>
      <c r="C46" s="204"/>
      <c r="E46" s="219"/>
      <c r="G46" s="188">
        <v>0.01536</v>
      </c>
      <c r="H46" s="230"/>
      <c r="J46" s="241"/>
      <c r="L46" s="202"/>
      <c r="M46" s="201"/>
      <c r="N46" s="201"/>
      <c r="O46" s="166">
        <f>+'Disposal Summary'!K13</f>
        <v>104.85646894563517</v>
      </c>
    </row>
    <row r="47" spans="1:21" s="199" customFormat="1" ht="13.5" thickTop="1">
      <c r="A47" s="199" t="s">
        <v>123</v>
      </c>
      <c r="B47" s="204">
        <v>2</v>
      </c>
      <c r="C47" s="204">
        <v>2</v>
      </c>
      <c r="D47" s="218">
        <v>1</v>
      </c>
      <c r="E47" s="219">
        <v>3.65</v>
      </c>
      <c r="F47" s="220">
        <f aca="true" t="shared" si="16" ref="F47:F52">+E47*D47*B47*52</f>
        <v>379.59999999999997</v>
      </c>
      <c r="G47" s="189">
        <f aca="true" t="shared" si="17" ref="G47:G52">ROUND(E47*(1+$G$46),2)</f>
        <v>3.71</v>
      </c>
      <c r="H47" s="190">
        <f aca="true" t="shared" si="18" ref="H47:H52">+G47*D47*B47*52</f>
        <v>385.84</v>
      </c>
      <c r="I47" s="191">
        <f aca="true" t="shared" si="19" ref="I47:I52">G47-E47</f>
        <v>0.06000000000000005</v>
      </c>
      <c r="J47" s="190">
        <f aca="true" t="shared" si="20" ref="J47:J52">+H47-F47</f>
        <v>6.240000000000009</v>
      </c>
      <c r="K47" s="192">
        <f aca="true" t="shared" si="21" ref="K47:K52">I47/E47</f>
        <v>0.016438356164383577</v>
      </c>
      <c r="L47" s="202">
        <f aca="true" t="shared" si="22" ref="L47:L52">202/32*G47</f>
        <v>23.419375</v>
      </c>
      <c r="M47" s="152">
        <f>32/202*M$72</f>
        <v>15.626138613861386</v>
      </c>
      <c r="N47" s="201">
        <f aca="true" t="shared" si="23" ref="N47:N52">+B47*D47*52*M47/2000</f>
        <v>0.8125592079207921</v>
      </c>
      <c r="O47" s="168">
        <f aca="true" t="shared" si="24" ref="O47:O52">+$O$8*N47</f>
        <v>85.06748666912027</v>
      </c>
      <c r="P47" s="154">
        <f aca="true" t="shared" si="25" ref="P47:P110">+O47/H47</f>
        <v>0.2204734777864407</v>
      </c>
      <c r="Q47" s="155">
        <f aca="true" t="shared" si="26" ref="Q47:Q52">+P47*G47</f>
        <v>0.817956602587695</v>
      </c>
      <c r="R47" s="155">
        <f aca="true" t="shared" si="27" ref="R47:R52">+G47-Q47</f>
        <v>2.892043397412305</v>
      </c>
      <c r="S47" s="220"/>
      <c r="T47" s="220"/>
      <c r="U47" s="220"/>
    </row>
    <row r="48" spans="1:21" s="199" customFormat="1" ht="12.75">
      <c r="A48" s="199" t="s">
        <v>124</v>
      </c>
      <c r="B48" s="204">
        <v>12</v>
      </c>
      <c r="C48" s="204">
        <v>6</v>
      </c>
      <c r="D48" s="218">
        <v>1</v>
      </c>
      <c r="E48" s="219">
        <v>3.65</v>
      </c>
      <c r="F48" s="220">
        <f t="shared" si="16"/>
        <v>2277.6</v>
      </c>
      <c r="G48" s="189">
        <f t="shared" si="17"/>
        <v>3.71</v>
      </c>
      <c r="H48" s="190">
        <f t="shared" si="18"/>
        <v>2315.04</v>
      </c>
      <c r="I48" s="191">
        <f t="shared" si="19"/>
        <v>0.06000000000000005</v>
      </c>
      <c r="J48" s="190">
        <f t="shared" si="20"/>
        <v>37.440000000000055</v>
      </c>
      <c r="K48" s="192">
        <f t="shared" si="21"/>
        <v>0.016438356164383577</v>
      </c>
      <c r="L48" s="202">
        <f t="shared" si="22"/>
        <v>23.419375</v>
      </c>
      <c r="M48" s="201">
        <f>+M47</f>
        <v>15.626138613861386</v>
      </c>
      <c r="N48" s="201">
        <f t="shared" si="23"/>
        <v>4.875355247524753</v>
      </c>
      <c r="O48" s="168">
        <f t="shared" si="24"/>
        <v>510.40492001472165</v>
      </c>
      <c r="P48" s="154">
        <f t="shared" si="25"/>
        <v>0.2204734777864407</v>
      </c>
      <c r="Q48" s="155">
        <f t="shared" si="26"/>
        <v>0.817956602587695</v>
      </c>
      <c r="R48" s="155">
        <f t="shared" si="27"/>
        <v>2.892043397412305</v>
      </c>
      <c r="S48" s="220"/>
      <c r="T48" s="220"/>
      <c r="U48" s="220"/>
    </row>
    <row r="49" spans="1:21" s="199" customFormat="1" ht="12.75">
      <c r="A49" s="199" t="s">
        <v>125</v>
      </c>
      <c r="B49" s="204">
        <v>3</v>
      </c>
      <c r="C49" s="204">
        <v>1</v>
      </c>
      <c r="D49" s="218">
        <v>1</v>
      </c>
      <c r="E49" s="219">
        <v>3.65</v>
      </c>
      <c r="F49" s="220">
        <f t="shared" si="16"/>
        <v>569.4</v>
      </c>
      <c r="G49" s="189">
        <f t="shared" si="17"/>
        <v>3.71</v>
      </c>
      <c r="H49" s="190">
        <f t="shared" si="18"/>
        <v>578.76</v>
      </c>
      <c r="I49" s="191">
        <f t="shared" si="19"/>
        <v>0.06000000000000005</v>
      </c>
      <c r="J49" s="190">
        <f t="shared" si="20"/>
        <v>9.360000000000014</v>
      </c>
      <c r="K49" s="192">
        <f t="shared" si="21"/>
        <v>0.016438356164383577</v>
      </c>
      <c r="L49" s="202">
        <f t="shared" si="22"/>
        <v>23.419375</v>
      </c>
      <c r="M49" s="201">
        <f>+M48</f>
        <v>15.626138613861386</v>
      </c>
      <c r="N49" s="201">
        <f t="shared" si="23"/>
        <v>1.2188388118811881</v>
      </c>
      <c r="O49" s="168">
        <f t="shared" si="24"/>
        <v>127.60123000368041</v>
      </c>
      <c r="P49" s="154">
        <f t="shared" si="25"/>
        <v>0.2204734777864407</v>
      </c>
      <c r="Q49" s="155">
        <f t="shared" si="26"/>
        <v>0.817956602587695</v>
      </c>
      <c r="R49" s="155">
        <f t="shared" si="27"/>
        <v>2.892043397412305</v>
      </c>
      <c r="S49" s="220"/>
      <c r="T49" s="220"/>
      <c r="U49" s="220"/>
    </row>
    <row r="50" spans="1:21" s="199" customFormat="1" ht="12.75">
      <c r="A50" s="199" t="s">
        <v>126</v>
      </c>
      <c r="B50" s="204">
        <v>8</v>
      </c>
      <c r="C50" s="204">
        <v>2</v>
      </c>
      <c r="D50" s="218">
        <v>1</v>
      </c>
      <c r="E50" s="219">
        <v>3.65</v>
      </c>
      <c r="F50" s="220">
        <f t="shared" si="16"/>
        <v>1518.3999999999999</v>
      </c>
      <c r="G50" s="189">
        <f t="shared" si="17"/>
        <v>3.71</v>
      </c>
      <c r="H50" s="190">
        <f t="shared" si="18"/>
        <v>1543.36</v>
      </c>
      <c r="I50" s="191">
        <f t="shared" si="19"/>
        <v>0.06000000000000005</v>
      </c>
      <c r="J50" s="190">
        <f t="shared" si="20"/>
        <v>24.960000000000036</v>
      </c>
      <c r="K50" s="192">
        <f t="shared" si="21"/>
        <v>0.016438356164383577</v>
      </c>
      <c r="L50" s="202">
        <f t="shared" si="22"/>
        <v>23.419375</v>
      </c>
      <c r="M50" s="201">
        <f>+M49</f>
        <v>15.626138613861386</v>
      </c>
      <c r="N50" s="201">
        <f t="shared" si="23"/>
        <v>3.2502368316831682</v>
      </c>
      <c r="O50" s="168">
        <f t="shared" si="24"/>
        <v>340.2699466764811</v>
      </c>
      <c r="P50" s="154">
        <f t="shared" si="25"/>
        <v>0.2204734777864407</v>
      </c>
      <c r="Q50" s="155">
        <f t="shared" si="26"/>
        <v>0.817956602587695</v>
      </c>
      <c r="R50" s="155">
        <f t="shared" si="27"/>
        <v>2.892043397412305</v>
      </c>
      <c r="S50" s="220"/>
      <c r="T50" s="220"/>
      <c r="U50" s="220"/>
    </row>
    <row r="51" spans="1:21" s="199" customFormat="1" ht="12.75">
      <c r="A51" s="199" t="s">
        <v>127</v>
      </c>
      <c r="B51" s="204">
        <v>5</v>
      </c>
      <c r="C51" s="204">
        <v>1</v>
      </c>
      <c r="D51" s="218">
        <v>1</v>
      </c>
      <c r="E51" s="219">
        <v>3.65</v>
      </c>
      <c r="F51" s="220">
        <f t="shared" si="16"/>
        <v>949</v>
      </c>
      <c r="G51" s="189">
        <f t="shared" si="17"/>
        <v>3.71</v>
      </c>
      <c r="H51" s="190">
        <f t="shared" si="18"/>
        <v>964.6</v>
      </c>
      <c r="I51" s="191">
        <f t="shared" si="19"/>
        <v>0.06000000000000005</v>
      </c>
      <c r="J51" s="190">
        <f t="shared" si="20"/>
        <v>15.600000000000023</v>
      </c>
      <c r="K51" s="192">
        <f t="shared" si="21"/>
        <v>0.016438356164383577</v>
      </c>
      <c r="L51" s="202">
        <f t="shared" si="22"/>
        <v>23.419375</v>
      </c>
      <c r="M51" s="201">
        <f>+M50</f>
        <v>15.626138613861386</v>
      </c>
      <c r="N51" s="201">
        <f t="shared" si="23"/>
        <v>2.0313980198019803</v>
      </c>
      <c r="O51" s="168">
        <f t="shared" si="24"/>
        <v>212.66871667280068</v>
      </c>
      <c r="P51" s="154">
        <f t="shared" si="25"/>
        <v>0.2204734777864407</v>
      </c>
      <c r="Q51" s="155">
        <f t="shared" si="26"/>
        <v>0.817956602587695</v>
      </c>
      <c r="R51" s="155">
        <f t="shared" si="27"/>
        <v>2.892043397412305</v>
      </c>
      <c r="S51" s="220"/>
      <c r="T51" s="220"/>
      <c r="U51" s="220"/>
    </row>
    <row r="52" spans="1:21" s="199" customFormat="1" ht="15">
      <c r="A52" s="199" t="s">
        <v>128</v>
      </c>
      <c r="B52" s="221">
        <v>28</v>
      </c>
      <c r="C52" s="221">
        <v>1</v>
      </c>
      <c r="D52" s="218">
        <v>1</v>
      </c>
      <c r="E52" s="219">
        <v>3.65</v>
      </c>
      <c r="F52" s="223">
        <f t="shared" si="16"/>
        <v>5314.400000000001</v>
      </c>
      <c r="G52" s="189">
        <f t="shared" si="17"/>
        <v>3.71</v>
      </c>
      <c r="H52" s="193">
        <f t="shared" si="18"/>
        <v>5401.76</v>
      </c>
      <c r="I52" s="191">
        <f t="shared" si="19"/>
        <v>0.06000000000000005</v>
      </c>
      <c r="J52" s="193">
        <f t="shared" si="20"/>
        <v>87.35999999999967</v>
      </c>
      <c r="K52" s="192">
        <f t="shared" si="21"/>
        <v>0.016438356164383577</v>
      </c>
      <c r="L52" s="202">
        <f t="shared" si="22"/>
        <v>23.419375</v>
      </c>
      <c r="M52" s="201">
        <f>+M51</f>
        <v>15.626138613861386</v>
      </c>
      <c r="N52" s="169">
        <f t="shared" si="23"/>
        <v>11.375828910891089</v>
      </c>
      <c r="O52" s="170">
        <f t="shared" si="24"/>
        <v>1190.9448133676838</v>
      </c>
      <c r="P52" s="154">
        <f t="shared" si="25"/>
        <v>0.22047347778644066</v>
      </c>
      <c r="Q52" s="155">
        <f t="shared" si="26"/>
        <v>0.8179566025876949</v>
      </c>
      <c r="R52" s="155">
        <f t="shared" si="27"/>
        <v>2.892043397412305</v>
      </c>
      <c r="S52" s="223"/>
      <c r="T52" s="223"/>
      <c r="U52" s="223"/>
    </row>
    <row r="53" spans="2:21" s="199" customFormat="1" ht="15">
      <c r="B53" s="224">
        <f>SUM(B47:B52)</f>
        <v>58</v>
      </c>
      <c r="C53" s="224">
        <f>SUM(C47:C52)</f>
        <v>13</v>
      </c>
      <c r="D53" s="218"/>
      <c r="E53" s="219"/>
      <c r="F53" s="242">
        <f>SUM(F47:F52)</f>
        <v>11008.400000000001</v>
      </c>
      <c r="G53" s="189"/>
      <c r="H53" s="242">
        <f>SUM(H47:H52)</f>
        <v>11189.36</v>
      </c>
      <c r="I53" s="191"/>
      <c r="J53" s="242">
        <f>SUM(J47:J52)</f>
        <v>180.9599999999998</v>
      </c>
      <c r="K53" s="242"/>
      <c r="L53" s="202"/>
      <c r="M53" s="242"/>
      <c r="N53" s="228">
        <f>SUM(N47:N52)</f>
        <v>23.56421702970297</v>
      </c>
      <c r="O53" s="242">
        <f>SUM(O47:O52)</f>
        <v>2466.9571134044877</v>
      </c>
      <c r="P53" s="154"/>
      <c r="Q53" s="155"/>
      <c r="R53" s="155"/>
      <c r="S53" s="242"/>
      <c r="T53" s="242"/>
      <c r="U53" s="242"/>
    </row>
    <row r="54" spans="2:21" s="199" customFormat="1" ht="15">
      <c r="B54" s="224"/>
      <c r="C54" s="224"/>
      <c r="D54" s="218"/>
      <c r="E54" s="219"/>
      <c r="F54" s="220"/>
      <c r="G54" s="189"/>
      <c r="H54" s="190"/>
      <c r="I54" s="191"/>
      <c r="J54" s="190"/>
      <c r="K54" s="190"/>
      <c r="L54" s="202"/>
      <c r="M54" s="190"/>
      <c r="N54" s="198"/>
      <c r="O54" s="190"/>
      <c r="P54" s="154"/>
      <c r="Q54" s="155"/>
      <c r="R54" s="155"/>
      <c r="S54" s="220"/>
      <c r="T54" s="220"/>
      <c r="U54" s="220"/>
    </row>
    <row r="55" spans="2:21" s="199" customFormat="1" ht="12.75">
      <c r="B55" s="204"/>
      <c r="C55" s="204"/>
      <c r="D55" s="218"/>
      <c r="E55" s="219"/>
      <c r="F55" s="220"/>
      <c r="G55" s="189"/>
      <c r="H55" s="190"/>
      <c r="I55" s="191"/>
      <c r="J55" s="190"/>
      <c r="K55" s="190"/>
      <c r="L55" s="202"/>
      <c r="M55" s="190"/>
      <c r="N55" s="198"/>
      <c r="O55" s="190"/>
      <c r="P55" s="154"/>
      <c r="Q55" s="155"/>
      <c r="R55" s="155"/>
      <c r="S55" s="220"/>
      <c r="T55" s="220"/>
      <c r="U55" s="220"/>
    </row>
    <row r="56" spans="1:21" s="199" customFormat="1" ht="12.75">
      <c r="A56" s="199" t="s">
        <v>129</v>
      </c>
      <c r="B56" s="204">
        <v>15</v>
      </c>
      <c r="C56" s="204">
        <v>14</v>
      </c>
      <c r="D56" s="218">
        <v>1</v>
      </c>
      <c r="E56" s="219">
        <v>3.84</v>
      </c>
      <c r="F56" s="220">
        <f>+E56*D56*B56*52</f>
        <v>2995.2</v>
      </c>
      <c r="G56" s="189">
        <f>ROUND(E56*(1+$G$46),2)</f>
        <v>3.9</v>
      </c>
      <c r="H56" s="190">
        <f>+G56*D56*B56*52</f>
        <v>3042</v>
      </c>
      <c r="I56" s="191">
        <f>G56-E56</f>
        <v>0.06000000000000005</v>
      </c>
      <c r="J56" s="190">
        <f>+H56-F56</f>
        <v>46.80000000000018</v>
      </c>
      <c r="K56" s="192">
        <f>I56/E56</f>
        <v>0.015625000000000014</v>
      </c>
      <c r="L56" s="202">
        <f>202/35*G56</f>
        <v>22.50857142857143</v>
      </c>
      <c r="M56" s="152">
        <f>35/202*M$72</f>
        <v>17.09108910891089</v>
      </c>
      <c r="N56" s="201">
        <f>+B56*D56*52*M56/2000</f>
        <v>6.665524752475247</v>
      </c>
      <c r="O56" s="168">
        <f>+$O$8*N56</f>
        <v>697.8192265826272</v>
      </c>
      <c r="P56" s="154">
        <f t="shared" si="25"/>
        <v>0.229394880533408</v>
      </c>
      <c r="Q56" s="155">
        <f>+P56*G56</f>
        <v>0.8946400340802912</v>
      </c>
      <c r="R56" s="155">
        <f>+G56-Q56</f>
        <v>3.0053599659197086</v>
      </c>
      <c r="S56" s="220"/>
      <c r="T56" s="220"/>
      <c r="U56" s="220"/>
    </row>
    <row r="57" spans="1:21" s="199" customFormat="1" ht="12.75">
      <c r="A57" s="199" t="s">
        <v>130</v>
      </c>
      <c r="B57" s="204">
        <v>4</v>
      </c>
      <c r="C57" s="204">
        <v>2</v>
      </c>
      <c r="D57" s="218">
        <v>1</v>
      </c>
      <c r="E57" s="219">
        <v>3.84</v>
      </c>
      <c r="F57" s="220">
        <f>+E57*D57*B57*52</f>
        <v>798.72</v>
      </c>
      <c r="G57" s="189">
        <f>ROUND(E57*(1+$G$46),2)</f>
        <v>3.9</v>
      </c>
      <c r="H57" s="190">
        <f>+G57*D57*B57*52</f>
        <v>811.1999999999999</v>
      </c>
      <c r="I57" s="191">
        <f>G57-E57</f>
        <v>0.06000000000000005</v>
      </c>
      <c r="J57" s="190">
        <f>+H57-F57</f>
        <v>12.479999999999905</v>
      </c>
      <c r="K57" s="192">
        <f>I57/E57</f>
        <v>0.015625000000000014</v>
      </c>
      <c r="L57" s="202">
        <f>202/35*G57</f>
        <v>22.50857142857143</v>
      </c>
      <c r="M57" s="201">
        <f>+M56</f>
        <v>17.09108910891089</v>
      </c>
      <c r="N57" s="201">
        <f>+B57*D57*52*M57/2000</f>
        <v>1.7774732673267324</v>
      </c>
      <c r="O57" s="168">
        <f>+$O$8*N57</f>
        <v>186.08512708870057</v>
      </c>
      <c r="P57" s="154">
        <f t="shared" si="25"/>
        <v>0.22939488053340804</v>
      </c>
      <c r="Q57" s="155">
        <f>+P57*G57</f>
        <v>0.8946400340802914</v>
      </c>
      <c r="R57" s="155">
        <f>+G57-Q57</f>
        <v>3.0053599659197086</v>
      </c>
      <c r="S57" s="220"/>
      <c r="T57" s="220"/>
      <c r="U57" s="220"/>
    </row>
    <row r="58" spans="1:21" s="199" customFormat="1" ht="15">
      <c r="A58" s="199" t="s">
        <v>131</v>
      </c>
      <c r="B58" s="221">
        <f>'[1]WUTC Spokane County'!B79+_xlfn.IFERROR(VLOOKUP($A58,'[1]WUTC Millwood'!#REF!,2,FALSE),0)</f>
        <v>4</v>
      </c>
      <c r="C58" s="221">
        <f>'[1]WUTC Spokane County'!C79+_xlfn.IFERROR(VLOOKUP($A58,'[1]WUTC Millwood'!#REF!,3,FALSE),0)</f>
        <v>1</v>
      </c>
      <c r="D58" s="218">
        <v>1</v>
      </c>
      <c r="E58" s="219">
        <v>3.84</v>
      </c>
      <c r="F58" s="223">
        <f>+E58*D58*B58*52</f>
        <v>798.72</v>
      </c>
      <c r="G58" s="189">
        <f>ROUND(E58*(1+$G$46),2)</f>
        <v>3.9</v>
      </c>
      <c r="H58" s="193">
        <f>+G58*D58*B58*52</f>
        <v>811.1999999999999</v>
      </c>
      <c r="I58" s="191">
        <f>G58-E58</f>
        <v>0.06000000000000005</v>
      </c>
      <c r="J58" s="193">
        <f>+H58-F58</f>
        <v>12.479999999999905</v>
      </c>
      <c r="K58" s="192">
        <f>I58/E58</f>
        <v>0.015625000000000014</v>
      </c>
      <c r="L58" s="202">
        <f>202/35*G58</f>
        <v>22.50857142857143</v>
      </c>
      <c r="M58" s="201">
        <f>+M57</f>
        <v>17.09108910891089</v>
      </c>
      <c r="N58" s="169">
        <f>+B58*D58*52*M58/2000</f>
        <v>1.7774732673267324</v>
      </c>
      <c r="O58" s="170">
        <f>+$O$8*N58</f>
        <v>186.08512708870057</v>
      </c>
      <c r="P58" s="154">
        <f t="shared" si="25"/>
        <v>0.22939488053340804</v>
      </c>
      <c r="Q58" s="155">
        <f>+P58*G58</f>
        <v>0.8946400340802914</v>
      </c>
      <c r="R58" s="155">
        <f>+G58-Q58</f>
        <v>3.0053599659197086</v>
      </c>
      <c r="S58" s="223"/>
      <c r="T58" s="223"/>
      <c r="U58" s="223"/>
    </row>
    <row r="59" spans="2:21" s="199" customFormat="1" ht="15">
      <c r="B59" s="224">
        <f>SUM(B56:B58)</f>
        <v>23</v>
      </c>
      <c r="C59" s="224">
        <f>SUM(C56:C58)</f>
        <v>17</v>
      </c>
      <c r="D59" s="218"/>
      <c r="E59" s="219"/>
      <c r="F59" s="242">
        <f>SUM(F56:F58)</f>
        <v>4592.64</v>
      </c>
      <c r="G59" s="242"/>
      <c r="H59" s="242">
        <f>SUM(H56:H58)</f>
        <v>4664.4</v>
      </c>
      <c r="I59" s="273"/>
      <c r="J59" s="242">
        <f>SUM(J56:J58)</f>
        <v>71.75999999999999</v>
      </c>
      <c r="K59" s="242"/>
      <c r="L59" s="227"/>
      <c r="M59" s="242"/>
      <c r="N59" s="228">
        <f>SUM(N56:N58)</f>
        <v>10.220471287128712</v>
      </c>
      <c r="O59" s="242">
        <f>SUM(O56:O58)</f>
        <v>1069.9894807600283</v>
      </c>
      <c r="P59" s="154"/>
      <c r="Q59" s="155"/>
      <c r="R59" s="155"/>
      <c r="S59" s="242"/>
      <c r="T59" s="242"/>
      <c r="U59" s="242"/>
    </row>
    <row r="60" spans="2:18" s="199" customFormat="1" ht="12.75">
      <c r="B60" s="204"/>
      <c r="C60" s="204"/>
      <c r="D60" s="218"/>
      <c r="E60" s="219"/>
      <c r="G60" s="189"/>
      <c r="H60" s="190"/>
      <c r="I60" s="191"/>
      <c r="J60" s="190"/>
      <c r="K60" s="192"/>
      <c r="L60" s="202"/>
      <c r="M60" s="201"/>
      <c r="N60" s="201"/>
      <c r="P60" s="154"/>
      <c r="Q60" s="155"/>
      <c r="R60" s="155"/>
    </row>
    <row r="61" spans="2:18" s="199" customFormat="1" ht="12.75">
      <c r="B61" s="204"/>
      <c r="C61" s="204"/>
      <c r="D61" s="218"/>
      <c r="E61" s="219"/>
      <c r="G61" s="189"/>
      <c r="H61" s="190"/>
      <c r="I61" s="191"/>
      <c r="J61" s="190"/>
      <c r="K61" s="192"/>
      <c r="L61" s="202"/>
      <c r="M61" s="201"/>
      <c r="N61" s="201"/>
      <c r="P61" s="154"/>
      <c r="Q61" s="155"/>
      <c r="R61" s="155"/>
    </row>
    <row r="62" spans="1:21" s="199" customFormat="1" ht="12.75">
      <c r="A62" s="199" t="s">
        <v>132</v>
      </c>
      <c r="B62" s="204">
        <v>26</v>
      </c>
      <c r="C62" s="204">
        <v>26</v>
      </c>
      <c r="D62" s="218">
        <v>1</v>
      </c>
      <c r="E62" s="219">
        <v>6.86</v>
      </c>
      <c r="F62" s="220">
        <f>+E62*D62*B62*52</f>
        <v>9274.720000000001</v>
      </c>
      <c r="G62" s="189">
        <f>ROUND(E62*(1+$G$46),2)</f>
        <v>6.97</v>
      </c>
      <c r="H62" s="190">
        <f>+G62*D62*B62*52</f>
        <v>9423.44</v>
      </c>
      <c r="I62" s="191">
        <f>G62-E62</f>
        <v>0.10999999999999943</v>
      </c>
      <c r="J62" s="190">
        <f>+H62-F62</f>
        <v>148.71999999999935</v>
      </c>
      <c r="K62" s="192">
        <f>I62/E62</f>
        <v>0.01603498542274044</v>
      </c>
      <c r="L62" s="202">
        <f>202/64*G62</f>
        <v>21.9990625</v>
      </c>
      <c r="M62" s="201">
        <f>+M47*2</f>
        <v>31.25227722772277</v>
      </c>
      <c r="N62" s="201">
        <f>+B62*D62*52*M62/2000</f>
        <v>21.126539405940594</v>
      </c>
      <c r="O62" s="168">
        <f>+$O$8*N62</f>
        <v>2211.754653397127</v>
      </c>
      <c r="P62" s="154">
        <f t="shared" si="25"/>
        <v>0.23470777692616784</v>
      </c>
      <c r="Q62" s="155">
        <f>+P62*G62</f>
        <v>1.6359132051753897</v>
      </c>
      <c r="R62" s="155">
        <f>+G62-Q62</f>
        <v>5.33408679482461</v>
      </c>
      <c r="S62" s="220"/>
      <c r="T62" s="220"/>
      <c r="U62" s="220"/>
    </row>
    <row r="63" spans="1:21" s="199" customFormat="1" ht="15">
      <c r="A63" s="199" t="s">
        <v>133</v>
      </c>
      <c r="B63" s="221">
        <v>4</v>
      </c>
      <c r="C63" s="221">
        <v>2</v>
      </c>
      <c r="D63" s="218">
        <v>1</v>
      </c>
      <c r="E63" s="219">
        <v>6.86</v>
      </c>
      <c r="F63" s="223">
        <f>+E63*D63*B63*52</f>
        <v>1426.88</v>
      </c>
      <c r="G63" s="189">
        <f>ROUND(E63*(1+$G$46),2)</f>
        <v>6.97</v>
      </c>
      <c r="H63" s="193">
        <f>+G63*D63*B63*52</f>
        <v>1449.76</v>
      </c>
      <c r="I63" s="191">
        <f>G63-E63</f>
        <v>0.10999999999999943</v>
      </c>
      <c r="J63" s="193">
        <f>+H63-F63</f>
        <v>22.87999999999988</v>
      </c>
      <c r="K63" s="192">
        <f>I63/E63</f>
        <v>0.01603498542274044</v>
      </c>
      <c r="L63" s="202">
        <f>202/64*G63</f>
        <v>21.9990625</v>
      </c>
      <c r="M63" s="201">
        <f>+M62</f>
        <v>31.25227722772277</v>
      </c>
      <c r="N63" s="169">
        <f>+B63*D63*52*M63/2000</f>
        <v>3.2502368316831682</v>
      </c>
      <c r="O63" s="170">
        <f>+$O$8*N63</f>
        <v>340.2699466764811</v>
      </c>
      <c r="P63" s="154">
        <f t="shared" si="25"/>
        <v>0.23470777692616784</v>
      </c>
      <c r="Q63" s="155">
        <f>+P63*G63</f>
        <v>1.6359132051753897</v>
      </c>
      <c r="R63" s="155">
        <f>+G63-Q63</f>
        <v>5.33408679482461</v>
      </c>
      <c r="S63" s="223"/>
      <c r="T63" s="223"/>
      <c r="U63" s="223"/>
    </row>
    <row r="64" spans="2:21" s="199" customFormat="1" ht="15">
      <c r="B64" s="224">
        <f>SUM(B62:B63)</f>
        <v>30</v>
      </c>
      <c r="C64" s="224">
        <f>SUM(C62:C63)</f>
        <v>28</v>
      </c>
      <c r="D64" s="218"/>
      <c r="E64" s="219"/>
      <c r="F64" s="242">
        <f>SUM(F62:F63)</f>
        <v>10701.600000000002</v>
      </c>
      <c r="G64" s="242"/>
      <c r="H64" s="242">
        <f>SUM(H62:H63)</f>
        <v>10873.2</v>
      </c>
      <c r="I64" s="273"/>
      <c r="J64" s="242">
        <f>SUM(J62:J63)</f>
        <v>171.59999999999923</v>
      </c>
      <c r="K64" s="242"/>
      <c r="L64" s="227"/>
      <c r="M64" s="242"/>
      <c r="N64" s="228">
        <f>SUM(N62:N63)</f>
        <v>24.376776237623762</v>
      </c>
      <c r="O64" s="242">
        <f>SUM(O62:O63)</f>
        <v>2552.0246000736083</v>
      </c>
      <c r="P64" s="154"/>
      <c r="Q64" s="155"/>
      <c r="R64" s="155"/>
      <c r="S64" s="242"/>
      <c r="T64" s="242"/>
      <c r="U64" s="242"/>
    </row>
    <row r="65" spans="2:18" s="199" customFormat="1" ht="12.75">
      <c r="B65" s="204"/>
      <c r="C65" s="204"/>
      <c r="D65" s="218"/>
      <c r="E65" s="219"/>
      <c r="G65" s="189"/>
      <c r="H65" s="190"/>
      <c r="I65" s="191"/>
      <c r="J65" s="190"/>
      <c r="K65" s="192"/>
      <c r="L65" s="202"/>
      <c r="M65" s="201"/>
      <c r="N65" s="201"/>
      <c r="P65" s="154"/>
      <c r="Q65" s="155"/>
      <c r="R65" s="155"/>
    </row>
    <row r="66" spans="2:18" s="199" customFormat="1" ht="12.75">
      <c r="B66" s="204"/>
      <c r="C66" s="204"/>
      <c r="D66" s="218"/>
      <c r="E66" s="219"/>
      <c r="G66" s="189"/>
      <c r="H66" s="190"/>
      <c r="I66" s="191"/>
      <c r="J66" s="190"/>
      <c r="K66" s="192"/>
      <c r="L66" s="202"/>
      <c r="M66" s="201"/>
      <c r="N66" s="201"/>
      <c r="P66" s="154"/>
      <c r="Q66" s="155"/>
      <c r="R66" s="155"/>
    </row>
    <row r="67" spans="1:21" s="199" customFormat="1" ht="12.75">
      <c r="A67" s="199" t="s">
        <v>134</v>
      </c>
      <c r="B67" s="204">
        <v>19</v>
      </c>
      <c r="C67" s="204">
        <v>19</v>
      </c>
      <c r="D67" s="218">
        <v>1</v>
      </c>
      <c r="E67" s="219">
        <v>9.9</v>
      </c>
      <c r="F67" s="220">
        <f>+E67*D67*B67*52</f>
        <v>9781.199999999999</v>
      </c>
      <c r="G67" s="189">
        <f>ROUND(E67*(1+$G$46),2)</f>
        <v>10.05</v>
      </c>
      <c r="H67" s="190">
        <f>+G67*D67*B67*52</f>
        <v>9929.400000000001</v>
      </c>
      <c r="I67" s="191">
        <f>G67-E67</f>
        <v>0.15000000000000036</v>
      </c>
      <c r="J67" s="190">
        <f>+H67-F67</f>
        <v>148.20000000000255</v>
      </c>
      <c r="K67" s="192">
        <f>I67/E67</f>
        <v>0.015151515151515187</v>
      </c>
      <c r="L67" s="202">
        <f>202/96*G67</f>
        <v>21.146875</v>
      </c>
      <c r="M67" s="201">
        <f>+M47*3</f>
        <v>46.87841584158416</v>
      </c>
      <c r="N67" s="201">
        <f>+B67*D67*52*M67/2000</f>
        <v>23.157937425742574</v>
      </c>
      <c r="O67" s="168">
        <f>+$O$8*N67</f>
        <v>2424.423370069928</v>
      </c>
      <c r="P67" s="154">
        <f t="shared" si="25"/>
        <v>0.24416615002617756</v>
      </c>
      <c r="Q67" s="155">
        <f>+P67*G67</f>
        <v>2.4538698077630845</v>
      </c>
      <c r="R67" s="155">
        <f>+G67-Q67</f>
        <v>7.596130192236917</v>
      </c>
      <c r="S67" s="220"/>
      <c r="T67" s="220"/>
      <c r="U67" s="220"/>
    </row>
    <row r="68" spans="1:21" s="199" customFormat="1" ht="15">
      <c r="A68" s="199" t="s">
        <v>135</v>
      </c>
      <c r="B68" s="172">
        <v>8</v>
      </c>
      <c r="C68" s="172">
        <v>4</v>
      </c>
      <c r="D68" s="218">
        <v>1</v>
      </c>
      <c r="E68" s="219">
        <v>9.9</v>
      </c>
      <c r="F68" s="173">
        <f>+E68*D68*B68*52</f>
        <v>4118.400000000001</v>
      </c>
      <c r="G68" s="189">
        <f>ROUND(E68*(1+$G$46),2)</f>
        <v>10.05</v>
      </c>
      <c r="H68" s="193">
        <f>+G68*D68*B68*52</f>
        <v>4180.8</v>
      </c>
      <c r="I68" s="191">
        <f>G68-E68</f>
        <v>0.15000000000000036</v>
      </c>
      <c r="J68" s="193">
        <f>+H68-F68</f>
        <v>62.399999999999636</v>
      </c>
      <c r="K68" s="192">
        <f>I68/E68</f>
        <v>0.015151515151515187</v>
      </c>
      <c r="L68" s="202">
        <f>202/96*G68</f>
        <v>21.146875</v>
      </c>
      <c r="M68" s="201">
        <f>+M67</f>
        <v>46.87841584158416</v>
      </c>
      <c r="N68" s="169">
        <f>+B68*D68*52*M68/2000</f>
        <v>9.750710495049505</v>
      </c>
      <c r="O68" s="170">
        <f>+$O$8*N68</f>
        <v>1020.8098400294433</v>
      </c>
      <c r="P68" s="154">
        <f t="shared" si="25"/>
        <v>0.2441661500261776</v>
      </c>
      <c r="Q68" s="155">
        <f>+P68*G68</f>
        <v>2.453869807763085</v>
      </c>
      <c r="R68" s="155">
        <f>+G68-Q68</f>
        <v>7.596130192236916</v>
      </c>
      <c r="S68" s="220"/>
      <c r="T68" s="220"/>
      <c r="U68" s="220"/>
    </row>
    <row r="69" spans="1:21" s="199" customFormat="1" ht="15">
      <c r="A69" s="210"/>
      <c r="B69" s="224">
        <f>SUM(B67:B68)</f>
        <v>27</v>
      </c>
      <c r="C69" s="224">
        <f>SUM(C67:C68)</f>
        <v>23</v>
      </c>
      <c r="D69" s="218"/>
      <c r="E69" s="219"/>
      <c r="F69" s="242">
        <f>SUM(F67:F68)</f>
        <v>13899.599999999999</v>
      </c>
      <c r="G69" s="242"/>
      <c r="H69" s="242">
        <f>SUM(H67:H68)</f>
        <v>14110.2</v>
      </c>
      <c r="I69" s="273"/>
      <c r="J69" s="242">
        <f>SUM(J67:J68)</f>
        <v>210.60000000000218</v>
      </c>
      <c r="K69" s="242"/>
      <c r="L69" s="227"/>
      <c r="M69" s="242"/>
      <c r="N69" s="228">
        <f>SUM(N67:N68)</f>
        <v>32.90864792079208</v>
      </c>
      <c r="O69" s="242">
        <f>SUM(O67:O68)</f>
        <v>3445.2332100993713</v>
      </c>
      <c r="P69" s="154"/>
      <c r="Q69" s="155"/>
      <c r="R69" s="155"/>
      <c r="S69" s="242"/>
      <c r="T69" s="242"/>
      <c r="U69" s="242"/>
    </row>
    <row r="70" spans="1:18" s="199" customFormat="1" ht="12.75">
      <c r="A70" s="210"/>
      <c r="B70" s="204"/>
      <c r="C70" s="204"/>
      <c r="D70" s="218"/>
      <c r="E70" s="219"/>
      <c r="G70" s="189"/>
      <c r="H70" s="190"/>
      <c r="I70" s="191"/>
      <c r="J70" s="190"/>
      <c r="K70" s="192"/>
      <c r="L70" s="202"/>
      <c r="M70" s="201"/>
      <c r="N70" s="201"/>
      <c r="P70" s="154"/>
      <c r="Q70" s="155"/>
      <c r="R70" s="155"/>
    </row>
    <row r="71" spans="1:18" s="199" customFormat="1" ht="12.75">
      <c r="A71" s="210"/>
      <c r="B71" s="204"/>
      <c r="C71" s="204"/>
      <c r="D71" s="218"/>
      <c r="E71" s="219"/>
      <c r="G71" s="189"/>
      <c r="H71" s="190"/>
      <c r="I71" s="191"/>
      <c r="J71" s="190"/>
      <c r="K71" s="192"/>
      <c r="L71" s="202"/>
      <c r="M71" s="201"/>
      <c r="N71" s="201"/>
      <c r="O71" s="275"/>
      <c r="P71" s="154"/>
      <c r="Q71" s="155"/>
      <c r="R71" s="155"/>
    </row>
    <row r="72" spans="1:21" s="199" customFormat="1" ht="12.75">
      <c r="A72" s="199" t="s">
        <v>136</v>
      </c>
      <c r="B72" s="204">
        <v>98</v>
      </c>
      <c r="C72" s="204">
        <v>98</v>
      </c>
      <c r="D72" s="218">
        <v>0.5</v>
      </c>
      <c r="E72" s="219">
        <v>15.93</v>
      </c>
      <c r="F72" s="220">
        <f>+E72*D72*B72*52</f>
        <v>40589.64</v>
      </c>
      <c r="G72" s="189">
        <f>ROUND(E72*(1+$G$46),2)</f>
        <v>16.17</v>
      </c>
      <c r="H72" s="190">
        <f>+G72*D72*B72*52</f>
        <v>41201.16</v>
      </c>
      <c r="I72" s="191">
        <f>G72-E72</f>
        <v>0.240000000000002</v>
      </c>
      <c r="J72" s="190">
        <f>+H72-F72</f>
        <v>611.5200000000041</v>
      </c>
      <c r="K72" s="192">
        <f>I72/E72</f>
        <v>0.015065913370998243</v>
      </c>
      <c r="L72" s="202">
        <f>+G72/1</f>
        <v>16.17</v>
      </c>
      <c r="M72" s="174">
        <v>98.64</v>
      </c>
      <c r="N72" s="201">
        <f>+B72*D72*52*M72/2000</f>
        <v>125.66736</v>
      </c>
      <c r="O72" s="168">
        <f>+$O$46*N72</f>
        <v>13177.035631319955</v>
      </c>
      <c r="P72" s="154">
        <f t="shared" si="25"/>
        <v>0.31982195722935847</v>
      </c>
      <c r="Q72" s="155">
        <f>+P72*G72</f>
        <v>5.171521048398727</v>
      </c>
      <c r="R72" s="155">
        <f>+G72-Q72</f>
        <v>10.998478951601275</v>
      </c>
      <c r="S72" s="201"/>
      <c r="T72" s="201"/>
      <c r="U72" s="201"/>
    </row>
    <row r="73" spans="1:21" s="199" customFormat="1" ht="12.75">
      <c r="A73" s="199" t="s">
        <v>137</v>
      </c>
      <c r="B73" s="204">
        <v>87</v>
      </c>
      <c r="C73" s="204">
        <v>87</v>
      </c>
      <c r="D73" s="218">
        <v>1</v>
      </c>
      <c r="E73" s="219">
        <v>15.93</v>
      </c>
      <c r="F73" s="220">
        <f>+E73*D73*B73*52</f>
        <v>72067.32</v>
      </c>
      <c r="G73" s="189">
        <f>ROUND(E73*(1+$G$46),2)</f>
        <v>16.17</v>
      </c>
      <c r="H73" s="190">
        <f>+G73*D73*B73*52</f>
        <v>73153.08000000002</v>
      </c>
      <c r="I73" s="191">
        <f>G73-E73</f>
        <v>0.240000000000002</v>
      </c>
      <c r="J73" s="190">
        <f>+H73-F73</f>
        <v>1085.7600000000093</v>
      </c>
      <c r="K73" s="192">
        <f>I73/E73</f>
        <v>0.015065913370998243</v>
      </c>
      <c r="L73" s="202">
        <f>+G73/1</f>
        <v>16.17</v>
      </c>
      <c r="M73" s="152">
        <f>+M72</f>
        <v>98.64</v>
      </c>
      <c r="N73" s="201">
        <f>+B73*D73*52*M73/2000</f>
        <v>223.12367999999998</v>
      </c>
      <c r="O73" s="168">
        <f aca="true" t="shared" si="28" ref="O73:O132">+$O$46*N73</f>
        <v>23395.961222955837</v>
      </c>
      <c r="P73" s="154">
        <f t="shared" si="25"/>
        <v>0.31982195722935836</v>
      </c>
      <c r="Q73" s="155">
        <f>+P73*G73</f>
        <v>5.171521048398725</v>
      </c>
      <c r="R73" s="155">
        <f>+G73-Q73</f>
        <v>10.998478951601276</v>
      </c>
      <c r="S73" s="220"/>
      <c r="T73" s="220"/>
      <c r="U73" s="220"/>
    </row>
    <row r="74" spans="1:21" s="199" customFormat="1" ht="12.75">
      <c r="A74" s="199" t="s">
        <v>138</v>
      </c>
      <c r="B74" s="204">
        <v>4</v>
      </c>
      <c r="C74" s="204">
        <v>2</v>
      </c>
      <c r="D74" s="218">
        <v>1</v>
      </c>
      <c r="E74" s="219">
        <v>15.93</v>
      </c>
      <c r="F74" s="220">
        <f>+E74*D74*B74*52</f>
        <v>3313.44</v>
      </c>
      <c r="G74" s="189">
        <f>ROUND(E74*(1+$G$46),2)</f>
        <v>16.17</v>
      </c>
      <c r="H74" s="190">
        <f>+G74*D74*B74*52</f>
        <v>3363.3600000000006</v>
      </c>
      <c r="I74" s="191">
        <f>G74-E74</f>
        <v>0.240000000000002</v>
      </c>
      <c r="J74" s="190">
        <f>+H74-F74</f>
        <v>49.92000000000053</v>
      </c>
      <c r="K74" s="192">
        <f>I74/E74</f>
        <v>0.015065913370998243</v>
      </c>
      <c r="L74" s="202">
        <f>+G74/1</f>
        <v>16.17</v>
      </c>
      <c r="M74" s="152">
        <f>+M72</f>
        <v>98.64</v>
      </c>
      <c r="N74" s="201">
        <f>+B74*D74*52*M74/2000</f>
        <v>10.25856</v>
      </c>
      <c r="O74" s="168">
        <f t="shared" si="28"/>
        <v>1075.676378066935</v>
      </c>
      <c r="P74" s="154">
        <f t="shared" si="25"/>
        <v>0.3198219572293584</v>
      </c>
      <c r="Q74" s="155">
        <f>+P74*G74</f>
        <v>5.171521048398726</v>
      </c>
      <c r="R74" s="155">
        <f>+G74-Q74</f>
        <v>10.998478951601275</v>
      </c>
      <c r="S74" s="220"/>
      <c r="T74" s="220"/>
      <c r="U74" s="220"/>
    </row>
    <row r="75" spans="1:21" s="199" customFormat="1" ht="15">
      <c r="A75" s="199" t="s">
        <v>139</v>
      </c>
      <c r="B75" s="221">
        <v>2</v>
      </c>
      <c r="C75" s="221">
        <v>2</v>
      </c>
      <c r="D75" s="218">
        <v>2</v>
      </c>
      <c r="E75" s="219">
        <v>15.93</v>
      </c>
      <c r="F75" s="223">
        <f>+E75*D75*B75*52</f>
        <v>3313.44</v>
      </c>
      <c r="G75" s="189">
        <f>ROUND(E75*(1+$G$46),2)</f>
        <v>16.17</v>
      </c>
      <c r="H75" s="193">
        <f>+G75*D75*B75*52</f>
        <v>3363.3600000000006</v>
      </c>
      <c r="I75" s="191">
        <f>G75-E75</f>
        <v>0.240000000000002</v>
      </c>
      <c r="J75" s="193">
        <f>+H75-F75</f>
        <v>49.92000000000053</v>
      </c>
      <c r="K75" s="192">
        <f>I75/E75</f>
        <v>0.015065913370998243</v>
      </c>
      <c r="L75" s="202">
        <f>+G75/1</f>
        <v>16.17</v>
      </c>
      <c r="M75" s="201">
        <f>+M74</f>
        <v>98.64</v>
      </c>
      <c r="N75" s="169">
        <f>+B75*D75*52*M75/2000</f>
        <v>10.25856</v>
      </c>
      <c r="O75" s="170">
        <f t="shared" si="28"/>
        <v>1075.676378066935</v>
      </c>
      <c r="P75" s="154">
        <f t="shared" si="25"/>
        <v>0.3198219572293584</v>
      </c>
      <c r="Q75" s="155">
        <f>+P75*G75</f>
        <v>5.171521048398726</v>
      </c>
      <c r="R75" s="155">
        <f>+G75-Q75</f>
        <v>10.998478951601275</v>
      </c>
      <c r="S75" s="223"/>
      <c r="T75" s="223"/>
      <c r="U75" s="223"/>
    </row>
    <row r="76" spans="1:21" s="199" customFormat="1" ht="15">
      <c r="A76" s="243"/>
      <c r="B76" s="224">
        <f>SUM(B72:B75)</f>
        <v>191</v>
      </c>
      <c r="C76" s="224">
        <f>SUM(C72:C75)</f>
        <v>189</v>
      </c>
      <c r="D76" s="218"/>
      <c r="E76" s="219"/>
      <c r="F76" s="225">
        <f>SUM(F72:F75)</f>
        <v>119283.84000000001</v>
      </c>
      <c r="G76" s="225"/>
      <c r="H76" s="225">
        <f>SUM(H72:H75)</f>
        <v>121080.96000000002</v>
      </c>
      <c r="I76" s="257"/>
      <c r="J76" s="225">
        <f>SUM(J72:J75)</f>
        <v>1797.1200000000144</v>
      </c>
      <c r="K76" s="225"/>
      <c r="L76" s="202"/>
      <c r="M76" s="225"/>
      <c r="N76" s="228">
        <f>SUM(N72:N75)</f>
        <v>369.30815999999993</v>
      </c>
      <c r="O76" s="225">
        <f>SUM(O72:O75)</f>
        <v>38724.34961040966</v>
      </c>
      <c r="P76" s="154"/>
      <c r="Q76" s="155"/>
      <c r="R76" s="155"/>
      <c r="S76" s="225"/>
      <c r="T76" s="225"/>
      <c r="U76" s="225"/>
    </row>
    <row r="77" spans="2:18" s="199" customFormat="1" ht="12.75">
      <c r="B77" s="204"/>
      <c r="C77" s="204"/>
      <c r="D77" s="218"/>
      <c r="E77" s="219"/>
      <c r="L77" s="202"/>
      <c r="M77" s="201"/>
      <c r="N77" s="201"/>
      <c r="O77" s="168"/>
      <c r="P77" s="154"/>
      <c r="Q77" s="155"/>
      <c r="R77" s="155"/>
    </row>
    <row r="78" spans="2:18" s="199" customFormat="1" ht="12.75">
      <c r="B78" s="204"/>
      <c r="C78" s="204"/>
      <c r="D78" s="218"/>
      <c r="E78" s="219"/>
      <c r="L78" s="202"/>
      <c r="M78" s="201"/>
      <c r="N78" s="201"/>
      <c r="O78" s="168"/>
      <c r="P78" s="154"/>
      <c r="Q78" s="155"/>
      <c r="R78" s="155"/>
    </row>
    <row r="79" spans="1:21" s="199" customFormat="1" ht="12.75">
      <c r="A79" s="199" t="s">
        <v>140</v>
      </c>
      <c r="B79" s="204">
        <v>39</v>
      </c>
      <c r="C79" s="204">
        <v>39</v>
      </c>
      <c r="D79" s="218">
        <v>0.5</v>
      </c>
      <c r="E79" s="219">
        <v>22.84</v>
      </c>
      <c r="F79" s="220">
        <f>+E79*D79*B79*52</f>
        <v>23159.76</v>
      </c>
      <c r="G79" s="189">
        <f>ROUND(E79*(1+$G$46),2)</f>
        <v>23.19</v>
      </c>
      <c r="H79" s="190">
        <f>+G79*D79*B79*52</f>
        <v>23514.660000000003</v>
      </c>
      <c r="I79" s="191">
        <f>G79-E79</f>
        <v>0.3500000000000014</v>
      </c>
      <c r="J79" s="190">
        <f>+H79-F79</f>
        <v>354.9000000000051</v>
      </c>
      <c r="K79" s="192">
        <f>I79/E79</f>
        <v>0.015323992994746122</v>
      </c>
      <c r="L79" s="202">
        <f>+G79/1.5</f>
        <v>15.46</v>
      </c>
      <c r="M79" s="152">
        <f>+M72*1.5</f>
        <v>147.96</v>
      </c>
      <c r="N79" s="201">
        <f>+B79*D79*52*M79/2000</f>
        <v>75.01572</v>
      </c>
      <c r="O79" s="168">
        <f t="shared" si="28"/>
        <v>7865.883514614464</v>
      </c>
      <c r="P79" s="154">
        <f t="shared" si="25"/>
        <v>0.33450977027158646</v>
      </c>
      <c r="Q79" s="155">
        <f>+P79*G79</f>
        <v>7.757281572598091</v>
      </c>
      <c r="R79" s="155">
        <f>+G79-Q79</f>
        <v>15.43271842740191</v>
      </c>
      <c r="S79" s="220"/>
      <c r="T79" s="220"/>
      <c r="U79" s="220"/>
    </row>
    <row r="80" spans="1:21" s="199" customFormat="1" ht="15">
      <c r="A80" s="199" t="s">
        <v>141</v>
      </c>
      <c r="B80" s="172">
        <v>30</v>
      </c>
      <c r="C80" s="172">
        <v>30</v>
      </c>
      <c r="D80" s="218">
        <v>1</v>
      </c>
      <c r="E80" s="219">
        <v>22.84</v>
      </c>
      <c r="F80" s="173">
        <f>+E80*D80*B80*52</f>
        <v>35630.4</v>
      </c>
      <c r="G80" s="189">
        <f>ROUND(E80*(1+$G$46),2)</f>
        <v>23.19</v>
      </c>
      <c r="H80" s="193">
        <f>+G80*D80*B80*52</f>
        <v>36176.4</v>
      </c>
      <c r="I80" s="191">
        <f>G80-E80</f>
        <v>0.3500000000000014</v>
      </c>
      <c r="J80" s="193">
        <f>+H80-F80</f>
        <v>546</v>
      </c>
      <c r="K80" s="192">
        <f>I80/E80</f>
        <v>0.015323992994746122</v>
      </c>
      <c r="L80" s="202">
        <f>+G80/1.5</f>
        <v>15.46</v>
      </c>
      <c r="M80" s="152">
        <f>+M79</f>
        <v>147.96</v>
      </c>
      <c r="N80" s="169">
        <f>+B80*D80*52*M80/2000</f>
        <v>115.4088</v>
      </c>
      <c r="O80" s="170">
        <f t="shared" si="28"/>
        <v>12101.35925325302</v>
      </c>
      <c r="P80" s="154">
        <f t="shared" si="25"/>
        <v>0.33450977027158646</v>
      </c>
      <c r="Q80" s="155">
        <f>+P80*G80</f>
        <v>7.757281572598091</v>
      </c>
      <c r="R80" s="155">
        <f>+G80-Q80</f>
        <v>15.43271842740191</v>
      </c>
      <c r="S80" s="220"/>
      <c r="T80" s="220"/>
      <c r="U80" s="220"/>
    </row>
    <row r="81" spans="1:21" s="199" customFormat="1" ht="15">
      <c r="A81" s="243"/>
      <c r="B81" s="224">
        <f>SUM(B79:B80)</f>
        <v>69</v>
      </c>
      <c r="C81" s="224">
        <f>SUM(C79:C80)</f>
        <v>69</v>
      </c>
      <c r="D81" s="218"/>
      <c r="E81" s="219"/>
      <c r="F81" s="225">
        <f>SUM(F79:F80)</f>
        <v>58790.16</v>
      </c>
      <c r="G81" s="225"/>
      <c r="H81" s="225">
        <f>SUM(H79:H80)</f>
        <v>59691.060000000005</v>
      </c>
      <c r="I81" s="257"/>
      <c r="J81" s="225">
        <f>SUM(J79:J80)</f>
        <v>900.9000000000051</v>
      </c>
      <c r="K81" s="225"/>
      <c r="L81" s="227"/>
      <c r="M81" s="225"/>
      <c r="N81" s="228">
        <f>SUM(N79:N80)</f>
        <v>190.42452</v>
      </c>
      <c r="O81" s="225">
        <f>SUM(O79:O80)</f>
        <v>19967.242767867483</v>
      </c>
      <c r="P81" s="154"/>
      <c r="Q81" s="155"/>
      <c r="R81" s="155"/>
      <c r="S81" s="225"/>
      <c r="T81" s="225"/>
      <c r="U81" s="225"/>
    </row>
    <row r="82" spans="2:18" s="199" customFormat="1" ht="12.75">
      <c r="B82" s="204"/>
      <c r="C82" s="204"/>
      <c r="D82" s="218"/>
      <c r="E82" s="219"/>
      <c r="K82" s="192"/>
      <c r="L82" s="202"/>
      <c r="M82" s="201"/>
      <c r="N82" s="201"/>
      <c r="O82" s="168"/>
      <c r="P82" s="154"/>
      <c r="Q82" s="155"/>
      <c r="R82" s="155"/>
    </row>
    <row r="83" spans="2:18" s="199" customFormat="1" ht="12.75">
      <c r="B83" s="204"/>
      <c r="C83" s="204"/>
      <c r="D83" s="218"/>
      <c r="E83" s="219"/>
      <c r="K83" s="192"/>
      <c r="L83" s="202"/>
      <c r="M83" s="201"/>
      <c r="N83" s="201"/>
      <c r="O83" s="168"/>
      <c r="P83" s="154"/>
      <c r="Q83" s="155"/>
      <c r="R83" s="155"/>
    </row>
    <row r="84" spans="1:21" s="199" customFormat="1" ht="12.75">
      <c r="A84" s="199" t="s">
        <v>142</v>
      </c>
      <c r="B84" s="204">
        <v>48</v>
      </c>
      <c r="C84" s="204">
        <v>48</v>
      </c>
      <c r="D84" s="218">
        <v>0.5</v>
      </c>
      <c r="E84" s="219">
        <v>28.55</v>
      </c>
      <c r="F84" s="220">
        <f aca="true" t="shared" si="29" ref="F84:F89">+E84*D84*B84*52</f>
        <v>35630.4</v>
      </c>
      <c r="G84" s="189">
        <f aca="true" t="shared" si="30" ref="G84:G89">ROUND(E84*(1+$G$46),2)</f>
        <v>28.99</v>
      </c>
      <c r="H84" s="190">
        <f aca="true" t="shared" si="31" ref="H84:H89">+G84*D84*B84*52</f>
        <v>36179.52</v>
      </c>
      <c r="I84" s="191">
        <f aca="true" t="shared" si="32" ref="I84:I89">G84-E84</f>
        <v>0.4399999999999977</v>
      </c>
      <c r="J84" s="190">
        <f aca="true" t="shared" si="33" ref="J84:J89">+H84-F84</f>
        <v>549.1199999999953</v>
      </c>
      <c r="K84" s="192">
        <f aca="true" t="shared" si="34" ref="K84:K89">I84/E84</f>
        <v>0.01541155866900167</v>
      </c>
      <c r="L84" s="202">
        <f aca="true" t="shared" si="35" ref="L84:L89">+G84/2</f>
        <v>14.495</v>
      </c>
      <c r="M84" s="152">
        <f>+M72*2</f>
        <v>197.28</v>
      </c>
      <c r="N84" s="201">
        <f aca="true" t="shared" si="36" ref="N84:N89">+B84*D84*52*M84/2000</f>
        <v>123.10272</v>
      </c>
      <c r="O84" s="168">
        <f t="shared" si="28"/>
        <v>12908.116536803222</v>
      </c>
      <c r="P84" s="154">
        <f t="shared" si="25"/>
        <v>0.3567796514935307</v>
      </c>
      <c r="Q84" s="155">
        <f aca="true" t="shared" si="37" ref="Q84:Q89">+P84*G84</f>
        <v>10.343042096797454</v>
      </c>
      <c r="R84" s="155">
        <f aca="true" t="shared" si="38" ref="R84:R89">+G84-Q84</f>
        <v>18.646957903202544</v>
      </c>
      <c r="S84" s="220"/>
      <c r="T84" s="220"/>
      <c r="U84" s="220"/>
    </row>
    <row r="85" spans="1:21" s="199" customFormat="1" ht="12.75">
      <c r="A85" s="199" t="s">
        <v>143</v>
      </c>
      <c r="B85" s="204">
        <v>109</v>
      </c>
      <c r="C85" s="204">
        <v>109</v>
      </c>
      <c r="D85" s="218">
        <v>1</v>
      </c>
      <c r="E85" s="219">
        <v>28.55</v>
      </c>
      <c r="F85" s="220">
        <f t="shared" si="29"/>
        <v>161821.40000000002</v>
      </c>
      <c r="G85" s="189">
        <f t="shared" si="30"/>
        <v>28.99</v>
      </c>
      <c r="H85" s="190">
        <f t="shared" si="31"/>
        <v>164315.32</v>
      </c>
      <c r="I85" s="191">
        <f t="shared" si="32"/>
        <v>0.4399999999999977</v>
      </c>
      <c r="J85" s="190">
        <f t="shared" si="33"/>
        <v>2493.9199999999837</v>
      </c>
      <c r="K85" s="192">
        <f t="shared" si="34"/>
        <v>0.01541155866900167</v>
      </c>
      <c r="L85" s="202">
        <f t="shared" si="35"/>
        <v>14.495</v>
      </c>
      <c r="M85" s="152">
        <f>+M84</f>
        <v>197.28</v>
      </c>
      <c r="N85" s="201">
        <f t="shared" si="36"/>
        <v>559.0915200000001</v>
      </c>
      <c r="O85" s="168">
        <f t="shared" si="28"/>
        <v>58624.36260464797</v>
      </c>
      <c r="P85" s="154">
        <f t="shared" si="25"/>
        <v>0.35677965149353064</v>
      </c>
      <c r="Q85" s="155">
        <f t="shared" si="37"/>
        <v>10.343042096797452</v>
      </c>
      <c r="R85" s="155">
        <f t="shared" si="38"/>
        <v>18.646957903202548</v>
      </c>
      <c r="S85" s="220"/>
      <c r="T85" s="220"/>
      <c r="U85" s="220"/>
    </row>
    <row r="86" spans="1:21" s="199" customFormat="1" ht="12.75">
      <c r="A86" s="199" t="s">
        <v>144</v>
      </c>
      <c r="B86" s="204">
        <v>6</v>
      </c>
      <c r="C86" s="204">
        <v>3</v>
      </c>
      <c r="D86" s="218">
        <v>1</v>
      </c>
      <c r="E86" s="219">
        <v>28.55</v>
      </c>
      <c r="F86" s="220">
        <f t="shared" si="29"/>
        <v>8907.6</v>
      </c>
      <c r="G86" s="189">
        <f t="shared" si="30"/>
        <v>28.99</v>
      </c>
      <c r="H86" s="190">
        <f t="shared" si="31"/>
        <v>9044.88</v>
      </c>
      <c r="I86" s="191">
        <f t="shared" si="32"/>
        <v>0.4399999999999977</v>
      </c>
      <c r="J86" s="190">
        <f t="shared" si="33"/>
        <v>137.27999999999884</v>
      </c>
      <c r="K86" s="192">
        <f t="shared" si="34"/>
        <v>0.01541155866900167</v>
      </c>
      <c r="L86" s="202">
        <f t="shared" si="35"/>
        <v>14.495</v>
      </c>
      <c r="M86" s="152">
        <f>+M85</f>
        <v>197.28</v>
      </c>
      <c r="N86" s="201">
        <f t="shared" si="36"/>
        <v>30.77568</v>
      </c>
      <c r="O86" s="168">
        <f t="shared" si="28"/>
        <v>3227.0291342008054</v>
      </c>
      <c r="P86" s="154">
        <f t="shared" si="25"/>
        <v>0.3567796514935307</v>
      </c>
      <c r="Q86" s="155">
        <f t="shared" si="37"/>
        <v>10.343042096797454</v>
      </c>
      <c r="R86" s="155">
        <f t="shared" si="38"/>
        <v>18.646957903202544</v>
      </c>
      <c r="S86" s="220"/>
      <c r="T86" s="220"/>
      <c r="U86" s="220"/>
    </row>
    <row r="87" spans="1:21" s="199" customFormat="1" ht="12.75">
      <c r="A87" s="199" t="s">
        <v>145</v>
      </c>
      <c r="B87" s="204">
        <v>3</v>
      </c>
      <c r="C87" s="204">
        <v>1</v>
      </c>
      <c r="D87" s="218">
        <v>1</v>
      </c>
      <c r="E87" s="219">
        <v>28.55</v>
      </c>
      <c r="F87" s="220">
        <f t="shared" si="29"/>
        <v>4453.8</v>
      </c>
      <c r="G87" s="189">
        <f t="shared" si="30"/>
        <v>28.99</v>
      </c>
      <c r="H87" s="190">
        <f t="shared" si="31"/>
        <v>4522.44</v>
      </c>
      <c r="I87" s="191">
        <f t="shared" si="32"/>
        <v>0.4399999999999977</v>
      </c>
      <c r="J87" s="190">
        <f t="shared" si="33"/>
        <v>68.63999999999942</v>
      </c>
      <c r="K87" s="192">
        <f t="shared" si="34"/>
        <v>0.01541155866900167</v>
      </c>
      <c r="L87" s="202">
        <f t="shared" si="35"/>
        <v>14.495</v>
      </c>
      <c r="M87" s="152">
        <f>+M86</f>
        <v>197.28</v>
      </c>
      <c r="N87" s="201">
        <f t="shared" si="36"/>
        <v>15.38784</v>
      </c>
      <c r="O87" s="168">
        <f t="shared" si="28"/>
        <v>1613.5145671004027</v>
      </c>
      <c r="P87" s="154">
        <f t="shared" si="25"/>
        <v>0.3567796514935307</v>
      </c>
      <c r="Q87" s="155">
        <f t="shared" si="37"/>
        <v>10.343042096797454</v>
      </c>
      <c r="R87" s="155">
        <f t="shared" si="38"/>
        <v>18.646957903202544</v>
      </c>
      <c r="S87" s="220"/>
      <c r="T87" s="220"/>
      <c r="U87" s="220"/>
    </row>
    <row r="88" spans="1:21" s="199" customFormat="1" ht="12.75">
      <c r="A88" s="199" t="s">
        <v>146</v>
      </c>
      <c r="B88" s="204">
        <v>4</v>
      </c>
      <c r="C88" s="204">
        <v>4</v>
      </c>
      <c r="D88" s="218">
        <v>2</v>
      </c>
      <c r="E88" s="219">
        <v>28.55</v>
      </c>
      <c r="F88" s="220">
        <f t="shared" si="29"/>
        <v>11876.800000000001</v>
      </c>
      <c r="G88" s="189">
        <f t="shared" si="30"/>
        <v>28.99</v>
      </c>
      <c r="H88" s="190">
        <f t="shared" si="31"/>
        <v>12059.84</v>
      </c>
      <c r="I88" s="191">
        <f t="shared" si="32"/>
        <v>0.4399999999999977</v>
      </c>
      <c r="J88" s="190">
        <f t="shared" si="33"/>
        <v>183.03999999999905</v>
      </c>
      <c r="K88" s="192">
        <f t="shared" si="34"/>
        <v>0.01541155866900167</v>
      </c>
      <c r="L88" s="202">
        <f t="shared" si="35"/>
        <v>14.495</v>
      </c>
      <c r="M88" s="152">
        <f>+M87</f>
        <v>197.28</v>
      </c>
      <c r="N88" s="201">
        <f t="shared" si="36"/>
        <v>41.03424</v>
      </c>
      <c r="O88" s="168">
        <f t="shared" si="28"/>
        <v>4302.70551226774</v>
      </c>
      <c r="P88" s="154">
        <f t="shared" si="25"/>
        <v>0.35677965149353064</v>
      </c>
      <c r="Q88" s="155">
        <f t="shared" si="37"/>
        <v>10.343042096797452</v>
      </c>
      <c r="R88" s="155">
        <f t="shared" si="38"/>
        <v>18.646957903202548</v>
      </c>
      <c r="S88" s="220"/>
      <c r="T88" s="220"/>
      <c r="U88" s="220"/>
    </row>
    <row r="89" spans="1:21" s="199" customFormat="1" ht="15">
      <c r="A89" s="199" t="s">
        <v>147</v>
      </c>
      <c r="B89" s="221">
        <v>0</v>
      </c>
      <c r="C89" s="221">
        <v>0</v>
      </c>
      <c r="D89" s="218">
        <v>2</v>
      </c>
      <c r="E89" s="219">
        <v>28.55</v>
      </c>
      <c r="F89" s="223">
        <f t="shared" si="29"/>
        <v>0</v>
      </c>
      <c r="G89" s="189">
        <f t="shared" si="30"/>
        <v>28.99</v>
      </c>
      <c r="H89" s="193">
        <f t="shared" si="31"/>
        <v>0</v>
      </c>
      <c r="I89" s="191">
        <f t="shared" si="32"/>
        <v>0.4399999999999977</v>
      </c>
      <c r="J89" s="193">
        <f t="shared" si="33"/>
        <v>0</v>
      </c>
      <c r="K89" s="192">
        <f t="shared" si="34"/>
        <v>0.01541155866900167</v>
      </c>
      <c r="L89" s="202">
        <f t="shared" si="35"/>
        <v>14.495</v>
      </c>
      <c r="M89" s="201">
        <f>+M88</f>
        <v>197.28</v>
      </c>
      <c r="N89" s="169">
        <f t="shared" si="36"/>
        <v>0</v>
      </c>
      <c r="O89" s="170">
        <f t="shared" si="28"/>
        <v>0</v>
      </c>
      <c r="P89" s="154" t="e">
        <f t="shared" si="25"/>
        <v>#DIV/0!</v>
      </c>
      <c r="Q89" s="155" t="e">
        <f t="shared" si="37"/>
        <v>#DIV/0!</v>
      </c>
      <c r="R89" s="155" t="e">
        <f t="shared" si="38"/>
        <v>#DIV/0!</v>
      </c>
      <c r="S89" s="223"/>
      <c r="T89" s="223"/>
      <c r="U89" s="223"/>
    </row>
    <row r="90" spans="1:21" s="199" customFormat="1" ht="15">
      <c r="A90" s="243"/>
      <c r="B90" s="224">
        <f>SUM(B84:B89)</f>
        <v>170</v>
      </c>
      <c r="C90" s="224">
        <f>SUM(C84:C89)</f>
        <v>165</v>
      </c>
      <c r="D90" s="218"/>
      <c r="E90" s="219"/>
      <c r="F90" s="242">
        <f>SUM(F84:F89)</f>
        <v>222690</v>
      </c>
      <c r="G90" s="242"/>
      <c r="H90" s="242">
        <f>SUM(H84:H89)</f>
        <v>226122</v>
      </c>
      <c r="I90" s="273"/>
      <c r="J90" s="242">
        <f>SUM(J84:J89)</f>
        <v>3431.9999999999764</v>
      </c>
      <c r="K90" s="242"/>
      <c r="L90" s="227"/>
      <c r="M90" s="242"/>
      <c r="N90" s="228">
        <f>SUM(N84:N89)</f>
        <v>769.3919999999999</v>
      </c>
      <c r="O90" s="242">
        <f>SUM(O84:O89)</f>
        <v>80675.72835502012</v>
      </c>
      <c r="P90" s="154"/>
      <c r="Q90" s="155"/>
      <c r="R90" s="155"/>
      <c r="S90" s="242"/>
      <c r="T90" s="242"/>
      <c r="U90" s="242"/>
    </row>
    <row r="91" spans="2:18" s="199" customFormat="1" ht="12.75">
      <c r="B91" s="204"/>
      <c r="C91" s="204"/>
      <c r="D91" s="218"/>
      <c r="E91" s="219"/>
      <c r="L91" s="202"/>
      <c r="M91" s="201"/>
      <c r="N91" s="201"/>
      <c r="O91" s="168"/>
      <c r="P91" s="154"/>
      <c r="Q91" s="155"/>
      <c r="R91" s="155"/>
    </row>
    <row r="92" spans="2:18" s="199" customFormat="1" ht="12.75">
      <c r="B92" s="204"/>
      <c r="C92" s="204"/>
      <c r="D92" s="218"/>
      <c r="E92" s="219"/>
      <c r="L92" s="202"/>
      <c r="M92" s="201"/>
      <c r="N92" s="201"/>
      <c r="O92" s="168"/>
      <c r="P92" s="154"/>
      <c r="Q92" s="155"/>
      <c r="R92" s="155"/>
    </row>
    <row r="93" spans="1:21" s="199" customFormat="1" ht="12.75">
      <c r="A93" s="199" t="s">
        <v>148</v>
      </c>
      <c r="B93" s="204">
        <v>23</v>
      </c>
      <c r="C93" s="204">
        <v>23</v>
      </c>
      <c r="D93" s="218">
        <v>0.5</v>
      </c>
      <c r="E93" s="219">
        <v>39.47</v>
      </c>
      <c r="F93" s="220">
        <f>+E93*D93*B93*52</f>
        <v>23603.059999999998</v>
      </c>
      <c r="G93" s="189">
        <f>ROUND(E93*(1+$G$46),2)</f>
        <v>40.08</v>
      </c>
      <c r="H93" s="190">
        <f>+G93*D93*B93*52</f>
        <v>23967.839999999997</v>
      </c>
      <c r="I93" s="191">
        <f>G93-E93</f>
        <v>0.6099999999999994</v>
      </c>
      <c r="J93" s="190">
        <f>+H93-F93</f>
        <v>364.77999999999884</v>
      </c>
      <c r="K93" s="192">
        <f>I93/E93</f>
        <v>0.0154547757790727</v>
      </c>
      <c r="L93" s="202">
        <f>+G93/3</f>
        <v>13.36</v>
      </c>
      <c r="M93" s="152">
        <f>+M$72*3</f>
        <v>295.92</v>
      </c>
      <c r="N93" s="201">
        <f>+B93*D93*52*M93/2000</f>
        <v>88.48008</v>
      </c>
      <c r="O93" s="168">
        <f t="shared" si="28"/>
        <v>9277.708760827316</v>
      </c>
      <c r="P93" s="154">
        <f t="shared" si="25"/>
        <v>0.3870898988322401</v>
      </c>
      <c r="Q93" s="155">
        <f>+P93*G93</f>
        <v>15.514563145196183</v>
      </c>
      <c r="R93" s="155">
        <f>+G93-Q93</f>
        <v>24.565436854803814</v>
      </c>
      <c r="S93" s="220"/>
      <c r="T93" s="220"/>
      <c r="U93" s="220"/>
    </row>
    <row r="94" spans="1:21" s="199" customFormat="1" ht="12.75">
      <c r="A94" s="199" t="s">
        <v>149</v>
      </c>
      <c r="B94" s="204">
        <v>66</v>
      </c>
      <c r="C94" s="204">
        <v>66</v>
      </c>
      <c r="D94" s="218">
        <v>1</v>
      </c>
      <c r="E94" s="219">
        <v>39.47</v>
      </c>
      <c r="F94" s="220">
        <f>+E94*D94*B94*52</f>
        <v>135461.04</v>
      </c>
      <c r="G94" s="189">
        <f>ROUND(E94*(1+$G$46),2)</f>
        <v>40.08</v>
      </c>
      <c r="H94" s="190">
        <f>+G94*D94*B94*52</f>
        <v>137554.56</v>
      </c>
      <c r="I94" s="191">
        <f>G94-E94</f>
        <v>0.6099999999999994</v>
      </c>
      <c r="J94" s="190">
        <f>+H94-F94</f>
        <v>2093.5199999999895</v>
      </c>
      <c r="K94" s="192">
        <f>I94/E94</f>
        <v>0.0154547757790727</v>
      </c>
      <c r="L94" s="202">
        <f>+G94/3</f>
        <v>13.36</v>
      </c>
      <c r="M94" s="152">
        <f>+M93</f>
        <v>295.92</v>
      </c>
      <c r="N94" s="201">
        <f>+B94*D94*52*M94/2000</f>
        <v>507.79872</v>
      </c>
      <c r="O94" s="168">
        <f t="shared" si="28"/>
        <v>53245.98071431329</v>
      </c>
      <c r="P94" s="154">
        <f t="shared" si="25"/>
        <v>0.38708989883224004</v>
      </c>
      <c r="Q94" s="155">
        <f>+P94*G94</f>
        <v>15.51456314519618</v>
      </c>
      <c r="R94" s="155">
        <f>+G94-Q94</f>
        <v>24.56543685480382</v>
      </c>
      <c r="S94" s="220"/>
      <c r="T94" s="220"/>
      <c r="U94" s="220"/>
    </row>
    <row r="95" spans="1:21" s="199" customFormat="1" ht="15">
      <c r="A95" s="199" t="s">
        <v>150</v>
      </c>
      <c r="B95" s="221">
        <v>2</v>
      </c>
      <c r="C95" s="221">
        <v>2</v>
      </c>
      <c r="D95" s="218">
        <v>2</v>
      </c>
      <c r="E95" s="219">
        <v>39.47</v>
      </c>
      <c r="F95" s="223">
        <f>+E95*D95*B95*52</f>
        <v>8209.76</v>
      </c>
      <c r="G95" s="189">
        <f>ROUND(E95*(1+$G$46),2)</f>
        <v>40.08</v>
      </c>
      <c r="H95" s="193">
        <f>+G95*D95*B95*52</f>
        <v>8336.64</v>
      </c>
      <c r="I95" s="191">
        <f>G95-E95</f>
        <v>0.6099999999999994</v>
      </c>
      <c r="J95" s="193">
        <f>+H95-F95</f>
        <v>126.8799999999992</v>
      </c>
      <c r="K95" s="192">
        <f>I95/E95</f>
        <v>0.0154547757790727</v>
      </c>
      <c r="L95" s="202">
        <f>+G95/3</f>
        <v>13.36</v>
      </c>
      <c r="M95" s="201">
        <f>+M94</f>
        <v>295.92</v>
      </c>
      <c r="N95" s="169">
        <f>+B95*D95*52*M95/2000</f>
        <v>30.77568</v>
      </c>
      <c r="O95" s="170">
        <f t="shared" si="28"/>
        <v>3227.0291342008054</v>
      </c>
      <c r="P95" s="154">
        <f t="shared" si="25"/>
        <v>0.38708989883224004</v>
      </c>
      <c r="Q95" s="155">
        <f>+P95*G95</f>
        <v>15.51456314519618</v>
      </c>
      <c r="R95" s="155">
        <f>+G95-Q95</f>
        <v>24.56543685480382</v>
      </c>
      <c r="S95" s="223"/>
      <c r="T95" s="223"/>
      <c r="U95" s="223"/>
    </row>
    <row r="96" spans="1:21" s="199" customFormat="1" ht="15">
      <c r="A96" s="243"/>
      <c r="B96" s="224">
        <f>SUM(B93:B95)</f>
        <v>91</v>
      </c>
      <c r="C96" s="224">
        <f>SUM(C93:C95)</f>
        <v>91</v>
      </c>
      <c r="D96" s="218"/>
      <c r="E96" s="219"/>
      <c r="F96" s="242">
        <f>SUM(F93:F95)</f>
        <v>167273.86000000002</v>
      </c>
      <c r="G96" s="242"/>
      <c r="H96" s="242">
        <f>SUM(H93:H95)</f>
        <v>169859.03999999998</v>
      </c>
      <c r="I96" s="273"/>
      <c r="J96" s="242">
        <f>SUM(J93:J95)</f>
        <v>2585.1799999999876</v>
      </c>
      <c r="K96" s="242"/>
      <c r="L96" s="227"/>
      <c r="M96" s="217"/>
      <c r="N96" s="228">
        <f>SUM(N93:N95)</f>
        <v>627.05448</v>
      </c>
      <c r="O96" s="225">
        <f>SUM(O93:O95)</f>
        <v>65750.7186093414</v>
      </c>
      <c r="P96" s="154"/>
      <c r="Q96" s="155"/>
      <c r="R96" s="155"/>
      <c r="S96" s="242"/>
      <c r="T96" s="242"/>
      <c r="U96" s="242"/>
    </row>
    <row r="97" spans="2:18" s="199" customFormat="1" ht="12.75">
      <c r="B97" s="204"/>
      <c r="C97" s="204"/>
      <c r="D97" s="218"/>
      <c r="E97" s="219"/>
      <c r="L97" s="202"/>
      <c r="M97" s="201"/>
      <c r="N97" s="201"/>
      <c r="O97" s="168"/>
      <c r="P97" s="154"/>
      <c r="Q97" s="155"/>
      <c r="R97" s="155"/>
    </row>
    <row r="98" spans="2:18" s="199" customFormat="1" ht="12.75">
      <c r="B98" s="204"/>
      <c r="C98" s="204"/>
      <c r="D98" s="218"/>
      <c r="E98" s="219"/>
      <c r="L98" s="202"/>
      <c r="M98" s="201"/>
      <c r="N98" s="201"/>
      <c r="O98" s="168"/>
      <c r="P98" s="154"/>
      <c r="Q98" s="155"/>
      <c r="R98" s="155"/>
    </row>
    <row r="99" spans="1:21" s="199" customFormat="1" ht="12.75">
      <c r="A99" s="199" t="s">
        <v>151</v>
      </c>
      <c r="B99" s="204">
        <v>25</v>
      </c>
      <c r="C99" s="204">
        <v>25</v>
      </c>
      <c r="D99" s="218">
        <v>0.5</v>
      </c>
      <c r="E99" s="219">
        <v>48.1</v>
      </c>
      <c r="F99" s="220">
        <f aca="true" t="shared" si="39" ref="F99:F104">+E99*D99*B99*52</f>
        <v>31265</v>
      </c>
      <c r="G99" s="189">
        <f aca="true" t="shared" si="40" ref="G99:G104">ROUND(E99*(1+$G$46),2)</f>
        <v>48.84</v>
      </c>
      <c r="H99" s="190">
        <f aca="true" t="shared" si="41" ref="H99:H104">+G99*D99*B99*52</f>
        <v>31746</v>
      </c>
      <c r="I99" s="191">
        <f aca="true" t="shared" si="42" ref="I99:I104">G99-E99</f>
        <v>0.740000000000002</v>
      </c>
      <c r="J99" s="190">
        <f aca="true" t="shared" si="43" ref="J99:J104">+H99-F99</f>
        <v>481</v>
      </c>
      <c r="K99" s="192">
        <f aca="true" t="shared" si="44" ref="K99:K104">I99/E99</f>
        <v>0.015384615384615425</v>
      </c>
      <c r="L99" s="202">
        <f aca="true" t="shared" si="45" ref="L99:L104">+G99/4</f>
        <v>12.21</v>
      </c>
      <c r="M99" s="152">
        <f>+M$72*4</f>
        <v>394.56</v>
      </c>
      <c r="N99" s="201">
        <f aca="true" t="shared" si="46" ref="N99:N104">+B99*D99*52*M99/2000</f>
        <v>128.232</v>
      </c>
      <c r="O99" s="168">
        <f t="shared" si="28"/>
        <v>13445.95472583669</v>
      </c>
      <c r="P99" s="154">
        <f t="shared" si="25"/>
        <v>0.4235479974118531</v>
      </c>
      <c r="Q99" s="155">
        <f aca="true" t="shared" si="47" ref="Q99:Q104">+P99*G99</f>
        <v>20.68608419359491</v>
      </c>
      <c r="R99" s="155">
        <f aca="true" t="shared" si="48" ref="R99:R104">+G99-Q99</f>
        <v>28.153915806405095</v>
      </c>
      <c r="S99" s="220"/>
      <c r="T99" s="220"/>
      <c r="U99" s="220"/>
    </row>
    <row r="100" spans="1:21" s="199" customFormat="1" ht="12.75">
      <c r="A100" s="199" t="s">
        <v>152</v>
      </c>
      <c r="B100" s="204">
        <v>85</v>
      </c>
      <c r="C100" s="204">
        <v>85</v>
      </c>
      <c r="D100" s="218">
        <v>1</v>
      </c>
      <c r="E100" s="219">
        <v>48.1</v>
      </c>
      <c r="F100" s="220">
        <f t="shared" si="39"/>
        <v>212602</v>
      </c>
      <c r="G100" s="189">
        <f t="shared" si="40"/>
        <v>48.84</v>
      </c>
      <c r="H100" s="190">
        <f t="shared" si="41"/>
        <v>215872.80000000002</v>
      </c>
      <c r="I100" s="191">
        <f t="shared" si="42"/>
        <v>0.740000000000002</v>
      </c>
      <c r="J100" s="190">
        <f t="shared" si="43"/>
        <v>3270.8000000000175</v>
      </c>
      <c r="K100" s="192">
        <f t="shared" si="44"/>
        <v>0.015384615384615425</v>
      </c>
      <c r="L100" s="202">
        <f t="shared" si="45"/>
        <v>12.21</v>
      </c>
      <c r="M100" s="152">
        <f>+M99</f>
        <v>394.56</v>
      </c>
      <c r="N100" s="201">
        <f t="shared" si="46"/>
        <v>871.9775999999999</v>
      </c>
      <c r="O100" s="168">
        <f t="shared" si="28"/>
        <v>91432.49213568948</v>
      </c>
      <c r="P100" s="154">
        <f t="shared" si="25"/>
        <v>0.42354799741185306</v>
      </c>
      <c r="Q100" s="155">
        <f t="shared" si="47"/>
        <v>20.686084193594905</v>
      </c>
      <c r="R100" s="155">
        <f t="shared" si="48"/>
        <v>28.1539158064051</v>
      </c>
      <c r="S100" s="220"/>
      <c r="T100" s="220"/>
      <c r="U100" s="220"/>
    </row>
    <row r="101" spans="1:21" s="199" customFormat="1" ht="12.75">
      <c r="A101" s="199" t="s">
        <v>153</v>
      </c>
      <c r="B101" s="204">
        <v>4</v>
      </c>
      <c r="C101" s="204">
        <v>2</v>
      </c>
      <c r="D101" s="218">
        <v>1</v>
      </c>
      <c r="E101" s="219">
        <v>48.1</v>
      </c>
      <c r="F101" s="220">
        <f t="shared" si="39"/>
        <v>10004.800000000001</v>
      </c>
      <c r="G101" s="189">
        <f t="shared" si="40"/>
        <v>48.84</v>
      </c>
      <c r="H101" s="190">
        <f t="shared" si="41"/>
        <v>10158.720000000001</v>
      </c>
      <c r="I101" s="191">
        <f t="shared" si="42"/>
        <v>0.740000000000002</v>
      </c>
      <c r="J101" s="190">
        <f t="shared" si="43"/>
        <v>153.92000000000007</v>
      </c>
      <c r="K101" s="192">
        <f t="shared" si="44"/>
        <v>0.015384615384615425</v>
      </c>
      <c r="L101" s="202">
        <f t="shared" si="45"/>
        <v>12.21</v>
      </c>
      <c r="M101" s="152">
        <f>+M100</f>
        <v>394.56</v>
      </c>
      <c r="N101" s="201">
        <f t="shared" si="46"/>
        <v>41.03424</v>
      </c>
      <c r="O101" s="168">
        <f t="shared" si="28"/>
        <v>4302.70551226774</v>
      </c>
      <c r="P101" s="154">
        <f t="shared" si="25"/>
        <v>0.42354799741185306</v>
      </c>
      <c r="Q101" s="155">
        <f t="shared" si="47"/>
        <v>20.686084193594905</v>
      </c>
      <c r="R101" s="155">
        <f t="shared" si="48"/>
        <v>28.1539158064051</v>
      </c>
      <c r="S101" s="220"/>
      <c r="T101" s="220"/>
      <c r="U101" s="220"/>
    </row>
    <row r="102" spans="1:21" s="199" customFormat="1" ht="12.75">
      <c r="A102" s="199" t="s">
        <v>154</v>
      </c>
      <c r="B102" s="204">
        <v>8</v>
      </c>
      <c r="C102" s="204">
        <v>8</v>
      </c>
      <c r="D102" s="218">
        <v>2</v>
      </c>
      <c r="E102" s="219">
        <v>48.1</v>
      </c>
      <c r="F102" s="220">
        <f t="shared" si="39"/>
        <v>40019.200000000004</v>
      </c>
      <c r="G102" s="189">
        <f t="shared" si="40"/>
        <v>48.84</v>
      </c>
      <c r="H102" s="190">
        <f t="shared" si="41"/>
        <v>40634.880000000005</v>
      </c>
      <c r="I102" s="191">
        <f t="shared" si="42"/>
        <v>0.740000000000002</v>
      </c>
      <c r="J102" s="190">
        <f t="shared" si="43"/>
        <v>615.6800000000003</v>
      </c>
      <c r="K102" s="192">
        <f t="shared" si="44"/>
        <v>0.015384615384615425</v>
      </c>
      <c r="L102" s="202">
        <f t="shared" si="45"/>
        <v>12.21</v>
      </c>
      <c r="M102" s="152">
        <f>+M101</f>
        <v>394.56</v>
      </c>
      <c r="N102" s="201">
        <f t="shared" si="46"/>
        <v>164.13696</v>
      </c>
      <c r="O102" s="168">
        <f t="shared" si="28"/>
        <v>17210.82204907096</v>
      </c>
      <c r="P102" s="154">
        <f t="shared" si="25"/>
        <v>0.42354799741185306</v>
      </c>
      <c r="Q102" s="155">
        <f t="shared" si="47"/>
        <v>20.686084193594905</v>
      </c>
      <c r="R102" s="155">
        <f t="shared" si="48"/>
        <v>28.1539158064051</v>
      </c>
      <c r="S102" s="220"/>
      <c r="T102" s="220"/>
      <c r="U102" s="220"/>
    </row>
    <row r="103" spans="1:21" s="199" customFormat="1" ht="12.75">
      <c r="A103" s="199" t="s">
        <v>155</v>
      </c>
      <c r="B103" s="204">
        <v>2</v>
      </c>
      <c r="C103" s="204">
        <v>1</v>
      </c>
      <c r="D103" s="218">
        <v>2</v>
      </c>
      <c r="E103" s="219">
        <v>48.1</v>
      </c>
      <c r="F103" s="220">
        <f t="shared" si="39"/>
        <v>10004.800000000001</v>
      </c>
      <c r="G103" s="189">
        <f t="shared" si="40"/>
        <v>48.84</v>
      </c>
      <c r="H103" s="190">
        <f t="shared" si="41"/>
        <v>10158.720000000001</v>
      </c>
      <c r="I103" s="191">
        <f t="shared" si="42"/>
        <v>0.740000000000002</v>
      </c>
      <c r="J103" s="190">
        <f t="shared" si="43"/>
        <v>153.92000000000007</v>
      </c>
      <c r="K103" s="192">
        <f t="shared" si="44"/>
        <v>0.015384615384615425</v>
      </c>
      <c r="L103" s="202">
        <f t="shared" si="45"/>
        <v>12.21</v>
      </c>
      <c r="M103" s="152">
        <f>+M102</f>
        <v>394.56</v>
      </c>
      <c r="N103" s="201">
        <f t="shared" si="46"/>
        <v>41.03424</v>
      </c>
      <c r="O103" s="168">
        <f t="shared" si="28"/>
        <v>4302.70551226774</v>
      </c>
      <c r="P103" s="154">
        <f t="shared" si="25"/>
        <v>0.42354799741185306</v>
      </c>
      <c r="Q103" s="155">
        <f t="shared" si="47"/>
        <v>20.686084193594905</v>
      </c>
      <c r="R103" s="155">
        <f t="shared" si="48"/>
        <v>28.1539158064051</v>
      </c>
      <c r="S103" s="220"/>
      <c r="T103" s="220"/>
      <c r="U103" s="220"/>
    </row>
    <row r="104" spans="1:21" s="199" customFormat="1" ht="15">
      <c r="A104" s="199" t="s">
        <v>156</v>
      </c>
      <c r="B104" s="221">
        <v>1</v>
      </c>
      <c r="C104" s="221">
        <v>1</v>
      </c>
      <c r="D104" s="218">
        <v>3</v>
      </c>
      <c r="E104" s="219">
        <v>48.1</v>
      </c>
      <c r="F104" s="220">
        <f t="shared" si="39"/>
        <v>7503.6</v>
      </c>
      <c r="G104" s="189">
        <f t="shared" si="40"/>
        <v>48.84</v>
      </c>
      <c r="H104" s="193">
        <f t="shared" si="41"/>
        <v>7619.040000000001</v>
      </c>
      <c r="I104" s="191">
        <f t="shared" si="42"/>
        <v>0.740000000000002</v>
      </c>
      <c r="J104" s="193">
        <f t="shared" si="43"/>
        <v>115.44000000000051</v>
      </c>
      <c r="K104" s="192">
        <f t="shared" si="44"/>
        <v>0.015384615384615425</v>
      </c>
      <c r="L104" s="202">
        <f t="shared" si="45"/>
        <v>12.21</v>
      </c>
      <c r="M104" s="152">
        <f>+M103</f>
        <v>394.56</v>
      </c>
      <c r="N104" s="169">
        <f t="shared" si="46"/>
        <v>30.77568</v>
      </c>
      <c r="O104" s="170">
        <f t="shared" si="28"/>
        <v>3227.0291342008054</v>
      </c>
      <c r="P104" s="154">
        <f t="shared" si="25"/>
        <v>0.42354799741185306</v>
      </c>
      <c r="Q104" s="155">
        <f t="shared" si="47"/>
        <v>20.686084193594905</v>
      </c>
      <c r="R104" s="155">
        <f t="shared" si="48"/>
        <v>28.1539158064051</v>
      </c>
      <c r="S104" s="220"/>
      <c r="T104" s="220"/>
      <c r="U104" s="173"/>
    </row>
    <row r="105" spans="1:21" s="199" customFormat="1" ht="15">
      <c r="A105" s="243"/>
      <c r="B105" s="224">
        <f>SUM(B99:B104)</f>
        <v>125</v>
      </c>
      <c r="C105" s="224">
        <f>SUM(C99:C104)</f>
        <v>122</v>
      </c>
      <c r="D105" s="218"/>
      <c r="E105" s="219"/>
      <c r="F105" s="225">
        <f>SUM(F99:F104)</f>
        <v>311399.39999999997</v>
      </c>
      <c r="G105" s="225"/>
      <c r="H105" s="225">
        <f>SUM(H99:H104)</f>
        <v>316190.16</v>
      </c>
      <c r="I105" s="257"/>
      <c r="J105" s="225">
        <f>SUM(J99:J104)</f>
        <v>4790.760000000018</v>
      </c>
      <c r="K105" s="225"/>
      <c r="L105" s="227"/>
      <c r="M105" s="225"/>
      <c r="N105" s="228">
        <f>SUM(N99:N104)</f>
        <v>1277.1907199999998</v>
      </c>
      <c r="O105" s="225">
        <f>SUM(O99:O104)</f>
        <v>133921.70906933342</v>
      </c>
      <c r="P105" s="154"/>
      <c r="Q105" s="155"/>
      <c r="R105" s="155"/>
      <c r="S105" s="225"/>
      <c r="T105" s="225"/>
      <c r="U105" s="225"/>
    </row>
    <row r="106" spans="2:18" s="199" customFormat="1" ht="12.75">
      <c r="B106" s="204"/>
      <c r="C106" s="204"/>
      <c r="D106" s="218"/>
      <c r="E106" s="219"/>
      <c r="L106" s="202"/>
      <c r="N106" s="201"/>
      <c r="P106" s="154"/>
      <c r="Q106" s="155"/>
      <c r="R106" s="155"/>
    </row>
    <row r="107" spans="2:18" s="199" customFormat="1" ht="12.75">
      <c r="B107" s="204"/>
      <c r="C107" s="204"/>
      <c r="D107" s="218"/>
      <c r="E107" s="219"/>
      <c r="L107" s="202"/>
      <c r="N107" s="201"/>
      <c r="P107" s="154"/>
      <c r="Q107" s="155"/>
      <c r="R107" s="155"/>
    </row>
    <row r="108" spans="1:21" s="199" customFormat="1" ht="12.75">
      <c r="A108" s="199" t="s">
        <v>157</v>
      </c>
      <c r="B108" s="204">
        <v>18</v>
      </c>
      <c r="C108" s="204">
        <v>18</v>
      </c>
      <c r="D108" s="218">
        <v>0.5</v>
      </c>
      <c r="E108" s="219">
        <v>65.41</v>
      </c>
      <c r="F108" s="220">
        <f aca="true" t="shared" si="49" ref="F108:F117">+E108*D108*B108*52</f>
        <v>30611.879999999997</v>
      </c>
      <c r="G108" s="189">
        <f aca="true" t="shared" si="50" ref="G108:G117">ROUND(E108*(1+$G$46),2)</f>
        <v>66.41</v>
      </c>
      <c r="H108" s="190">
        <f>+G108*D108*B108*52</f>
        <v>31079.879999999997</v>
      </c>
      <c r="I108" s="191">
        <f>G108-E108</f>
        <v>1</v>
      </c>
      <c r="J108" s="190">
        <f>+H108-F108</f>
        <v>468</v>
      </c>
      <c r="K108" s="192">
        <f aca="true" t="shared" si="51" ref="K108:K117">I108/E108</f>
        <v>0.015288182235132244</v>
      </c>
      <c r="L108" s="202">
        <f aca="true" t="shared" si="52" ref="L108:L117">+G108/6</f>
        <v>11.068333333333333</v>
      </c>
      <c r="M108" s="152">
        <f>+M$72*6</f>
        <v>591.84</v>
      </c>
      <c r="N108" s="201">
        <f aca="true" t="shared" si="53" ref="N108:N117">+B108*D108*52*M108/2000</f>
        <v>138.49056</v>
      </c>
      <c r="O108" s="168">
        <f t="shared" si="28"/>
        <v>14521.631103903623</v>
      </c>
      <c r="P108" s="154">
        <f t="shared" si="25"/>
        <v>0.4672357520010896</v>
      </c>
      <c r="Q108" s="155">
        <f aca="true" t="shared" si="54" ref="Q108:Q117">+P108*G108</f>
        <v>31.02912629039236</v>
      </c>
      <c r="R108" s="155">
        <f aca="true" t="shared" si="55" ref="R108:R117">+G108-Q108</f>
        <v>35.38087370960764</v>
      </c>
      <c r="S108" s="220"/>
      <c r="T108" s="220"/>
      <c r="U108" s="220"/>
    </row>
    <row r="109" spans="1:21" s="199" customFormat="1" ht="12.75">
      <c r="A109" s="199" t="s">
        <v>158</v>
      </c>
      <c r="B109" s="204">
        <v>99</v>
      </c>
      <c r="C109" s="204">
        <v>99</v>
      </c>
      <c r="D109" s="218">
        <v>1</v>
      </c>
      <c r="E109" s="219">
        <v>65.41</v>
      </c>
      <c r="F109" s="220">
        <f t="shared" si="49"/>
        <v>336730.67999999993</v>
      </c>
      <c r="G109" s="189">
        <f t="shared" si="50"/>
        <v>66.41</v>
      </c>
      <c r="H109" s="190">
        <f aca="true" t="shared" si="56" ref="H109:H117">+G109*D109*B109*52</f>
        <v>341878.67999999993</v>
      </c>
      <c r="I109" s="191">
        <f aca="true" t="shared" si="57" ref="I109:I117">G109-E109</f>
        <v>1</v>
      </c>
      <c r="J109" s="190">
        <f aca="true" t="shared" si="58" ref="J109:J117">+H109-F109</f>
        <v>5148</v>
      </c>
      <c r="K109" s="192">
        <f t="shared" si="51"/>
        <v>0.015288182235132244</v>
      </c>
      <c r="L109" s="202">
        <f t="shared" si="52"/>
        <v>11.068333333333333</v>
      </c>
      <c r="M109" s="152">
        <f>+M108</f>
        <v>591.84</v>
      </c>
      <c r="N109" s="201">
        <f t="shared" si="53"/>
        <v>1523.3961600000002</v>
      </c>
      <c r="O109" s="168">
        <f t="shared" si="28"/>
        <v>159737.9421429399</v>
      </c>
      <c r="P109" s="154">
        <f t="shared" si="25"/>
        <v>0.46723575200108974</v>
      </c>
      <c r="Q109" s="155">
        <f t="shared" si="54"/>
        <v>31.02912629039237</v>
      </c>
      <c r="R109" s="155">
        <f t="shared" si="55"/>
        <v>35.38087370960763</v>
      </c>
      <c r="S109" s="220"/>
      <c r="T109" s="220"/>
      <c r="U109" s="220"/>
    </row>
    <row r="110" spans="1:21" s="199" customFormat="1" ht="12.75">
      <c r="A110" s="199" t="s">
        <v>159</v>
      </c>
      <c r="B110" s="204">
        <v>10</v>
      </c>
      <c r="C110" s="204">
        <v>5</v>
      </c>
      <c r="D110" s="218">
        <v>1</v>
      </c>
      <c r="E110" s="219">
        <v>65.41</v>
      </c>
      <c r="F110" s="220">
        <f t="shared" si="49"/>
        <v>34013.2</v>
      </c>
      <c r="G110" s="189">
        <f t="shared" si="50"/>
        <v>66.41</v>
      </c>
      <c r="H110" s="190">
        <f t="shared" si="56"/>
        <v>34533.2</v>
      </c>
      <c r="I110" s="191">
        <f t="shared" si="57"/>
        <v>1</v>
      </c>
      <c r="J110" s="190">
        <f t="shared" si="58"/>
        <v>520</v>
      </c>
      <c r="K110" s="192">
        <f t="shared" si="51"/>
        <v>0.015288182235132244</v>
      </c>
      <c r="L110" s="202">
        <f t="shared" si="52"/>
        <v>11.068333333333333</v>
      </c>
      <c r="M110" s="152">
        <f aca="true" t="shared" si="59" ref="M110:M117">+M109</f>
        <v>591.84</v>
      </c>
      <c r="N110" s="201">
        <f t="shared" si="53"/>
        <v>153.8784</v>
      </c>
      <c r="O110" s="168">
        <f t="shared" si="28"/>
        <v>16135.145671004027</v>
      </c>
      <c r="P110" s="154">
        <f t="shared" si="25"/>
        <v>0.46723575200108963</v>
      </c>
      <c r="Q110" s="155">
        <f t="shared" si="54"/>
        <v>31.029126290392362</v>
      </c>
      <c r="R110" s="155">
        <f t="shared" si="55"/>
        <v>35.380873709607634</v>
      </c>
      <c r="S110" s="220"/>
      <c r="T110" s="220"/>
      <c r="U110" s="220"/>
    </row>
    <row r="111" spans="1:21" s="199" customFormat="1" ht="12.75">
      <c r="A111" s="199" t="s">
        <v>160</v>
      </c>
      <c r="B111" s="204">
        <v>15</v>
      </c>
      <c r="C111" s="204">
        <v>5</v>
      </c>
      <c r="D111" s="218">
        <v>1</v>
      </c>
      <c r="E111" s="219">
        <v>65.41</v>
      </c>
      <c r="F111" s="220">
        <f t="shared" si="49"/>
        <v>51019.799999999996</v>
      </c>
      <c r="G111" s="189">
        <f t="shared" si="50"/>
        <v>66.41</v>
      </c>
      <c r="H111" s="190">
        <f t="shared" si="56"/>
        <v>51799.799999999996</v>
      </c>
      <c r="I111" s="191">
        <f t="shared" si="57"/>
        <v>1</v>
      </c>
      <c r="J111" s="190">
        <f t="shared" si="58"/>
        <v>780</v>
      </c>
      <c r="K111" s="192">
        <f t="shared" si="51"/>
        <v>0.015288182235132244</v>
      </c>
      <c r="L111" s="202">
        <f t="shared" si="52"/>
        <v>11.068333333333333</v>
      </c>
      <c r="M111" s="152">
        <f t="shared" si="59"/>
        <v>591.84</v>
      </c>
      <c r="N111" s="201">
        <f t="shared" si="53"/>
        <v>230.8176</v>
      </c>
      <c r="O111" s="168">
        <f t="shared" si="28"/>
        <v>24202.71850650604</v>
      </c>
      <c r="P111" s="154">
        <f aca="true" t="shared" si="60" ref="P111:P141">+O111/H111</f>
        <v>0.46723575200108963</v>
      </c>
      <c r="Q111" s="155">
        <f t="shared" si="54"/>
        <v>31.029126290392362</v>
      </c>
      <c r="R111" s="155">
        <f t="shared" si="55"/>
        <v>35.380873709607634</v>
      </c>
      <c r="S111" s="220"/>
      <c r="T111" s="220"/>
      <c r="U111" s="220"/>
    </row>
    <row r="112" spans="1:21" s="199" customFormat="1" ht="12.75">
      <c r="A112" s="199" t="s">
        <v>161</v>
      </c>
      <c r="B112" s="204">
        <v>4</v>
      </c>
      <c r="C112" s="204">
        <v>1</v>
      </c>
      <c r="D112" s="218">
        <v>1</v>
      </c>
      <c r="E112" s="219">
        <v>65.41</v>
      </c>
      <c r="F112" s="220">
        <f t="shared" si="49"/>
        <v>13605.279999999999</v>
      </c>
      <c r="G112" s="189">
        <f t="shared" si="50"/>
        <v>66.41</v>
      </c>
      <c r="H112" s="190">
        <f t="shared" si="56"/>
        <v>13813.279999999999</v>
      </c>
      <c r="I112" s="191">
        <f t="shared" si="57"/>
        <v>1</v>
      </c>
      <c r="J112" s="190">
        <f t="shared" si="58"/>
        <v>208</v>
      </c>
      <c r="K112" s="192">
        <f t="shared" si="51"/>
        <v>0.015288182235132244</v>
      </c>
      <c r="L112" s="202">
        <f t="shared" si="52"/>
        <v>11.068333333333333</v>
      </c>
      <c r="M112" s="152">
        <f t="shared" si="59"/>
        <v>591.84</v>
      </c>
      <c r="N112" s="201">
        <f t="shared" si="53"/>
        <v>61.55136</v>
      </c>
      <c r="O112" s="168">
        <f t="shared" si="28"/>
        <v>6454.058268401611</v>
      </c>
      <c r="P112" s="154">
        <f t="shared" si="60"/>
        <v>0.46723575200108963</v>
      </c>
      <c r="Q112" s="155">
        <f t="shared" si="54"/>
        <v>31.029126290392362</v>
      </c>
      <c r="R112" s="155">
        <f t="shared" si="55"/>
        <v>35.380873709607634</v>
      </c>
      <c r="S112" s="220"/>
      <c r="T112" s="220"/>
      <c r="U112" s="220"/>
    </row>
    <row r="113" spans="1:21" s="199" customFormat="1" ht="12.75">
      <c r="A113" s="199" t="s">
        <v>162</v>
      </c>
      <c r="B113" s="204">
        <v>10</v>
      </c>
      <c r="C113" s="204">
        <v>2</v>
      </c>
      <c r="D113" s="218">
        <v>1</v>
      </c>
      <c r="E113" s="219">
        <v>65.41</v>
      </c>
      <c r="F113" s="220">
        <f t="shared" si="49"/>
        <v>34013.2</v>
      </c>
      <c r="G113" s="189">
        <f t="shared" si="50"/>
        <v>66.41</v>
      </c>
      <c r="H113" s="190">
        <f t="shared" si="56"/>
        <v>34533.2</v>
      </c>
      <c r="I113" s="191">
        <f t="shared" si="57"/>
        <v>1</v>
      </c>
      <c r="J113" s="190">
        <f t="shared" si="58"/>
        <v>520</v>
      </c>
      <c r="K113" s="192">
        <f t="shared" si="51"/>
        <v>0.015288182235132244</v>
      </c>
      <c r="L113" s="202">
        <f t="shared" si="52"/>
        <v>11.068333333333333</v>
      </c>
      <c r="M113" s="152">
        <f t="shared" si="59"/>
        <v>591.84</v>
      </c>
      <c r="N113" s="201">
        <f t="shared" si="53"/>
        <v>153.8784</v>
      </c>
      <c r="O113" s="168">
        <f t="shared" si="28"/>
        <v>16135.145671004027</v>
      </c>
      <c r="P113" s="154">
        <f t="shared" si="60"/>
        <v>0.46723575200108963</v>
      </c>
      <c r="Q113" s="155">
        <f t="shared" si="54"/>
        <v>31.029126290392362</v>
      </c>
      <c r="R113" s="155">
        <f t="shared" si="55"/>
        <v>35.380873709607634</v>
      </c>
      <c r="S113" s="220"/>
      <c r="T113" s="220"/>
      <c r="U113" s="220"/>
    </row>
    <row r="114" spans="1:21" s="199" customFormat="1" ht="12.75">
      <c r="A114" s="199" t="s">
        <v>163</v>
      </c>
      <c r="B114" s="204">
        <v>25</v>
      </c>
      <c r="C114" s="204">
        <v>25</v>
      </c>
      <c r="D114" s="218">
        <v>2</v>
      </c>
      <c r="E114" s="219">
        <v>65.41</v>
      </c>
      <c r="F114" s="220">
        <f t="shared" si="49"/>
        <v>170066</v>
      </c>
      <c r="G114" s="189">
        <f t="shared" si="50"/>
        <v>66.41</v>
      </c>
      <c r="H114" s="190">
        <f t="shared" si="56"/>
        <v>172666</v>
      </c>
      <c r="I114" s="191">
        <f t="shared" si="57"/>
        <v>1</v>
      </c>
      <c r="J114" s="190">
        <f t="shared" si="58"/>
        <v>2600</v>
      </c>
      <c r="K114" s="192">
        <f t="shared" si="51"/>
        <v>0.015288182235132244</v>
      </c>
      <c r="L114" s="202">
        <f t="shared" si="52"/>
        <v>11.068333333333333</v>
      </c>
      <c r="M114" s="152">
        <f t="shared" si="59"/>
        <v>591.84</v>
      </c>
      <c r="N114" s="201">
        <f t="shared" si="53"/>
        <v>769.392</v>
      </c>
      <c r="O114" s="168">
        <f t="shared" si="28"/>
        <v>80675.72835502014</v>
      </c>
      <c r="P114" s="154">
        <f t="shared" si="60"/>
        <v>0.46723575200108963</v>
      </c>
      <c r="Q114" s="155">
        <f t="shared" si="54"/>
        <v>31.029126290392362</v>
      </c>
      <c r="R114" s="155">
        <f t="shared" si="55"/>
        <v>35.380873709607634</v>
      </c>
      <c r="S114" s="220"/>
      <c r="T114" s="220"/>
      <c r="U114" s="220"/>
    </row>
    <row r="115" spans="1:21" s="199" customFormat="1" ht="12.75">
      <c r="A115" s="199" t="s">
        <v>164</v>
      </c>
      <c r="B115" s="204">
        <v>6</v>
      </c>
      <c r="C115" s="204">
        <v>3</v>
      </c>
      <c r="D115" s="218">
        <v>2</v>
      </c>
      <c r="E115" s="219">
        <v>65.41</v>
      </c>
      <c r="F115" s="220">
        <f t="shared" si="49"/>
        <v>40815.84</v>
      </c>
      <c r="G115" s="189">
        <f t="shared" si="50"/>
        <v>66.41</v>
      </c>
      <c r="H115" s="190">
        <f t="shared" si="56"/>
        <v>41439.84</v>
      </c>
      <c r="I115" s="191">
        <f t="shared" si="57"/>
        <v>1</v>
      </c>
      <c r="J115" s="190">
        <f t="shared" si="58"/>
        <v>624</v>
      </c>
      <c r="K115" s="192">
        <f t="shared" si="51"/>
        <v>0.015288182235132244</v>
      </c>
      <c r="L115" s="202">
        <f t="shared" si="52"/>
        <v>11.068333333333333</v>
      </c>
      <c r="M115" s="152">
        <f t="shared" si="59"/>
        <v>591.84</v>
      </c>
      <c r="N115" s="201">
        <f t="shared" si="53"/>
        <v>184.65408000000002</v>
      </c>
      <c r="O115" s="168">
        <f t="shared" si="28"/>
        <v>19362.174805204835</v>
      </c>
      <c r="P115" s="154">
        <f t="shared" si="60"/>
        <v>0.4672357520010897</v>
      </c>
      <c r="Q115" s="155">
        <f t="shared" si="54"/>
        <v>31.029126290392366</v>
      </c>
      <c r="R115" s="155">
        <f t="shared" si="55"/>
        <v>35.38087370960763</v>
      </c>
      <c r="S115" s="220"/>
      <c r="T115" s="220"/>
      <c r="U115" s="220"/>
    </row>
    <row r="116" spans="1:21" s="199" customFormat="1" ht="12.75">
      <c r="A116" s="199" t="s">
        <v>165</v>
      </c>
      <c r="B116" s="204">
        <v>5</v>
      </c>
      <c r="C116" s="204">
        <v>5</v>
      </c>
      <c r="D116" s="218">
        <v>3</v>
      </c>
      <c r="E116" s="219">
        <v>65.41</v>
      </c>
      <c r="F116" s="220">
        <f t="shared" si="49"/>
        <v>51019.799999999996</v>
      </c>
      <c r="G116" s="189">
        <f t="shared" si="50"/>
        <v>66.41</v>
      </c>
      <c r="H116" s="190">
        <f t="shared" si="56"/>
        <v>51799.799999999996</v>
      </c>
      <c r="I116" s="191">
        <f t="shared" si="57"/>
        <v>1</v>
      </c>
      <c r="J116" s="190">
        <f t="shared" si="58"/>
        <v>780</v>
      </c>
      <c r="K116" s="192">
        <f t="shared" si="51"/>
        <v>0.015288182235132244</v>
      </c>
      <c r="L116" s="202">
        <f t="shared" si="52"/>
        <v>11.068333333333333</v>
      </c>
      <c r="M116" s="152">
        <f t="shared" si="59"/>
        <v>591.84</v>
      </c>
      <c r="N116" s="201">
        <f t="shared" si="53"/>
        <v>230.8176</v>
      </c>
      <c r="O116" s="168">
        <f t="shared" si="28"/>
        <v>24202.71850650604</v>
      </c>
      <c r="P116" s="154">
        <f t="shared" si="60"/>
        <v>0.46723575200108963</v>
      </c>
      <c r="Q116" s="155">
        <f t="shared" si="54"/>
        <v>31.029126290392362</v>
      </c>
      <c r="R116" s="155">
        <f t="shared" si="55"/>
        <v>35.380873709607634</v>
      </c>
      <c r="S116" s="220"/>
      <c r="T116" s="220"/>
      <c r="U116" s="220"/>
    </row>
    <row r="117" spans="1:21" s="199" customFormat="1" ht="15">
      <c r="A117" s="199" t="s">
        <v>166</v>
      </c>
      <c r="B117" s="221">
        <v>4</v>
      </c>
      <c r="C117" s="221">
        <v>1</v>
      </c>
      <c r="D117" s="218">
        <v>3</v>
      </c>
      <c r="E117" s="219">
        <v>65.41</v>
      </c>
      <c r="F117" s="223">
        <f t="shared" si="49"/>
        <v>40815.84</v>
      </c>
      <c r="G117" s="189">
        <f t="shared" si="50"/>
        <v>66.41</v>
      </c>
      <c r="H117" s="193">
        <f t="shared" si="56"/>
        <v>41439.84</v>
      </c>
      <c r="I117" s="191">
        <f t="shared" si="57"/>
        <v>1</v>
      </c>
      <c r="J117" s="193">
        <f t="shared" si="58"/>
        <v>624</v>
      </c>
      <c r="K117" s="192">
        <f t="shared" si="51"/>
        <v>0.015288182235132244</v>
      </c>
      <c r="L117" s="202">
        <f t="shared" si="52"/>
        <v>11.068333333333333</v>
      </c>
      <c r="M117" s="152">
        <f t="shared" si="59"/>
        <v>591.84</v>
      </c>
      <c r="N117" s="169">
        <f t="shared" si="53"/>
        <v>184.65408000000002</v>
      </c>
      <c r="O117" s="170">
        <f t="shared" si="28"/>
        <v>19362.174805204835</v>
      </c>
      <c r="P117" s="154">
        <f t="shared" si="60"/>
        <v>0.4672357520010897</v>
      </c>
      <c r="Q117" s="155">
        <f t="shared" si="54"/>
        <v>31.029126290392366</v>
      </c>
      <c r="R117" s="155">
        <f t="shared" si="55"/>
        <v>35.38087370960763</v>
      </c>
      <c r="S117" s="223"/>
      <c r="T117" s="223"/>
      <c r="U117" s="223"/>
    </row>
    <row r="118" spans="1:21" s="199" customFormat="1" ht="15">
      <c r="A118" s="243"/>
      <c r="B118" s="224">
        <f>SUM(B108:B117)</f>
        <v>196</v>
      </c>
      <c r="C118" s="224">
        <f>SUM(C108:C117)</f>
        <v>164</v>
      </c>
      <c r="D118" s="218"/>
      <c r="E118" s="219"/>
      <c r="F118" s="242">
        <f>SUM(F108:F117)</f>
        <v>802711.52</v>
      </c>
      <c r="G118" s="242"/>
      <c r="H118" s="242">
        <f>SUM(H108:H117)</f>
        <v>814983.52</v>
      </c>
      <c r="I118" s="273"/>
      <c r="J118" s="242">
        <f>SUM(J108:J117)</f>
        <v>12272</v>
      </c>
      <c r="K118" s="242"/>
      <c r="L118" s="227"/>
      <c r="M118" s="242"/>
      <c r="N118" s="228">
        <f>SUM(N108:N117)</f>
        <v>3631.53024</v>
      </c>
      <c r="O118" s="242">
        <f>SUM(O108:O117)</f>
        <v>380789.4378356951</v>
      </c>
      <c r="P118" s="154"/>
      <c r="Q118" s="155"/>
      <c r="R118" s="155"/>
      <c r="S118" s="242"/>
      <c r="T118" s="242"/>
      <c r="U118" s="242"/>
    </row>
    <row r="119" spans="2:18" s="199" customFormat="1" ht="17.25" customHeight="1">
      <c r="B119" s="204"/>
      <c r="C119" s="204"/>
      <c r="D119" s="218"/>
      <c r="E119" s="219"/>
      <c r="L119" s="202"/>
      <c r="N119" s="201"/>
      <c r="P119" s="154"/>
      <c r="Q119" s="155"/>
      <c r="R119" s="155"/>
    </row>
    <row r="120" spans="2:18" s="199" customFormat="1" ht="12.75">
      <c r="B120" s="204"/>
      <c r="C120" s="204"/>
      <c r="D120" s="218"/>
      <c r="E120" s="219"/>
      <c r="L120" s="202"/>
      <c r="N120" s="201"/>
      <c r="P120" s="154"/>
      <c r="Q120" s="155"/>
      <c r="R120" s="155"/>
    </row>
    <row r="121" spans="1:21" s="199" customFormat="1" ht="12.75">
      <c r="A121" s="199" t="s">
        <v>167</v>
      </c>
      <c r="B121" s="204">
        <v>13</v>
      </c>
      <c r="C121" s="204">
        <v>13</v>
      </c>
      <c r="D121" s="218">
        <v>0.5</v>
      </c>
      <c r="E121" s="219">
        <v>78.79</v>
      </c>
      <c r="F121" s="220">
        <f aca="true" t="shared" si="61" ref="F121:F132">+E121*D121*B121*52</f>
        <v>26631.02</v>
      </c>
      <c r="G121" s="189">
        <f aca="true" t="shared" si="62" ref="G121:G132">ROUND(E121*(1+$G$46),2)</f>
        <v>80</v>
      </c>
      <c r="H121" s="190">
        <f>+G121*D121*B121*52</f>
        <v>27040</v>
      </c>
      <c r="I121" s="191">
        <f>G121-E121</f>
        <v>1.2099999999999937</v>
      </c>
      <c r="J121" s="190">
        <f>+H121-F121</f>
        <v>408.97999999999956</v>
      </c>
      <c r="K121" s="192">
        <f aca="true" t="shared" si="63" ref="K121:K132">I121/E121</f>
        <v>0.015357278842492621</v>
      </c>
      <c r="L121" s="202">
        <f aca="true" t="shared" si="64" ref="L121:L132">+G121/8</f>
        <v>10</v>
      </c>
      <c r="M121" s="152">
        <f>+M$72*8</f>
        <v>789.12</v>
      </c>
      <c r="N121" s="201">
        <f aca="true" t="shared" si="65" ref="N121:N132">+B121*D121*52*M121/2000</f>
        <v>133.36128</v>
      </c>
      <c r="O121" s="168">
        <f t="shared" si="28"/>
        <v>13983.792914870157</v>
      </c>
      <c r="P121" s="154">
        <f t="shared" si="60"/>
        <v>0.5171521048398726</v>
      </c>
      <c r="Q121" s="155">
        <f aca="true" t="shared" si="66" ref="Q121:Q132">+P121*G121</f>
        <v>41.37216838718981</v>
      </c>
      <c r="R121" s="155">
        <f aca="true" t="shared" si="67" ref="R121:R132">+G121-Q121</f>
        <v>38.62783161281019</v>
      </c>
      <c r="S121" s="220"/>
      <c r="T121" s="220"/>
      <c r="U121" s="220"/>
    </row>
    <row r="122" spans="1:21" s="199" customFormat="1" ht="12.75">
      <c r="A122" s="199" t="s">
        <v>168</v>
      </c>
      <c r="B122" s="204">
        <v>62</v>
      </c>
      <c r="C122" s="204">
        <v>62</v>
      </c>
      <c r="D122" s="218">
        <v>1</v>
      </c>
      <c r="E122" s="219">
        <v>78.79</v>
      </c>
      <c r="F122" s="220">
        <f t="shared" si="61"/>
        <v>254018.96000000002</v>
      </c>
      <c r="G122" s="189">
        <f t="shared" si="62"/>
        <v>80</v>
      </c>
      <c r="H122" s="190">
        <f aca="true" t="shared" si="68" ref="H122:H132">+G122*D122*B122*52</f>
        <v>257920</v>
      </c>
      <c r="I122" s="191">
        <f aca="true" t="shared" si="69" ref="I122:I132">G122-E122</f>
        <v>1.2099999999999937</v>
      </c>
      <c r="J122" s="190">
        <f aca="true" t="shared" si="70" ref="J122:J132">+H122-F122</f>
        <v>3901.039999999979</v>
      </c>
      <c r="K122" s="192">
        <f t="shared" si="63"/>
        <v>0.015357278842492621</v>
      </c>
      <c r="L122" s="202">
        <f t="shared" si="64"/>
        <v>10</v>
      </c>
      <c r="M122" s="152">
        <f>+M121</f>
        <v>789.12</v>
      </c>
      <c r="N122" s="201">
        <f t="shared" si="65"/>
        <v>1272.06144</v>
      </c>
      <c r="O122" s="168">
        <f t="shared" si="28"/>
        <v>133383.87088029995</v>
      </c>
      <c r="P122" s="154">
        <f t="shared" si="60"/>
        <v>0.5171521048398726</v>
      </c>
      <c r="Q122" s="155">
        <f t="shared" si="66"/>
        <v>41.37216838718981</v>
      </c>
      <c r="R122" s="155">
        <f t="shared" si="67"/>
        <v>38.62783161281019</v>
      </c>
      <c r="S122" s="220"/>
      <c r="T122" s="220"/>
      <c r="U122" s="220"/>
    </row>
    <row r="123" spans="1:21" s="199" customFormat="1" ht="12.75">
      <c r="A123" s="199" t="s">
        <v>169</v>
      </c>
      <c r="B123" s="204">
        <v>8</v>
      </c>
      <c r="C123" s="204">
        <v>4</v>
      </c>
      <c r="D123" s="218">
        <v>1</v>
      </c>
      <c r="E123" s="219">
        <v>78.79</v>
      </c>
      <c r="F123" s="220">
        <f t="shared" si="61"/>
        <v>32776.64</v>
      </c>
      <c r="G123" s="189">
        <f t="shared" si="62"/>
        <v>80</v>
      </c>
      <c r="H123" s="190">
        <f t="shared" si="68"/>
        <v>33280</v>
      </c>
      <c r="I123" s="191">
        <f t="shared" si="69"/>
        <v>1.2099999999999937</v>
      </c>
      <c r="J123" s="190">
        <f t="shared" si="70"/>
        <v>503.3600000000006</v>
      </c>
      <c r="K123" s="192">
        <f t="shared" si="63"/>
        <v>0.015357278842492621</v>
      </c>
      <c r="L123" s="202">
        <f t="shared" si="64"/>
        <v>10</v>
      </c>
      <c r="M123" s="152">
        <f aca="true" t="shared" si="71" ref="M123:M132">+M122</f>
        <v>789.12</v>
      </c>
      <c r="N123" s="201">
        <f t="shared" si="65"/>
        <v>164.13696</v>
      </c>
      <c r="O123" s="168">
        <f t="shared" si="28"/>
        <v>17210.82204907096</v>
      </c>
      <c r="P123" s="154">
        <f t="shared" si="60"/>
        <v>0.5171521048398726</v>
      </c>
      <c r="Q123" s="155">
        <f t="shared" si="66"/>
        <v>41.37216838718981</v>
      </c>
      <c r="R123" s="155">
        <f t="shared" si="67"/>
        <v>38.62783161281019</v>
      </c>
      <c r="S123" s="220"/>
      <c r="T123" s="220"/>
      <c r="U123" s="220"/>
    </row>
    <row r="124" spans="1:21" s="199" customFormat="1" ht="12.75">
      <c r="A124" s="199" t="s">
        <v>170</v>
      </c>
      <c r="B124" s="204">
        <v>9</v>
      </c>
      <c r="C124" s="204">
        <v>3</v>
      </c>
      <c r="D124" s="218">
        <v>1</v>
      </c>
      <c r="E124" s="219">
        <v>78.79</v>
      </c>
      <c r="F124" s="220">
        <f t="shared" si="61"/>
        <v>36873.72</v>
      </c>
      <c r="G124" s="189">
        <f t="shared" si="62"/>
        <v>80</v>
      </c>
      <c r="H124" s="190">
        <f t="shared" si="68"/>
        <v>37440</v>
      </c>
      <c r="I124" s="191">
        <f t="shared" si="69"/>
        <v>1.2099999999999937</v>
      </c>
      <c r="J124" s="190">
        <f t="shared" si="70"/>
        <v>566.2799999999988</v>
      </c>
      <c r="K124" s="192">
        <f t="shared" si="63"/>
        <v>0.015357278842492621</v>
      </c>
      <c r="L124" s="202">
        <f t="shared" si="64"/>
        <v>10</v>
      </c>
      <c r="M124" s="152">
        <f t="shared" si="71"/>
        <v>789.12</v>
      </c>
      <c r="N124" s="201">
        <f t="shared" si="65"/>
        <v>184.65408</v>
      </c>
      <c r="O124" s="168">
        <f t="shared" si="28"/>
        <v>19362.17480520483</v>
      </c>
      <c r="P124" s="154">
        <f t="shared" si="60"/>
        <v>0.5171521048398726</v>
      </c>
      <c r="Q124" s="155">
        <f t="shared" si="66"/>
        <v>41.37216838718981</v>
      </c>
      <c r="R124" s="155">
        <f t="shared" si="67"/>
        <v>38.62783161281019</v>
      </c>
      <c r="S124" s="220"/>
      <c r="T124" s="220"/>
      <c r="U124" s="220"/>
    </row>
    <row r="125" spans="1:21" s="199" customFormat="1" ht="12.75">
      <c r="A125" s="199" t="s">
        <v>171</v>
      </c>
      <c r="B125" s="204">
        <v>5</v>
      </c>
      <c r="C125" s="204">
        <v>1</v>
      </c>
      <c r="D125" s="218">
        <v>1</v>
      </c>
      <c r="E125" s="219">
        <v>78.79</v>
      </c>
      <c r="F125" s="220">
        <f t="shared" si="61"/>
        <v>20485.4</v>
      </c>
      <c r="G125" s="189">
        <f t="shared" si="62"/>
        <v>80</v>
      </c>
      <c r="H125" s="190">
        <f t="shared" si="68"/>
        <v>20800</v>
      </c>
      <c r="I125" s="191">
        <f t="shared" si="69"/>
        <v>1.2099999999999937</v>
      </c>
      <c r="J125" s="190">
        <f t="shared" si="70"/>
        <v>314.59999999999854</v>
      </c>
      <c r="K125" s="192">
        <f t="shared" si="63"/>
        <v>0.015357278842492621</v>
      </c>
      <c r="L125" s="202">
        <f t="shared" si="64"/>
        <v>10</v>
      </c>
      <c r="M125" s="152">
        <f t="shared" si="71"/>
        <v>789.12</v>
      </c>
      <c r="N125" s="201">
        <f t="shared" si="65"/>
        <v>102.5856</v>
      </c>
      <c r="O125" s="168">
        <f t="shared" si="28"/>
        <v>10756.763780669351</v>
      </c>
      <c r="P125" s="154">
        <f t="shared" si="60"/>
        <v>0.5171521048398726</v>
      </c>
      <c r="Q125" s="155">
        <f t="shared" si="66"/>
        <v>41.37216838718981</v>
      </c>
      <c r="R125" s="155">
        <f t="shared" si="67"/>
        <v>38.62783161281019</v>
      </c>
      <c r="S125" s="220"/>
      <c r="T125" s="220"/>
      <c r="U125" s="220"/>
    </row>
    <row r="126" spans="1:21" s="199" customFormat="1" ht="12.75">
      <c r="A126" s="199" t="s">
        <v>172</v>
      </c>
      <c r="B126" s="204">
        <v>6</v>
      </c>
      <c r="C126" s="204">
        <v>1</v>
      </c>
      <c r="D126" s="218">
        <v>1</v>
      </c>
      <c r="E126" s="219">
        <v>78.79</v>
      </c>
      <c r="F126" s="220">
        <f t="shared" si="61"/>
        <v>24582.48</v>
      </c>
      <c r="G126" s="189">
        <f t="shared" si="62"/>
        <v>80</v>
      </c>
      <c r="H126" s="190">
        <f t="shared" si="68"/>
        <v>24960</v>
      </c>
      <c r="I126" s="191">
        <f t="shared" si="69"/>
        <v>1.2099999999999937</v>
      </c>
      <c r="J126" s="190">
        <f t="shared" si="70"/>
        <v>377.52000000000044</v>
      </c>
      <c r="K126" s="192">
        <f t="shared" si="63"/>
        <v>0.015357278842492621</v>
      </c>
      <c r="L126" s="202">
        <f t="shared" si="64"/>
        <v>10</v>
      </c>
      <c r="M126" s="152">
        <f t="shared" si="71"/>
        <v>789.12</v>
      </c>
      <c r="N126" s="201">
        <f t="shared" si="65"/>
        <v>123.10272</v>
      </c>
      <c r="O126" s="168">
        <f t="shared" si="28"/>
        <v>12908.116536803222</v>
      </c>
      <c r="P126" s="154">
        <f t="shared" si="60"/>
        <v>0.5171521048398726</v>
      </c>
      <c r="Q126" s="155">
        <f t="shared" si="66"/>
        <v>41.37216838718981</v>
      </c>
      <c r="R126" s="155">
        <f t="shared" si="67"/>
        <v>38.62783161281019</v>
      </c>
      <c r="S126" s="220"/>
      <c r="T126" s="220"/>
      <c r="U126" s="220"/>
    </row>
    <row r="127" spans="1:21" s="199" customFormat="1" ht="12.75">
      <c r="A127" s="199" t="s">
        <v>173</v>
      </c>
      <c r="B127" s="204">
        <v>17</v>
      </c>
      <c r="C127" s="204">
        <v>17</v>
      </c>
      <c r="D127" s="218">
        <v>2</v>
      </c>
      <c r="E127" s="219">
        <v>78.79</v>
      </c>
      <c r="F127" s="220">
        <f t="shared" si="61"/>
        <v>139300.72</v>
      </c>
      <c r="G127" s="189">
        <f t="shared" si="62"/>
        <v>80</v>
      </c>
      <c r="H127" s="190">
        <f t="shared" si="68"/>
        <v>141440</v>
      </c>
      <c r="I127" s="191">
        <f t="shared" si="69"/>
        <v>1.2099999999999937</v>
      </c>
      <c r="J127" s="190">
        <f t="shared" si="70"/>
        <v>2139.279999999999</v>
      </c>
      <c r="K127" s="192">
        <f t="shared" si="63"/>
        <v>0.015357278842492621</v>
      </c>
      <c r="L127" s="202">
        <f t="shared" si="64"/>
        <v>10</v>
      </c>
      <c r="M127" s="152">
        <f t="shared" si="71"/>
        <v>789.12</v>
      </c>
      <c r="N127" s="201">
        <f t="shared" si="65"/>
        <v>697.5820799999999</v>
      </c>
      <c r="O127" s="168">
        <f t="shared" si="28"/>
        <v>73145.99370855158</v>
      </c>
      <c r="P127" s="154">
        <f t="shared" si="60"/>
        <v>0.5171521048398726</v>
      </c>
      <c r="Q127" s="155">
        <f t="shared" si="66"/>
        <v>41.37216838718981</v>
      </c>
      <c r="R127" s="155">
        <f t="shared" si="67"/>
        <v>38.62783161281019</v>
      </c>
      <c r="S127" s="220"/>
      <c r="T127" s="220"/>
      <c r="U127" s="220"/>
    </row>
    <row r="128" spans="1:21" s="199" customFormat="1" ht="12.75">
      <c r="A128" s="199" t="s">
        <v>174</v>
      </c>
      <c r="B128" s="204">
        <v>4</v>
      </c>
      <c r="C128" s="204">
        <v>2</v>
      </c>
      <c r="D128" s="218">
        <v>2</v>
      </c>
      <c r="E128" s="219">
        <v>78.79</v>
      </c>
      <c r="F128" s="220">
        <f t="shared" si="61"/>
        <v>32776.64</v>
      </c>
      <c r="G128" s="189">
        <f t="shared" si="62"/>
        <v>80</v>
      </c>
      <c r="H128" s="190">
        <f t="shared" si="68"/>
        <v>33280</v>
      </c>
      <c r="I128" s="191">
        <f t="shared" si="69"/>
        <v>1.2099999999999937</v>
      </c>
      <c r="J128" s="190">
        <f t="shared" si="70"/>
        <v>503.3600000000006</v>
      </c>
      <c r="K128" s="192">
        <f t="shared" si="63"/>
        <v>0.015357278842492621</v>
      </c>
      <c r="L128" s="202">
        <f t="shared" si="64"/>
        <v>10</v>
      </c>
      <c r="M128" s="152">
        <f t="shared" si="71"/>
        <v>789.12</v>
      </c>
      <c r="N128" s="201">
        <f t="shared" si="65"/>
        <v>164.13696</v>
      </c>
      <c r="O128" s="168">
        <f t="shared" si="28"/>
        <v>17210.82204907096</v>
      </c>
      <c r="P128" s="154">
        <f t="shared" si="60"/>
        <v>0.5171521048398726</v>
      </c>
      <c r="Q128" s="155">
        <f t="shared" si="66"/>
        <v>41.37216838718981</v>
      </c>
      <c r="R128" s="155">
        <f t="shared" si="67"/>
        <v>38.62783161281019</v>
      </c>
      <c r="S128" s="220"/>
      <c r="T128" s="220"/>
      <c r="U128" s="220"/>
    </row>
    <row r="129" spans="1:21" s="199" customFormat="1" ht="12.75">
      <c r="A129" s="199" t="s">
        <v>175</v>
      </c>
      <c r="B129" s="204">
        <v>7</v>
      </c>
      <c r="C129" s="204">
        <v>7</v>
      </c>
      <c r="D129" s="218">
        <v>3</v>
      </c>
      <c r="E129" s="219">
        <v>78.79</v>
      </c>
      <c r="F129" s="220">
        <f t="shared" si="61"/>
        <v>86038.68000000001</v>
      </c>
      <c r="G129" s="189">
        <f t="shared" si="62"/>
        <v>80</v>
      </c>
      <c r="H129" s="190">
        <f t="shared" si="68"/>
        <v>87360</v>
      </c>
      <c r="I129" s="191">
        <f t="shared" si="69"/>
        <v>1.2099999999999937</v>
      </c>
      <c r="J129" s="190">
        <f t="shared" si="70"/>
        <v>1321.3199999999924</v>
      </c>
      <c r="K129" s="192">
        <f t="shared" si="63"/>
        <v>0.015357278842492621</v>
      </c>
      <c r="L129" s="202">
        <f t="shared" si="64"/>
        <v>10</v>
      </c>
      <c r="M129" s="152">
        <f t="shared" si="71"/>
        <v>789.12</v>
      </c>
      <c r="N129" s="201">
        <f t="shared" si="65"/>
        <v>430.85952000000003</v>
      </c>
      <c r="O129" s="168">
        <f t="shared" si="28"/>
        <v>45178.40787881128</v>
      </c>
      <c r="P129" s="154">
        <f t="shared" si="60"/>
        <v>0.5171521048398727</v>
      </c>
      <c r="Q129" s="155">
        <f t="shared" si="66"/>
        <v>41.37216838718982</v>
      </c>
      <c r="R129" s="155">
        <f t="shared" si="67"/>
        <v>38.62783161281018</v>
      </c>
      <c r="S129" s="220"/>
      <c r="T129" s="220"/>
      <c r="U129" s="220"/>
    </row>
    <row r="130" spans="1:21" s="199" customFormat="1" ht="12.75">
      <c r="A130" s="199" t="s">
        <v>176</v>
      </c>
      <c r="B130" s="204">
        <v>2</v>
      </c>
      <c r="C130" s="204">
        <v>1</v>
      </c>
      <c r="D130" s="218">
        <v>3</v>
      </c>
      <c r="E130" s="219">
        <v>78.79</v>
      </c>
      <c r="F130" s="220">
        <f t="shared" si="61"/>
        <v>24582.48</v>
      </c>
      <c r="G130" s="189">
        <f t="shared" si="62"/>
        <v>80</v>
      </c>
      <c r="H130" s="190">
        <f t="shared" si="68"/>
        <v>24960</v>
      </c>
      <c r="I130" s="191">
        <f t="shared" si="69"/>
        <v>1.2099999999999937</v>
      </c>
      <c r="J130" s="190">
        <f t="shared" si="70"/>
        <v>377.52000000000044</v>
      </c>
      <c r="K130" s="192">
        <f t="shared" si="63"/>
        <v>0.015357278842492621</v>
      </c>
      <c r="L130" s="202">
        <f t="shared" si="64"/>
        <v>10</v>
      </c>
      <c r="M130" s="152">
        <f t="shared" si="71"/>
        <v>789.12</v>
      </c>
      <c r="N130" s="201">
        <f t="shared" si="65"/>
        <v>123.10272</v>
      </c>
      <c r="O130" s="168">
        <f t="shared" si="28"/>
        <v>12908.116536803222</v>
      </c>
      <c r="P130" s="154">
        <f t="shared" si="60"/>
        <v>0.5171521048398726</v>
      </c>
      <c r="Q130" s="155">
        <f t="shared" si="66"/>
        <v>41.37216838718981</v>
      </c>
      <c r="R130" s="155">
        <f t="shared" si="67"/>
        <v>38.62783161281019</v>
      </c>
      <c r="S130" s="220"/>
      <c r="T130" s="220"/>
      <c r="U130" s="220"/>
    </row>
    <row r="131" spans="1:21" s="199" customFormat="1" ht="12.75">
      <c r="A131" s="199" t="s">
        <v>177</v>
      </c>
      <c r="B131" s="204">
        <v>1</v>
      </c>
      <c r="C131" s="204">
        <v>1</v>
      </c>
      <c r="D131" s="218">
        <v>4</v>
      </c>
      <c r="E131" s="219">
        <v>78.79</v>
      </c>
      <c r="F131" s="220">
        <f t="shared" si="61"/>
        <v>16388.32</v>
      </c>
      <c r="G131" s="189">
        <f t="shared" si="62"/>
        <v>80</v>
      </c>
      <c r="H131" s="190">
        <f t="shared" si="68"/>
        <v>16640</v>
      </c>
      <c r="I131" s="191">
        <f t="shared" si="69"/>
        <v>1.2099999999999937</v>
      </c>
      <c r="J131" s="190">
        <f t="shared" si="70"/>
        <v>251.6800000000003</v>
      </c>
      <c r="K131" s="192">
        <f t="shared" si="63"/>
        <v>0.015357278842492621</v>
      </c>
      <c r="L131" s="202">
        <f t="shared" si="64"/>
        <v>10</v>
      </c>
      <c r="M131" s="152">
        <f t="shared" si="71"/>
        <v>789.12</v>
      </c>
      <c r="N131" s="201">
        <f t="shared" si="65"/>
        <v>82.06848</v>
      </c>
      <c r="O131" s="168">
        <f t="shared" si="28"/>
        <v>8605.41102453548</v>
      </c>
      <c r="P131" s="154">
        <f t="shared" si="60"/>
        <v>0.5171521048398726</v>
      </c>
      <c r="Q131" s="155">
        <f t="shared" si="66"/>
        <v>41.37216838718981</v>
      </c>
      <c r="R131" s="155">
        <f t="shared" si="67"/>
        <v>38.62783161281019</v>
      </c>
      <c r="S131" s="220"/>
      <c r="T131" s="220"/>
      <c r="U131" s="220"/>
    </row>
    <row r="132" spans="1:21" s="199" customFormat="1" ht="15">
      <c r="A132" s="199" t="s">
        <v>178</v>
      </c>
      <c r="B132" s="221">
        <v>1</v>
      </c>
      <c r="C132" s="221">
        <v>1</v>
      </c>
      <c r="D132" s="218">
        <v>5</v>
      </c>
      <c r="E132" s="219">
        <v>78.79</v>
      </c>
      <c r="F132" s="223">
        <f t="shared" si="61"/>
        <v>20485.4</v>
      </c>
      <c r="G132" s="189">
        <f t="shared" si="62"/>
        <v>80</v>
      </c>
      <c r="H132" s="193">
        <f t="shared" si="68"/>
        <v>20800</v>
      </c>
      <c r="I132" s="191">
        <f t="shared" si="69"/>
        <v>1.2099999999999937</v>
      </c>
      <c r="J132" s="193">
        <f t="shared" si="70"/>
        <v>314.59999999999854</v>
      </c>
      <c r="K132" s="192">
        <f t="shared" si="63"/>
        <v>0.015357278842492621</v>
      </c>
      <c r="L132" s="202">
        <f t="shared" si="64"/>
        <v>10</v>
      </c>
      <c r="M132" s="152">
        <f t="shared" si="71"/>
        <v>789.12</v>
      </c>
      <c r="N132" s="169">
        <f t="shared" si="65"/>
        <v>102.5856</v>
      </c>
      <c r="O132" s="170">
        <f t="shared" si="28"/>
        <v>10756.763780669351</v>
      </c>
      <c r="P132" s="154">
        <f t="shared" si="60"/>
        <v>0.5171521048398726</v>
      </c>
      <c r="Q132" s="155">
        <f t="shared" si="66"/>
        <v>41.37216838718981</v>
      </c>
      <c r="R132" s="155">
        <f t="shared" si="67"/>
        <v>38.62783161281019</v>
      </c>
      <c r="S132" s="223"/>
      <c r="T132" s="223"/>
      <c r="U132" s="223"/>
    </row>
    <row r="133" spans="1:21" s="199" customFormat="1" ht="15">
      <c r="A133" s="243"/>
      <c r="B133" s="224">
        <f>SUM(B121:B132)</f>
        <v>135</v>
      </c>
      <c r="C133" s="224">
        <f>SUM(C121:C132)</f>
        <v>113</v>
      </c>
      <c r="D133" s="218"/>
      <c r="E133" s="219"/>
      <c r="F133" s="242">
        <f>SUM(F121:F132)</f>
        <v>714940.4600000001</v>
      </c>
      <c r="G133" s="242"/>
      <c r="H133" s="242">
        <f>SUM(H121:H132)</f>
        <v>725920</v>
      </c>
      <c r="I133" s="273"/>
      <c r="J133" s="242">
        <f>SUM(J121:J132)</f>
        <v>10979.539999999968</v>
      </c>
      <c r="K133" s="242"/>
      <c r="L133" s="227"/>
      <c r="M133" s="242"/>
      <c r="N133" s="228">
        <f>SUM(N121:N132)</f>
        <v>3580.2374399999994</v>
      </c>
      <c r="O133" s="242">
        <f>SUM(O121:O132)</f>
        <v>375411.05594536033</v>
      </c>
      <c r="P133" s="154"/>
      <c r="Q133" s="155"/>
      <c r="R133" s="155"/>
      <c r="S133" s="242"/>
      <c r="T133" s="242"/>
      <c r="U133" s="242"/>
    </row>
    <row r="134" spans="2:18" s="199" customFormat="1" ht="12.75">
      <c r="B134" s="204"/>
      <c r="C134" s="204"/>
      <c r="D134" s="218"/>
      <c r="E134" s="219"/>
      <c r="L134" s="202"/>
      <c r="N134" s="201"/>
      <c r="P134" s="154"/>
      <c r="Q134" s="155"/>
      <c r="R134" s="155"/>
    </row>
    <row r="135" spans="2:18" s="199" customFormat="1" ht="12.75">
      <c r="B135" s="204"/>
      <c r="C135" s="204"/>
      <c r="D135" s="218"/>
      <c r="E135" s="219"/>
      <c r="L135" s="202"/>
      <c r="N135" s="201"/>
      <c r="P135" s="154"/>
      <c r="Q135" s="155"/>
      <c r="R135" s="155"/>
    </row>
    <row r="136" spans="1:21" s="199" customFormat="1" ht="12.75">
      <c r="A136" s="199" t="s">
        <v>179</v>
      </c>
      <c r="B136" s="204">
        <v>1</v>
      </c>
      <c r="C136" s="204">
        <v>1</v>
      </c>
      <c r="D136" s="218">
        <v>1</v>
      </c>
      <c r="E136" s="219">
        <v>82.3</v>
      </c>
      <c r="F136" s="220">
        <f aca="true" t="shared" si="72" ref="F136:F141">+E136*D136*B136*52</f>
        <v>4279.599999999999</v>
      </c>
      <c r="G136" s="189">
        <f aca="true" t="shared" si="73" ref="G136:G141">ROUND(E136*(1+$G$46),2)</f>
        <v>83.56</v>
      </c>
      <c r="H136" s="190">
        <f aca="true" t="shared" si="74" ref="H136:H141">+G136*D136*B136*52</f>
        <v>4345.12</v>
      </c>
      <c r="I136" s="191">
        <f aca="true" t="shared" si="75" ref="I136:I141">G136-E136</f>
        <v>1.2600000000000051</v>
      </c>
      <c r="J136" s="190">
        <f aca="true" t="shared" si="76" ref="J136:J141">+H136-F136</f>
        <v>65.52000000000044</v>
      </c>
      <c r="K136" s="192">
        <f aca="true" t="shared" si="77" ref="K136:K141">I136/E136</f>
        <v>0.015309842041312334</v>
      </c>
      <c r="L136" s="202">
        <f>+G136/2</f>
        <v>41.78</v>
      </c>
      <c r="M136" s="152">
        <f>+M84*3</f>
        <v>591.84</v>
      </c>
      <c r="N136" s="201">
        <f aca="true" t="shared" si="78" ref="N136:N141">+B136*D136*52*M136/2000</f>
        <v>15.38784</v>
      </c>
      <c r="O136" s="168">
        <f aca="true" t="shared" si="79" ref="O136:O141">+$O$46*N136</f>
        <v>1613.5145671004027</v>
      </c>
      <c r="P136" s="154">
        <f t="shared" si="60"/>
        <v>0.37133947212054047</v>
      </c>
      <c r="Q136" s="155">
        <f aca="true" t="shared" si="80" ref="Q136:Q141">+P136*G136</f>
        <v>31.029126290392362</v>
      </c>
      <c r="R136" s="155">
        <f aca="true" t="shared" si="81" ref="R136:R141">+G136-Q136</f>
        <v>52.53087370960764</v>
      </c>
      <c r="S136" s="220"/>
      <c r="T136" s="220"/>
      <c r="U136" s="220"/>
    </row>
    <row r="137" spans="1:21" s="199" customFormat="1" ht="12.75">
      <c r="A137" s="199" t="s">
        <v>180</v>
      </c>
      <c r="B137" s="204">
        <v>1</v>
      </c>
      <c r="C137" s="204">
        <v>1</v>
      </c>
      <c r="D137" s="218">
        <v>2</v>
      </c>
      <c r="E137" s="219">
        <f>+E136</f>
        <v>82.3</v>
      </c>
      <c r="F137" s="220">
        <f t="shared" si="72"/>
        <v>8559.199999999999</v>
      </c>
      <c r="G137" s="189">
        <f t="shared" si="73"/>
        <v>83.56</v>
      </c>
      <c r="H137" s="190">
        <f t="shared" si="74"/>
        <v>8690.24</v>
      </c>
      <c r="I137" s="191">
        <f t="shared" si="75"/>
        <v>1.2600000000000051</v>
      </c>
      <c r="J137" s="190">
        <f t="shared" si="76"/>
        <v>131.04000000000087</v>
      </c>
      <c r="K137" s="192">
        <f t="shared" si="77"/>
        <v>0.015309842041312334</v>
      </c>
      <c r="L137" s="202">
        <f>+G137/2</f>
        <v>41.78</v>
      </c>
      <c r="M137" s="152">
        <f>+M136</f>
        <v>591.84</v>
      </c>
      <c r="N137" s="201">
        <f t="shared" si="78"/>
        <v>30.77568</v>
      </c>
      <c r="O137" s="168">
        <f t="shared" si="79"/>
        <v>3227.0291342008054</v>
      </c>
      <c r="P137" s="154">
        <f t="shared" si="60"/>
        <v>0.37133947212054047</v>
      </c>
      <c r="Q137" s="155">
        <f t="shared" si="80"/>
        <v>31.029126290392362</v>
      </c>
      <c r="R137" s="155">
        <f t="shared" si="81"/>
        <v>52.53087370960764</v>
      </c>
      <c r="S137" s="220"/>
      <c r="T137" s="220"/>
      <c r="U137" s="220"/>
    </row>
    <row r="138" spans="1:21" s="199" customFormat="1" ht="12.75">
      <c r="A138" s="199" t="s">
        <v>181</v>
      </c>
      <c r="B138" s="204">
        <v>4</v>
      </c>
      <c r="C138" s="204">
        <v>4</v>
      </c>
      <c r="D138" s="218">
        <v>1</v>
      </c>
      <c r="E138" s="219">
        <v>119.04</v>
      </c>
      <c r="F138" s="220">
        <f t="shared" si="72"/>
        <v>24760.32</v>
      </c>
      <c r="G138" s="189">
        <f t="shared" si="73"/>
        <v>120.87</v>
      </c>
      <c r="H138" s="190">
        <f t="shared" si="74"/>
        <v>25140.96</v>
      </c>
      <c r="I138" s="191">
        <f t="shared" si="75"/>
        <v>1.8299999999999983</v>
      </c>
      <c r="J138" s="190">
        <f t="shared" si="76"/>
        <v>380.6399999999994</v>
      </c>
      <c r="K138" s="192">
        <f t="shared" si="77"/>
        <v>0.015372983870967727</v>
      </c>
      <c r="L138" s="202">
        <f>+G138/3</f>
        <v>40.29</v>
      </c>
      <c r="M138" s="152">
        <f>+M93*3</f>
        <v>887.76</v>
      </c>
      <c r="N138" s="201">
        <f t="shared" si="78"/>
        <v>92.32704</v>
      </c>
      <c r="O138" s="168">
        <f t="shared" si="79"/>
        <v>9681.087402602416</v>
      </c>
      <c r="P138" s="154">
        <f t="shared" si="60"/>
        <v>0.3850723044228389</v>
      </c>
      <c r="Q138" s="155">
        <f t="shared" si="80"/>
        <v>46.54368943558854</v>
      </c>
      <c r="R138" s="155">
        <f t="shared" si="81"/>
        <v>74.32631056441147</v>
      </c>
      <c r="S138" s="220"/>
      <c r="T138" s="220"/>
      <c r="U138" s="220"/>
    </row>
    <row r="139" spans="1:21" s="199" customFormat="1" ht="15">
      <c r="A139" s="199" t="s">
        <v>182</v>
      </c>
      <c r="B139" s="204">
        <v>0.0001</v>
      </c>
      <c r="C139" s="204">
        <v>0.0001</v>
      </c>
      <c r="D139" s="218">
        <v>0.5</v>
      </c>
      <c r="E139" s="219">
        <v>153.96</v>
      </c>
      <c r="F139" s="220">
        <f t="shared" si="72"/>
        <v>0.40029600000000004</v>
      </c>
      <c r="G139" s="189">
        <f t="shared" si="73"/>
        <v>156.32</v>
      </c>
      <c r="H139" s="190">
        <f t="shared" si="74"/>
        <v>0.406432</v>
      </c>
      <c r="I139" s="191">
        <f t="shared" si="75"/>
        <v>2.359999999999985</v>
      </c>
      <c r="J139" s="190">
        <f t="shared" si="76"/>
        <v>0.006135999999999975</v>
      </c>
      <c r="K139" s="192">
        <f t="shared" si="77"/>
        <v>0.015328656793972363</v>
      </c>
      <c r="L139" s="202">
        <f>+G139/4</f>
        <v>39.08</v>
      </c>
      <c r="M139" s="152">
        <f>+M99*2</f>
        <v>789.12</v>
      </c>
      <c r="N139" s="152">
        <f t="shared" si="78"/>
        <v>0.0010258560000000001</v>
      </c>
      <c r="O139" s="168">
        <f t="shared" si="79"/>
        <v>0.10756763780669353</v>
      </c>
      <c r="P139" s="154">
        <f>+O139/H139</f>
        <v>0.2646633085157997</v>
      </c>
      <c r="Q139" s="155">
        <f t="shared" si="80"/>
        <v>41.37216838718981</v>
      </c>
      <c r="R139" s="155">
        <f t="shared" si="81"/>
        <v>114.94783161281018</v>
      </c>
      <c r="S139" s="223"/>
      <c r="T139" s="223"/>
      <c r="U139" s="223"/>
    </row>
    <row r="140" spans="1:21" s="199" customFormat="1" ht="12.75">
      <c r="A140" s="199" t="s">
        <v>183</v>
      </c>
      <c r="B140" s="204">
        <v>1</v>
      </c>
      <c r="C140" s="204">
        <v>1</v>
      </c>
      <c r="D140" s="218">
        <v>1</v>
      </c>
      <c r="E140" s="219">
        <f>+E139</f>
        <v>153.96</v>
      </c>
      <c r="F140" s="220">
        <f t="shared" si="72"/>
        <v>8005.92</v>
      </c>
      <c r="G140" s="189">
        <f t="shared" si="73"/>
        <v>156.32</v>
      </c>
      <c r="H140" s="190">
        <f t="shared" si="74"/>
        <v>8128.639999999999</v>
      </c>
      <c r="I140" s="191">
        <f t="shared" si="75"/>
        <v>2.359999999999985</v>
      </c>
      <c r="J140" s="190">
        <f t="shared" si="76"/>
        <v>122.71999999999935</v>
      </c>
      <c r="K140" s="192">
        <f t="shared" si="77"/>
        <v>0.015328656793972363</v>
      </c>
      <c r="L140" s="202">
        <f>+G140/4</f>
        <v>39.08</v>
      </c>
      <c r="M140" s="152">
        <f>+M99*3</f>
        <v>1183.68</v>
      </c>
      <c r="N140" s="201">
        <f t="shared" si="78"/>
        <v>30.77568</v>
      </c>
      <c r="O140" s="168">
        <f t="shared" si="79"/>
        <v>3227.0291342008054</v>
      </c>
      <c r="P140" s="154">
        <f t="shared" si="60"/>
        <v>0.3969949627736996</v>
      </c>
      <c r="Q140" s="155">
        <f t="shared" si="80"/>
        <v>62.05825258078472</v>
      </c>
      <c r="R140" s="155">
        <f t="shared" si="81"/>
        <v>94.26174741921528</v>
      </c>
      <c r="S140" s="220"/>
      <c r="T140" s="220"/>
      <c r="U140" s="220"/>
    </row>
    <row r="141" spans="1:21" s="199" customFormat="1" ht="15">
      <c r="A141" s="199" t="s">
        <v>184</v>
      </c>
      <c r="B141" s="221">
        <v>1</v>
      </c>
      <c r="C141" s="221">
        <v>1</v>
      </c>
      <c r="D141" s="218">
        <v>2</v>
      </c>
      <c r="E141" s="219">
        <f>+E140</f>
        <v>153.96</v>
      </c>
      <c r="F141" s="223">
        <f t="shared" si="72"/>
        <v>16011.84</v>
      </c>
      <c r="G141" s="189">
        <f t="shared" si="73"/>
        <v>156.32</v>
      </c>
      <c r="H141" s="193">
        <f t="shared" si="74"/>
        <v>16257.279999999999</v>
      </c>
      <c r="I141" s="191">
        <f t="shared" si="75"/>
        <v>2.359999999999985</v>
      </c>
      <c r="J141" s="193">
        <f t="shared" si="76"/>
        <v>245.4399999999987</v>
      </c>
      <c r="K141" s="192">
        <f t="shared" si="77"/>
        <v>0.015328656793972363</v>
      </c>
      <c r="L141" s="202">
        <f>+G141/4</f>
        <v>39.08</v>
      </c>
      <c r="M141" s="201">
        <f>+M140</f>
        <v>1183.68</v>
      </c>
      <c r="N141" s="169">
        <f t="shared" si="78"/>
        <v>61.55136</v>
      </c>
      <c r="O141" s="170">
        <f t="shared" si="79"/>
        <v>6454.058268401611</v>
      </c>
      <c r="P141" s="154">
        <f t="shared" si="60"/>
        <v>0.3969949627736996</v>
      </c>
      <c r="Q141" s="155">
        <f t="shared" si="80"/>
        <v>62.05825258078472</v>
      </c>
      <c r="R141" s="155">
        <f t="shared" si="81"/>
        <v>94.26174741921528</v>
      </c>
      <c r="S141" s="223"/>
      <c r="T141" s="223"/>
      <c r="U141" s="223"/>
    </row>
    <row r="142" spans="2:21" s="199" customFormat="1" ht="15">
      <c r="B142" s="224">
        <f>SUM(B136:B141)</f>
        <v>8.0001</v>
      </c>
      <c r="C142" s="224">
        <f>SUM(C136:C141)</f>
        <v>8.0001</v>
      </c>
      <c r="D142" s="218"/>
      <c r="E142" s="219"/>
      <c r="F142" s="225">
        <f>SUM(F136:F141)</f>
        <v>61617.280296</v>
      </c>
      <c r="G142" s="189"/>
      <c r="H142" s="225">
        <f>SUM(H136:H141)</f>
        <v>62562.646432</v>
      </c>
      <c r="I142" s="257"/>
      <c r="J142" s="225">
        <f>SUM(J136:J141)</f>
        <v>945.3661359999987</v>
      </c>
      <c r="K142" s="225"/>
      <c r="L142" s="227"/>
      <c r="M142" s="225"/>
      <c r="N142" s="228">
        <f>SUM(N136:N141)</f>
        <v>230.81862585600004</v>
      </c>
      <c r="O142" s="225">
        <f>SUM(O136:O141)</f>
        <v>24202.826074143846</v>
      </c>
      <c r="P142" s="154"/>
      <c r="Q142" s="155"/>
      <c r="R142" s="155"/>
      <c r="S142" s="225"/>
      <c r="T142" s="225"/>
      <c r="U142" s="225"/>
    </row>
    <row r="143" spans="2:21" s="199" customFormat="1" ht="15">
      <c r="B143" s="224"/>
      <c r="C143" s="224"/>
      <c r="D143" s="218"/>
      <c r="E143" s="219"/>
      <c r="F143" s="225"/>
      <c r="G143" s="189"/>
      <c r="H143" s="225"/>
      <c r="I143" s="257"/>
      <c r="J143" s="225"/>
      <c r="K143" s="225"/>
      <c r="L143" s="227"/>
      <c r="M143" s="225"/>
      <c r="N143" s="228"/>
      <c r="O143" s="225"/>
      <c r="P143" s="154"/>
      <c r="Q143" s="155"/>
      <c r="R143" s="155"/>
      <c r="S143" s="225"/>
      <c r="T143" s="225"/>
      <c r="U143" s="225"/>
    </row>
    <row r="144" spans="2:18" s="199" customFormat="1" ht="12.75">
      <c r="B144" s="204"/>
      <c r="C144" s="204"/>
      <c r="E144" s="219"/>
      <c r="L144" s="202"/>
      <c r="M144" s="201"/>
      <c r="N144" s="201"/>
      <c r="P144" s="154"/>
      <c r="Q144" s="155"/>
      <c r="R144" s="155"/>
    </row>
    <row r="145" spans="2:21" s="199" customFormat="1" ht="15">
      <c r="B145" s="233">
        <f>+B142+B133+B118+B105+B96+B90+B81+B76+B69+B64+B59+B53</f>
        <v>1123.0001</v>
      </c>
      <c r="C145" s="233">
        <f>+C142+C133+C118+C105+C96+C90+C81+C76+C69+C64+C59+C53</f>
        <v>1002.0001</v>
      </c>
      <c r="D145" s="235"/>
      <c r="E145" s="235"/>
      <c r="F145" s="235">
        <f>+F142+F133+F118+F105+F96+F90+F81+F76+F69+F64+F59+F53</f>
        <v>2498908.760296</v>
      </c>
      <c r="G145" s="235"/>
      <c r="H145" s="235">
        <f>+H142+H133+H118+H105+H96+H90+H81+H76+H69+H64+H59+H53</f>
        <v>2537246.546432</v>
      </c>
      <c r="I145" s="257"/>
      <c r="J145" s="235">
        <f>+J142+J133+J118+J105+J96+J90+J81+J76+J69+J64+J59+J53</f>
        <v>38337.78613599997</v>
      </c>
      <c r="K145" s="229">
        <f>+J145/F145</f>
        <v>0.015341811091757826</v>
      </c>
      <c r="L145" s="236"/>
      <c r="M145" s="235"/>
      <c r="N145" s="237">
        <f>+N142+N133+N118+N105+N96+N90+N81+N76+N69+N64+N59+N53</f>
        <v>10767.02629833125</v>
      </c>
      <c r="O145" s="235">
        <f>+O142+O133+O118+O105+O96+O90+O81+O76+O69+O64+O59+O53</f>
        <v>1128977.2726715088</v>
      </c>
      <c r="P145" s="175">
        <f>+O145/H145</f>
        <v>0.44496159597069185</v>
      </c>
      <c r="Q145" s="155"/>
      <c r="R145" s="155"/>
      <c r="S145" s="235"/>
      <c r="T145" s="235"/>
      <c r="U145" s="235"/>
    </row>
    <row r="146" spans="2:15" s="199" customFormat="1" ht="15">
      <c r="B146" s="204"/>
      <c r="C146" s="204"/>
      <c r="E146" s="219"/>
      <c r="F146" s="195"/>
      <c r="G146" s="195"/>
      <c r="H146" s="244"/>
      <c r="I146" s="270"/>
      <c r="J146" s="195"/>
      <c r="K146" s="229"/>
      <c r="L146" s="202"/>
      <c r="M146" s="201"/>
      <c r="N146" s="201"/>
      <c r="O146" s="245"/>
    </row>
    <row r="147" spans="2:15" s="199" customFormat="1" ht="15">
      <c r="B147" s="204"/>
      <c r="C147" s="204"/>
      <c r="E147" s="219"/>
      <c r="F147" s="230"/>
      <c r="G147" s="195"/>
      <c r="H147" s="230"/>
      <c r="I147" s="270"/>
      <c r="J147" s="276">
        <f>+'Disposal Summary'!L13+'Disposal Summary'!M13</f>
        <v>38389.069020694755</v>
      </c>
      <c r="K147" s="229"/>
      <c r="L147" s="202"/>
      <c r="M147" s="201"/>
      <c r="N147" s="201">
        <f>+'Disposal Summary'!G13</f>
        <v>10767.656409708052</v>
      </c>
      <c r="O147" s="245">
        <f>+'Disposal Summary'!I13</f>
        <v>1090669.360921127</v>
      </c>
    </row>
    <row r="148" spans="2:14" s="199" customFormat="1" ht="12.75">
      <c r="B148" s="204"/>
      <c r="C148" s="204"/>
      <c r="E148" s="219"/>
      <c r="L148" s="202"/>
      <c r="M148" s="201"/>
      <c r="N148" s="201"/>
    </row>
    <row r="149" spans="2:15" s="199" customFormat="1" ht="12.75">
      <c r="B149" s="204"/>
      <c r="C149" s="204"/>
      <c r="E149" s="219"/>
      <c r="L149" s="202"/>
      <c r="M149" s="201"/>
      <c r="N149" s="201"/>
      <c r="O149" s="241">
        <f>+O145-O147</f>
        <v>38307.91175038181</v>
      </c>
    </row>
    <row r="150" spans="2:14" s="199" customFormat="1" ht="12.75">
      <c r="B150" s="204"/>
      <c r="C150" s="204"/>
      <c r="E150" s="219"/>
      <c r="L150" s="202"/>
      <c r="M150" s="201"/>
      <c r="N150" s="201"/>
    </row>
    <row r="151" spans="1:14" s="199" customFormat="1" ht="12.75">
      <c r="A151" s="210"/>
      <c r="B151" s="204"/>
      <c r="C151" s="204"/>
      <c r="E151" s="219"/>
      <c r="L151" s="202"/>
      <c r="M151" s="201"/>
      <c r="N151" s="201"/>
    </row>
    <row r="152" spans="2:14" s="199" customFormat="1" ht="12.75">
      <c r="B152" s="204"/>
      <c r="C152" s="204"/>
      <c r="E152" s="219"/>
      <c r="L152" s="202"/>
      <c r="M152" s="201"/>
      <c r="N152" s="201"/>
    </row>
    <row r="153" spans="2:14" s="199" customFormat="1" ht="12.75">
      <c r="B153" s="204"/>
      <c r="C153" s="204"/>
      <c r="E153" s="219"/>
      <c r="L153" s="202"/>
      <c r="M153" s="201"/>
      <c r="N153" s="201"/>
    </row>
    <row r="154" spans="2:14" s="199" customFormat="1" ht="12.75">
      <c r="B154" s="204"/>
      <c r="C154" s="204"/>
      <c r="E154" s="219"/>
      <c r="L154" s="202"/>
      <c r="M154" s="201"/>
      <c r="N154" s="201"/>
    </row>
    <row r="155" spans="2:14" s="199" customFormat="1" ht="12.75">
      <c r="B155" s="204"/>
      <c r="C155" s="204"/>
      <c r="E155" s="219"/>
      <c r="L155" s="202"/>
      <c r="M155" s="201"/>
      <c r="N155" s="201"/>
    </row>
    <row r="156" spans="2:14" s="199" customFormat="1" ht="12.75">
      <c r="B156" s="204"/>
      <c r="C156" s="204"/>
      <c r="E156" s="219"/>
      <c r="L156" s="202"/>
      <c r="M156" s="201"/>
      <c r="N156" s="201"/>
    </row>
    <row r="157" spans="2:14" s="199" customFormat="1" ht="12.75">
      <c r="B157" s="204"/>
      <c r="C157" s="204"/>
      <c r="E157" s="219"/>
      <c r="L157" s="202"/>
      <c r="M157" s="201"/>
      <c r="N157" s="201"/>
    </row>
    <row r="158" spans="2:14" s="199" customFormat="1" ht="12.75">
      <c r="B158" s="204"/>
      <c r="C158" s="204"/>
      <c r="E158" s="219"/>
      <c r="L158" s="202"/>
      <c r="M158" s="201"/>
      <c r="N158" s="201"/>
    </row>
    <row r="159" spans="2:14" s="199" customFormat="1" ht="12.75">
      <c r="B159" s="204"/>
      <c r="C159" s="204"/>
      <c r="E159" s="219"/>
      <c r="L159" s="202"/>
      <c r="M159" s="201"/>
      <c r="N159" s="201"/>
    </row>
    <row r="160" spans="2:14" s="199" customFormat="1" ht="12.75">
      <c r="B160" s="204"/>
      <c r="C160" s="204"/>
      <c r="E160" s="219"/>
      <c r="L160" s="202"/>
      <c r="M160" s="201"/>
      <c r="N160" s="201"/>
    </row>
    <row r="161" spans="2:14" s="199" customFormat="1" ht="12.75">
      <c r="B161" s="204"/>
      <c r="C161" s="204"/>
      <c r="E161" s="219"/>
      <c r="L161" s="202"/>
      <c r="M161" s="201"/>
      <c r="N161" s="201"/>
    </row>
    <row r="162" spans="1:14" s="199" customFormat="1" ht="12.75">
      <c r="A162" s="210"/>
      <c r="B162" s="204"/>
      <c r="C162" s="204"/>
      <c r="E162" s="219"/>
      <c r="L162" s="202"/>
      <c r="M162" s="201"/>
      <c r="N162" s="201"/>
    </row>
    <row r="163" spans="2:14" s="199" customFormat="1" ht="12.75">
      <c r="B163" s="204"/>
      <c r="C163" s="204"/>
      <c r="E163" s="219"/>
      <c r="L163" s="202"/>
      <c r="M163" s="201"/>
      <c r="N163" s="201"/>
    </row>
    <row r="164" spans="2:14" s="199" customFormat="1" ht="12.75">
      <c r="B164" s="204"/>
      <c r="C164" s="204"/>
      <c r="E164" s="219"/>
      <c r="L164" s="202"/>
      <c r="M164" s="201"/>
      <c r="N164" s="201"/>
    </row>
    <row r="165" spans="2:14" s="199" customFormat="1" ht="12.75">
      <c r="B165" s="204"/>
      <c r="C165" s="204"/>
      <c r="E165" s="219"/>
      <c r="L165" s="202"/>
      <c r="M165" s="201"/>
      <c r="N165" s="201"/>
    </row>
    <row r="166" spans="2:14" s="199" customFormat="1" ht="12.75">
      <c r="B166" s="204"/>
      <c r="C166" s="204"/>
      <c r="E166" s="219"/>
      <c r="L166" s="202"/>
      <c r="M166" s="201"/>
      <c r="N166" s="201"/>
    </row>
    <row r="167" spans="2:14" s="199" customFormat="1" ht="12.75">
      <c r="B167" s="204"/>
      <c r="C167" s="204"/>
      <c r="E167" s="219"/>
      <c r="L167" s="202"/>
      <c r="M167" s="201"/>
      <c r="N167" s="201"/>
    </row>
    <row r="168" spans="2:14" s="199" customFormat="1" ht="12.75">
      <c r="B168" s="204"/>
      <c r="C168" s="204"/>
      <c r="E168" s="219"/>
      <c r="L168" s="202"/>
      <c r="M168" s="201"/>
      <c r="N168" s="201"/>
    </row>
    <row r="169" spans="2:14" s="199" customFormat="1" ht="12.75">
      <c r="B169" s="204"/>
      <c r="C169" s="204"/>
      <c r="E169" s="219"/>
      <c r="L169" s="202"/>
      <c r="M169" s="201"/>
      <c r="N169" s="201"/>
    </row>
    <row r="170" spans="2:14" s="199" customFormat="1" ht="12.75">
      <c r="B170" s="204"/>
      <c r="C170" s="204"/>
      <c r="E170" s="219"/>
      <c r="L170" s="202"/>
      <c r="M170" s="201"/>
      <c r="N170" s="201"/>
    </row>
    <row r="171" spans="2:14" s="199" customFormat="1" ht="12.75">
      <c r="B171" s="204"/>
      <c r="C171" s="204"/>
      <c r="E171" s="219"/>
      <c r="L171" s="202"/>
      <c r="M171" s="201"/>
      <c r="N171" s="201"/>
    </row>
    <row r="172" spans="2:14" s="199" customFormat="1" ht="12.75">
      <c r="B172" s="204"/>
      <c r="C172" s="204"/>
      <c r="E172" s="219"/>
      <c r="L172" s="202"/>
      <c r="M172" s="201"/>
      <c r="N172" s="201"/>
    </row>
    <row r="173" spans="2:14" s="199" customFormat="1" ht="12.75">
      <c r="B173" s="204"/>
      <c r="C173" s="204"/>
      <c r="E173" s="219"/>
      <c r="L173" s="202"/>
      <c r="M173" s="201"/>
      <c r="N173" s="201"/>
    </row>
    <row r="174" spans="2:14" s="199" customFormat="1" ht="12.75">
      <c r="B174" s="204"/>
      <c r="C174" s="204"/>
      <c r="E174" s="219"/>
      <c r="L174" s="202"/>
      <c r="M174" s="201"/>
      <c r="N174" s="201"/>
    </row>
    <row r="175" spans="2:14" s="199" customFormat="1" ht="12.75">
      <c r="B175" s="204"/>
      <c r="C175" s="204"/>
      <c r="E175" s="219"/>
      <c r="L175" s="202"/>
      <c r="M175" s="201"/>
      <c r="N175" s="201"/>
    </row>
    <row r="176" spans="2:14" s="199" customFormat="1" ht="12.75">
      <c r="B176" s="204"/>
      <c r="C176" s="204"/>
      <c r="E176" s="219"/>
      <c r="L176" s="202"/>
      <c r="M176" s="201"/>
      <c r="N176" s="201"/>
    </row>
    <row r="177" spans="2:14" s="199" customFormat="1" ht="12.75">
      <c r="B177" s="204"/>
      <c r="C177" s="204"/>
      <c r="E177" s="219"/>
      <c r="L177" s="202"/>
      <c r="M177" s="201"/>
      <c r="N177" s="201"/>
    </row>
    <row r="178" spans="2:14" s="199" customFormat="1" ht="12.75">
      <c r="B178" s="204"/>
      <c r="C178" s="204"/>
      <c r="E178" s="219"/>
      <c r="L178" s="202"/>
      <c r="M178" s="201"/>
      <c r="N178" s="201"/>
    </row>
    <row r="179" spans="2:14" s="199" customFormat="1" ht="12.75">
      <c r="B179" s="204"/>
      <c r="C179" s="204"/>
      <c r="E179" s="219"/>
      <c r="L179" s="202"/>
      <c r="M179" s="201"/>
      <c r="N179" s="201"/>
    </row>
    <row r="180" spans="2:14" s="199" customFormat="1" ht="12.75">
      <c r="B180" s="204"/>
      <c r="C180" s="204"/>
      <c r="E180" s="219"/>
      <c r="L180" s="202"/>
      <c r="M180" s="201"/>
      <c r="N180" s="201"/>
    </row>
    <row r="181" spans="2:14" s="199" customFormat="1" ht="12.75">
      <c r="B181" s="204"/>
      <c r="C181" s="204"/>
      <c r="E181" s="219"/>
      <c r="L181" s="202"/>
      <c r="M181" s="201"/>
      <c r="N181" s="201"/>
    </row>
    <row r="182" spans="2:14" s="199" customFormat="1" ht="12.75">
      <c r="B182" s="204"/>
      <c r="C182" s="204"/>
      <c r="E182" s="219"/>
      <c r="L182" s="202"/>
      <c r="M182" s="201"/>
      <c r="N182" s="201"/>
    </row>
    <row r="183" spans="2:14" s="199" customFormat="1" ht="12.75">
      <c r="B183" s="204"/>
      <c r="C183" s="204"/>
      <c r="E183" s="219"/>
      <c r="L183" s="202"/>
      <c r="M183" s="201"/>
      <c r="N183" s="201"/>
    </row>
    <row r="184" spans="2:14" s="199" customFormat="1" ht="12.75">
      <c r="B184" s="204"/>
      <c r="C184" s="204"/>
      <c r="E184" s="219"/>
      <c r="L184" s="202"/>
      <c r="M184" s="201"/>
      <c r="N184" s="201"/>
    </row>
    <row r="185" spans="2:14" s="199" customFormat="1" ht="12.75">
      <c r="B185" s="204"/>
      <c r="C185" s="204"/>
      <c r="E185" s="219"/>
      <c r="L185" s="202"/>
      <c r="M185" s="201"/>
      <c r="N185" s="201"/>
    </row>
    <row r="186" spans="2:14" s="199" customFormat="1" ht="12.75">
      <c r="B186" s="204"/>
      <c r="C186" s="204"/>
      <c r="E186" s="219"/>
      <c r="L186" s="202"/>
      <c r="M186" s="201"/>
      <c r="N186" s="201"/>
    </row>
    <row r="187" spans="2:14" s="199" customFormat="1" ht="12.75">
      <c r="B187" s="204"/>
      <c r="C187" s="204"/>
      <c r="E187" s="219"/>
      <c r="L187" s="202"/>
      <c r="M187" s="201"/>
      <c r="N187" s="201"/>
    </row>
    <row r="188" spans="2:14" s="199" customFormat="1" ht="12.75">
      <c r="B188" s="204"/>
      <c r="C188" s="204"/>
      <c r="E188" s="219"/>
      <c r="L188" s="202"/>
      <c r="M188" s="201"/>
      <c r="N188" s="201"/>
    </row>
    <row r="189" spans="2:14" s="199" customFormat="1" ht="12.75">
      <c r="B189" s="204"/>
      <c r="C189" s="204"/>
      <c r="E189" s="219"/>
      <c r="L189" s="202"/>
      <c r="M189" s="201"/>
      <c r="N189" s="201"/>
    </row>
    <row r="190" spans="2:14" s="199" customFormat="1" ht="12.75">
      <c r="B190" s="204"/>
      <c r="C190" s="204"/>
      <c r="E190" s="219"/>
      <c r="L190" s="202"/>
      <c r="M190" s="201"/>
      <c r="N190" s="201"/>
    </row>
    <row r="191" spans="2:14" s="199" customFormat="1" ht="12.75">
      <c r="B191" s="204"/>
      <c r="C191" s="204"/>
      <c r="E191" s="219"/>
      <c r="L191" s="202"/>
      <c r="M191" s="201"/>
      <c r="N191" s="201"/>
    </row>
    <row r="192" spans="2:14" s="199" customFormat="1" ht="12.75">
      <c r="B192" s="204"/>
      <c r="C192" s="204"/>
      <c r="E192" s="219"/>
      <c r="L192" s="202"/>
      <c r="M192" s="201"/>
      <c r="N192" s="201"/>
    </row>
    <row r="193" spans="2:14" s="199" customFormat="1" ht="12.75">
      <c r="B193" s="204"/>
      <c r="C193" s="204"/>
      <c r="E193" s="219"/>
      <c r="L193" s="202"/>
      <c r="M193" s="201"/>
      <c r="N193" s="201"/>
    </row>
    <row r="194" spans="2:14" s="199" customFormat="1" ht="12.75">
      <c r="B194" s="204"/>
      <c r="C194" s="204"/>
      <c r="E194" s="219"/>
      <c r="L194" s="202"/>
      <c r="M194" s="201"/>
      <c r="N194" s="201"/>
    </row>
    <row r="195" spans="2:14" s="199" customFormat="1" ht="12.75">
      <c r="B195" s="204"/>
      <c r="C195" s="204"/>
      <c r="E195" s="219"/>
      <c r="L195" s="202"/>
      <c r="M195" s="201"/>
      <c r="N195" s="201"/>
    </row>
    <row r="196" spans="2:14" s="199" customFormat="1" ht="12.75">
      <c r="B196" s="204"/>
      <c r="C196" s="204"/>
      <c r="E196" s="219"/>
      <c r="L196" s="202"/>
      <c r="M196" s="201"/>
      <c r="N196" s="201"/>
    </row>
    <row r="197" spans="2:14" s="199" customFormat="1" ht="12.75">
      <c r="B197" s="204"/>
      <c r="C197" s="204"/>
      <c r="E197" s="219"/>
      <c r="L197" s="202"/>
      <c r="M197" s="201"/>
      <c r="N197" s="201"/>
    </row>
    <row r="198" spans="2:14" s="199" customFormat="1" ht="12.75">
      <c r="B198" s="204"/>
      <c r="C198" s="204"/>
      <c r="E198" s="219"/>
      <c r="L198" s="202"/>
      <c r="M198" s="201"/>
      <c r="N198" s="201"/>
    </row>
    <row r="199" spans="2:14" s="199" customFormat="1" ht="12.75">
      <c r="B199" s="204"/>
      <c r="C199" s="204"/>
      <c r="E199" s="219"/>
      <c r="L199" s="202"/>
      <c r="M199" s="201"/>
      <c r="N199" s="201"/>
    </row>
    <row r="200" spans="2:14" s="199" customFormat="1" ht="12.75">
      <c r="B200" s="204"/>
      <c r="C200" s="204"/>
      <c r="E200" s="219"/>
      <c r="L200" s="202"/>
      <c r="M200" s="201"/>
      <c r="N200" s="201"/>
    </row>
    <row r="201" spans="2:14" s="199" customFormat="1" ht="12.75">
      <c r="B201" s="204"/>
      <c r="C201" s="204"/>
      <c r="E201" s="219"/>
      <c r="L201" s="202"/>
      <c r="M201" s="201"/>
      <c r="N201" s="201"/>
    </row>
    <row r="202" spans="2:14" s="199" customFormat="1" ht="12.75">
      <c r="B202" s="204"/>
      <c r="C202" s="204"/>
      <c r="E202" s="219"/>
      <c r="L202" s="202"/>
      <c r="M202" s="201"/>
      <c r="N202" s="201"/>
    </row>
    <row r="203" spans="2:14" s="199" customFormat="1" ht="12.75">
      <c r="B203" s="204"/>
      <c r="C203" s="204"/>
      <c r="E203" s="219"/>
      <c r="L203" s="202"/>
      <c r="M203" s="201"/>
      <c r="N203" s="201"/>
    </row>
    <row r="204" spans="2:14" s="199" customFormat="1" ht="12.75">
      <c r="B204" s="204"/>
      <c r="C204" s="204"/>
      <c r="E204" s="219"/>
      <c r="L204" s="202"/>
      <c r="M204" s="201"/>
      <c r="N204" s="201"/>
    </row>
    <row r="205" spans="2:14" s="199" customFormat="1" ht="12.75">
      <c r="B205" s="204"/>
      <c r="C205" s="204"/>
      <c r="E205" s="219"/>
      <c r="L205" s="202"/>
      <c r="M205" s="201"/>
      <c r="N205" s="201"/>
    </row>
    <row r="206" spans="2:14" s="199" customFormat="1" ht="12.75">
      <c r="B206" s="204"/>
      <c r="C206" s="204"/>
      <c r="E206" s="219"/>
      <c r="L206" s="202"/>
      <c r="M206" s="201"/>
      <c r="N206" s="201"/>
    </row>
    <row r="207" spans="2:14" s="199" customFormat="1" ht="12.75">
      <c r="B207" s="204"/>
      <c r="C207" s="204"/>
      <c r="E207" s="219"/>
      <c r="L207" s="202"/>
      <c r="M207" s="201"/>
      <c r="N207" s="201"/>
    </row>
    <row r="208" spans="2:14" s="199" customFormat="1" ht="12.75">
      <c r="B208" s="204"/>
      <c r="C208" s="204"/>
      <c r="E208" s="219"/>
      <c r="L208" s="202"/>
      <c r="M208" s="201"/>
      <c r="N208" s="201"/>
    </row>
    <row r="209" spans="2:14" s="199" customFormat="1" ht="12.75">
      <c r="B209" s="204"/>
      <c r="C209" s="204"/>
      <c r="E209" s="219"/>
      <c r="L209" s="202"/>
      <c r="M209" s="201"/>
      <c r="N209" s="201"/>
    </row>
    <row r="210" spans="2:14" s="199" customFormat="1" ht="12.75">
      <c r="B210" s="204"/>
      <c r="C210" s="204"/>
      <c r="E210" s="219"/>
      <c r="L210" s="202"/>
      <c r="M210" s="201"/>
      <c r="N210" s="201"/>
    </row>
    <row r="211" spans="2:14" s="199" customFormat="1" ht="12.75">
      <c r="B211" s="204"/>
      <c r="C211" s="204"/>
      <c r="E211" s="219"/>
      <c r="L211" s="202"/>
      <c r="M211" s="201"/>
      <c r="N211" s="201"/>
    </row>
    <row r="212" spans="2:14" s="199" customFormat="1" ht="12.75">
      <c r="B212" s="204"/>
      <c r="C212" s="204"/>
      <c r="E212" s="219"/>
      <c r="L212" s="202"/>
      <c r="M212" s="201"/>
      <c r="N212" s="201"/>
    </row>
    <row r="213" spans="2:14" s="199" customFormat="1" ht="12.75">
      <c r="B213" s="204"/>
      <c r="C213" s="204"/>
      <c r="E213" s="219"/>
      <c r="L213" s="202"/>
      <c r="M213" s="201"/>
      <c r="N213" s="201"/>
    </row>
    <row r="214" spans="2:14" s="199" customFormat="1" ht="12.75">
      <c r="B214" s="204"/>
      <c r="C214" s="204"/>
      <c r="E214" s="219"/>
      <c r="L214" s="202"/>
      <c r="M214" s="201"/>
      <c r="N214" s="201"/>
    </row>
    <row r="215" spans="2:14" s="199" customFormat="1" ht="12.75">
      <c r="B215" s="204"/>
      <c r="C215" s="204"/>
      <c r="E215" s="219"/>
      <c r="L215" s="202"/>
      <c r="M215" s="201"/>
      <c r="N215" s="201"/>
    </row>
    <row r="216" spans="2:14" s="199" customFormat="1" ht="12.75">
      <c r="B216" s="204"/>
      <c r="C216" s="204"/>
      <c r="E216" s="219"/>
      <c r="L216" s="202"/>
      <c r="M216" s="201"/>
      <c r="N216" s="201"/>
    </row>
    <row r="217" spans="2:14" s="199" customFormat="1" ht="12.75">
      <c r="B217" s="204"/>
      <c r="C217" s="204"/>
      <c r="E217" s="219"/>
      <c r="L217" s="202"/>
      <c r="M217" s="201"/>
      <c r="N217" s="201"/>
    </row>
    <row r="218" spans="2:14" s="199" customFormat="1" ht="12.75">
      <c r="B218" s="204"/>
      <c r="C218" s="204"/>
      <c r="E218" s="219"/>
      <c r="L218" s="202"/>
      <c r="M218" s="201"/>
      <c r="N218" s="201"/>
    </row>
    <row r="219" spans="2:14" s="199" customFormat="1" ht="12.75">
      <c r="B219" s="204"/>
      <c r="C219" s="204"/>
      <c r="E219" s="219"/>
      <c r="L219" s="202"/>
      <c r="M219" s="201"/>
      <c r="N219" s="201"/>
    </row>
    <row r="220" spans="2:14" s="199" customFormat="1" ht="12.75">
      <c r="B220" s="204"/>
      <c r="C220" s="204"/>
      <c r="E220" s="219"/>
      <c r="L220" s="202"/>
      <c r="M220" s="201"/>
      <c r="N220" s="201"/>
    </row>
    <row r="221" spans="2:14" s="199" customFormat="1" ht="12.75">
      <c r="B221" s="204"/>
      <c r="C221" s="204"/>
      <c r="E221" s="219"/>
      <c r="L221" s="202"/>
      <c r="M221" s="201"/>
      <c r="N221" s="201"/>
    </row>
    <row r="222" spans="2:14" s="199" customFormat="1" ht="12.75">
      <c r="B222" s="204"/>
      <c r="C222" s="204"/>
      <c r="E222" s="219"/>
      <c r="L222" s="202"/>
      <c r="M222" s="201"/>
      <c r="N222" s="201"/>
    </row>
    <row r="223" spans="2:14" s="199" customFormat="1" ht="12.75">
      <c r="B223" s="204"/>
      <c r="C223" s="204"/>
      <c r="E223" s="219"/>
      <c r="L223" s="202"/>
      <c r="M223" s="201"/>
      <c r="N223" s="201"/>
    </row>
    <row r="224" spans="2:14" s="199" customFormat="1" ht="12.75">
      <c r="B224" s="204"/>
      <c r="C224" s="204"/>
      <c r="E224" s="219"/>
      <c r="L224" s="202"/>
      <c r="M224" s="201"/>
      <c r="N224" s="201"/>
    </row>
    <row r="225" spans="2:14" s="199" customFormat="1" ht="12.75">
      <c r="B225" s="204"/>
      <c r="C225" s="204"/>
      <c r="E225" s="219"/>
      <c r="L225" s="202"/>
      <c r="M225" s="201"/>
      <c r="N225" s="201"/>
    </row>
    <row r="226" spans="2:14" s="199" customFormat="1" ht="12.75">
      <c r="B226" s="204"/>
      <c r="C226" s="204"/>
      <c r="E226" s="219"/>
      <c r="L226" s="202"/>
      <c r="M226" s="201"/>
      <c r="N226" s="201"/>
    </row>
    <row r="227" spans="2:14" s="199" customFormat="1" ht="12.75">
      <c r="B227" s="204"/>
      <c r="C227" s="204"/>
      <c r="E227" s="219"/>
      <c r="L227" s="202"/>
      <c r="M227" s="201"/>
      <c r="N227" s="201"/>
    </row>
    <row r="228" spans="2:14" s="199" customFormat="1" ht="12.75">
      <c r="B228" s="204"/>
      <c r="C228" s="204"/>
      <c r="E228" s="219"/>
      <c r="L228" s="202"/>
      <c r="M228" s="201"/>
      <c r="N228" s="201"/>
    </row>
    <row r="229" spans="2:14" s="199" customFormat="1" ht="12.75">
      <c r="B229" s="204"/>
      <c r="C229" s="204"/>
      <c r="E229" s="219"/>
      <c r="L229" s="202"/>
      <c r="M229" s="201"/>
      <c r="N229" s="201"/>
    </row>
    <row r="230" ht="15">
      <c r="E230" s="167"/>
    </row>
    <row r="231" ht="15">
      <c r="E231" s="167"/>
    </row>
    <row r="232" ht="15">
      <c r="E232" s="167"/>
    </row>
    <row r="233" ht="15">
      <c r="E233" s="167"/>
    </row>
    <row r="234" ht="15">
      <c r="E234" s="167"/>
    </row>
    <row r="235" ht="15">
      <c r="E235" s="167"/>
    </row>
    <row r="236" ht="15">
      <c r="E236" s="167"/>
    </row>
    <row r="237" ht="15">
      <c r="E237" s="167"/>
    </row>
    <row r="238" ht="15">
      <c r="E238" s="167"/>
    </row>
    <row r="239" ht="15">
      <c r="E239" s="167"/>
    </row>
    <row r="240" ht="15">
      <c r="E240" s="167"/>
    </row>
    <row r="241" ht="15">
      <c r="E241" s="167"/>
    </row>
    <row r="242" ht="15">
      <c r="E242" s="167"/>
    </row>
    <row r="243" ht="15">
      <c r="E243" s="167"/>
    </row>
    <row r="244" ht="15">
      <c r="E244" s="167"/>
    </row>
    <row r="245" ht="15">
      <c r="E245" s="167"/>
    </row>
    <row r="246" ht="15">
      <c r="E246" s="167"/>
    </row>
    <row r="247" ht="15">
      <c r="E247" s="167"/>
    </row>
    <row r="248" ht="15">
      <c r="E248" s="167"/>
    </row>
    <row r="249" ht="15">
      <c r="E249" s="167"/>
    </row>
    <row r="250" ht="16.5" customHeight="1">
      <c r="E250" s="167"/>
    </row>
    <row r="251" ht="15">
      <c r="E251" s="167"/>
    </row>
    <row r="252" ht="15">
      <c r="E252" s="167"/>
    </row>
    <row r="253" ht="15">
      <c r="E253" s="167"/>
    </row>
    <row r="254" ht="15">
      <c r="E254" s="167"/>
    </row>
    <row r="255" ht="15">
      <c r="E255" s="167"/>
    </row>
    <row r="256" ht="15">
      <c r="E256" s="167"/>
    </row>
    <row r="257" ht="15">
      <c r="E257" s="167"/>
    </row>
    <row r="258" ht="15">
      <c r="E258" s="167"/>
    </row>
    <row r="259" ht="15">
      <c r="E259" s="167"/>
    </row>
    <row r="260" ht="15">
      <c r="E260" s="167"/>
    </row>
    <row r="261" ht="15">
      <c r="E261" s="167"/>
    </row>
    <row r="262" ht="15">
      <c r="E262" s="167"/>
    </row>
    <row r="263" ht="15">
      <c r="E263" s="167"/>
    </row>
    <row r="264" ht="15">
      <c r="E264" s="167"/>
    </row>
    <row r="265" ht="15">
      <c r="E265" s="167"/>
    </row>
    <row r="266" ht="15">
      <c r="E266" s="167"/>
    </row>
    <row r="267" ht="15">
      <c r="E267" s="167"/>
    </row>
    <row r="268" ht="15">
      <c r="E268" s="167"/>
    </row>
    <row r="269" ht="15">
      <c r="E269" s="167"/>
    </row>
    <row r="270" ht="15">
      <c r="E270" s="167"/>
    </row>
    <row r="271" ht="15">
      <c r="E271" s="167"/>
    </row>
    <row r="272" ht="15">
      <c r="E272" s="167"/>
    </row>
    <row r="273" ht="15">
      <c r="E273" s="167"/>
    </row>
    <row r="274" ht="15">
      <c r="E274" s="167"/>
    </row>
    <row r="275" ht="15">
      <c r="E275" s="167"/>
    </row>
    <row r="276" ht="15">
      <c r="E276" s="167"/>
    </row>
    <row r="277" ht="15">
      <c r="E277" s="167"/>
    </row>
    <row r="278" ht="15">
      <c r="E278" s="167"/>
    </row>
    <row r="279" ht="15">
      <c r="E279" s="167"/>
    </row>
    <row r="280" ht="15">
      <c r="E280" s="167"/>
    </row>
    <row r="281" ht="15">
      <c r="E281" s="167"/>
    </row>
    <row r="282" ht="15">
      <c r="E282" s="167"/>
    </row>
    <row r="283" ht="15">
      <c r="E283" s="167"/>
    </row>
    <row r="284" ht="15">
      <c r="E284" s="167"/>
    </row>
    <row r="285" ht="15">
      <c r="E285" s="167"/>
    </row>
    <row r="286" ht="15">
      <c r="E286" s="167"/>
    </row>
    <row r="287" ht="15">
      <c r="E287" s="167"/>
    </row>
    <row r="288" ht="15">
      <c r="E288" s="167"/>
    </row>
    <row r="289" ht="15">
      <c r="E289" s="167"/>
    </row>
    <row r="290" ht="15">
      <c r="E290" s="167"/>
    </row>
    <row r="291" ht="15">
      <c r="E291" s="167"/>
    </row>
    <row r="292" ht="15">
      <c r="E292" s="167"/>
    </row>
    <row r="293" ht="15">
      <c r="E293" s="167"/>
    </row>
    <row r="294" ht="15">
      <c r="E294" s="167"/>
    </row>
    <row r="295" ht="15">
      <c r="E295" s="167"/>
    </row>
    <row r="296" ht="15">
      <c r="E296" s="167"/>
    </row>
    <row r="297" ht="15">
      <c r="E297" s="167"/>
    </row>
    <row r="298" ht="15">
      <c r="E298" s="167"/>
    </row>
    <row r="299" ht="15">
      <c r="E299" s="167"/>
    </row>
    <row r="300" ht="15">
      <c r="E300" s="167"/>
    </row>
    <row r="301" ht="15">
      <c r="E301" s="167"/>
    </row>
    <row r="302" ht="15">
      <c r="E302" s="167"/>
    </row>
    <row r="303" ht="15">
      <c r="E303" s="167"/>
    </row>
    <row r="304" ht="15">
      <c r="E304" s="167"/>
    </row>
    <row r="305" ht="15">
      <c r="E305" s="167"/>
    </row>
    <row r="306" ht="15">
      <c r="E306" s="167"/>
    </row>
    <row r="307" ht="15">
      <c r="E307" s="167"/>
    </row>
    <row r="308" ht="15">
      <c r="E308" s="167"/>
    </row>
    <row r="309" ht="15">
      <c r="E309" s="167"/>
    </row>
    <row r="310" ht="15">
      <c r="E310" s="167"/>
    </row>
    <row r="311" ht="15">
      <c r="E311" s="167"/>
    </row>
    <row r="312" ht="15">
      <c r="E312" s="167"/>
    </row>
    <row r="313" ht="15">
      <c r="E313" s="167"/>
    </row>
    <row r="314" ht="15">
      <c r="E314" s="167"/>
    </row>
    <row r="315" ht="15">
      <c r="E315" s="167"/>
    </row>
    <row r="316" ht="15">
      <c r="E316" s="167"/>
    </row>
    <row r="317" ht="15">
      <c r="E317" s="167"/>
    </row>
    <row r="318" ht="15">
      <c r="E318" s="167"/>
    </row>
    <row r="319" ht="15">
      <c r="E319" s="167"/>
    </row>
    <row r="320" ht="15">
      <c r="E320" s="167"/>
    </row>
    <row r="321" ht="15">
      <c r="E321" s="167"/>
    </row>
    <row r="322" ht="15">
      <c r="E322" s="167"/>
    </row>
    <row r="323" ht="15">
      <c r="E323" s="167"/>
    </row>
    <row r="324" ht="15">
      <c r="E324" s="167"/>
    </row>
    <row r="325" ht="15">
      <c r="E325" s="167"/>
    </row>
    <row r="326" ht="15">
      <c r="E326" s="167"/>
    </row>
    <row r="327" ht="15">
      <c r="E327" s="167"/>
    </row>
    <row r="328" ht="15">
      <c r="E328" s="167"/>
    </row>
    <row r="329" ht="15">
      <c r="E329" s="167"/>
    </row>
    <row r="330" ht="15">
      <c r="E330" s="167"/>
    </row>
    <row r="331" ht="15">
      <c r="E331" s="167"/>
    </row>
    <row r="332" ht="15">
      <c r="E332" s="167"/>
    </row>
    <row r="333" ht="15">
      <c r="E333" s="167"/>
    </row>
    <row r="334" ht="15">
      <c r="E334" s="167"/>
    </row>
    <row r="335" ht="15">
      <c r="E335" s="167"/>
    </row>
    <row r="336" ht="15">
      <c r="E336" s="167"/>
    </row>
    <row r="337" ht="15">
      <c r="E337" s="167"/>
    </row>
    <row r="338" ht="15">
      <c r="E338" s="167"/>
    </row>
    <row r="339" ht="15">
      <c r="E339" s="167"/>
    </row>
    <row r="340" ht="15">
      <c r="E340" s="167"/>
    </row>
    <row r="341" ht="15">
      <c r="E341" s="167"/>
    </row>
    <row r="342" ht="15">
      <c r="E342" s="167"/>
    </row>
  </sheetData>
  <sheetProtection/>
  <printOptions/>
  <pageMargins left="0.45" right="0.45" top="0.5" bottom="0.5" header="0.3" footer="0"/>
  <pageSetup fitToHeight="4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Weinstein</dc:creator>
  <cp:keywords/>
  <dc:description/>
  <cp:lastModifiedBy>Weinstein, Mike</cp:lastModifiedBy>
  <cp:lastPrinted>2017-01-23T16:18:48Z</cp:lastPrinted>
  <dcterms:created xsi:type="dcterms:W3CDTF">2012-12-19T16:32:37Z</dcterms:created>
  <dcterms:modified xsi:type="dcterms:W3CDTF">2017-01-23T16:28:10Z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CaseCompanyNam">
    <vt:lpwstr>Waste Management of Washington, Inc.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170055</vt:lpwstr>
  </property>
  <property fmtid="{D5CDD505-2E9C-101B-9397-08002B2CF9AE}" pid="9" name="Visibili">
    <vt:lpwstr>Full Visibility</vt:lpwstr>
  </property>
  <property fmtid="{D5CDD505-2E9C-101B-9397-08002B2CF9AE}" pid="10" name="Dat">
    <vt:lpwstr>2017-01-23T00:00:00Z</vt:lpwstr>
  </property>
  <property fmtid="{D5CDD505-2E9C-101B-9397-08002B2CF9AE}" pid="11" name="Nickna">
    <vt:lpwstr/>
  </property>
  <property fmtid="{D5CDD505-2E9C-101B-9397-08002B2CF9AE}" pid="12" name="Proce">
    <vt:lpwstr/>
  </property>
  <property fmtid="{D5CDD505-2E9C-101B-9397-08002B2CF9AE}" pid="13" name="_docset_NoMedatataSyncRequir">
    <vt:lpwstr>False</vt:lpwstr>
  </property>
  <property fmtid="{D5CDD505-2E9C-101B-9397-08002B2CF9AE}" pid="14" name="CaseTy">
    <vt:lpwstr>Tariff Revision</vt:lpwstr>
  </property>
  <property fmtid="{D5CDD505-2E9C-101B-9397-08002B2CF9AE}" pid="15" name="OpenedDa">
    <vt:lpwstr>2017-01-23T00:00:00Z</vt:lpwstr>
  </property>
  <property fmtid="{D5CDD505-2E9C-101B-9397-08002B2CF9AE}" pid="16" name="Pref">
    <vt:lpwstr>TG</vt:lpwstr>
  </property>
  <property fmtid="{D5CDD505-2E9C-101B-9397-08002B2CF9AE}" pid="17" name="IndustryCo">
    <vt:lpwstr>227</vt:lpwstr>
  </property>
  <property fmtid="{D5CDD505-2E9C-101B-9397-08002B2CF9AE}" pid="18" name="CaseStat">
    <vt:lpwstr>Closed</vt:lpwstr>
  </property>
  <property fmtid="{D5CDD505-2E9C-101B-9397-08002B2CF9AE}" pid="19" name="DocumentGro">
    <vt:lpwstr/>
  </property>
</Properties>
</file>