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References" sheetId="2" r:id="rId1"/>
    <sheet name="Whitman DF Calc" sheetId="3" r:id="rId2"/>
    <sheet name="Proposed Rates" sheetId="4" r:id="rId3"/>
    <sheet name="Disposal Schedule" sheetId="6" r:id="rId4"/>
    <sheet name="Regulated Co Provided Priceout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hidden="1">#REF!</definedName>
    <definedName name="_ACT1" localSheetId="3">[4]Hidden!#REF!</definedName>
    <definedName name="_ACT1" localSheetId="4">[5]Hidden!#REF!</definedName>
    <definedName name="_ACT1">[6]Hidden!#REF!</definedName>
    <definedName name="_ACT2" localSheetId="3">[4]Hidden!#REF!</definedName>
    <definedName name="_ACT2" localSheetId="4">[5]Hidden!#REF!</definedName>
    <definedName name="_ACT2">[6]Hidden!#REF!</definedName>
    <definedName name="_ACT3" localSheetId="3">[4]Hidden!#REF!</definedName>
    <definedName name="_ACT3" localSheetId="4">[5]Hidden!#REF!</definedName>
    <definedName name="_ACT3">[6]Hidden!#REF!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hidden="1">#REF!</definedName>
    <definedName name="_xlnm._FilterDatabase" localSheetId="1" hidden="1">'Whitman DF Calc'!$A$1:$W$80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hidden="1">#REF!</definedName>
    <definedName name="_Sort1" hidden="1">'[2]#REF'!$A$10:$Z$281</definedName>
    <definedName name="_sort3" hidden="1">[3]XXXXXX!$G$10:$J$11</definedName>
    <definedName name="ACCT" localSheetId="3">[4]Hidden!#REF!</definedName>
    <definedName name="ACCT" localSheetId="4">[5]Hidden!#REF!</definedName>
    <definedName name="ACCT">[6]Hidden!#REF!</definedName>
    <definedName name="ACCT.ConsolSum">[1]Hidden!$Q$11</definedName>
    <definedName name="ACT_CUR" localSheetId="3">[4]Hidden!#REF!</definedName>
    <definedName name="ACT_CUR" localSheetId="4">[5]Hidden!#REF!</definedName>
    <definedName name="ACT_CUR">[6]Hidden!#REF!</definedName>
    <definedName name="ACT_YTD" localSheetId="3">[4]Hidden!#REF!</definedName>
    <definedName name="ACT_YTD" localSheetId="4">[5]Hidden!#REF!</definedName>
    <definedName name="ACT_YTD">[6]Hidden!#REF!</definedName>
    <definedName name="AmountCount" localSheetId="3">#REF!</definedName>
    <definedName name="AmountCount" localSheetId="4">#REF!</definedName>
    <definedName name="AmountCount">#REF!</definedName>
    <definedName name="AmountCount1">#REF!</definedName>
    <definedName name="AmountTotal" localSheetId="4">#REF!</definedName>
    <definedName name="AmountTotal">#REF!</definedName>
    <definedName name="AmountTotal1">#REF!</definedName>
    <definedName name="BookRev" localSheetId="3">'[7]Pacific Regulated - Price Out'!$F$50</definedName>
    <definedName name="BookRev" localSheetId="4">'[7]Pacific Regulated - Price Out'!$F$50</definedName>
    <definedName name="BookRev">'[8]Pacific Regulated - Price Out'!$F$50</definedName>
    <definedName name="BookRev_com" localSheetId="3">'[7]Pacific Regulated - Price Out'!$F$214</definedName>
    <definedName name="BookRev_com" localSheetId="4">'[7]Pacific Regulated - Price Out'!$F$214</definedName>
    <definedName name="BookRev_com">'[8]Pacific Regulated - Price Out'!$F$214</definedName>
    <definedName name="BookRev_mfr" localSheetId="3">'[7]Pacific Regulated - Price Out'!$F$222</definedName>
    <definedName name="BookRev_mfr" localSheetId="4">'[7]Pacific Regulated - Price Out'!$F$222</definedName>
    <definedName name="BookRev_mfr">'[8]Pacific Regulated - Price Out'!$F$222</definedName>
    <definedName name="BookRev_ro" localSheetId="3">'[7]Pacific Regulated - Price Out'!$F$282</definedName>
    <definedName name="BookRev_ro" localSheetId="4">'[7]Pacific Regulated - Price Out'!$F$282</definedName>
    <definedName name="BookRev_ro">'[8]Pacific Regulated - Price Out'!$F$282</definedName>
    <definedName name="BookRev_rr" localSheetId="3">'[7]Pacific Regulated - Price Out'!$F$59</definedName>
    <definedName name="BookRev_rr" localSheetId="4">'[7]Pacific Regulated - Price Out'!$F$59</definedName>
    <definedName name="BookRev_rr">'[8]Pacific Regulated - Price Out'!$F$59</definedName>
    <definedName name="BookRev_yw" localSheetId="3">'[7]Pacific Regulated - Price Out'!$F$70</definedName>
    <definedName name="BookRev_yw" localSheetId="4">'[7]Pacific Regulated - Price Out'!$F$70</definedName>
    <definedName name="BookRev_yw">'[8]Pacific Regulated - Price Out'!$F$70</definedName>
    <definedName name="BREMAIR_COST_of_SERVICE_STUDY" localSheetId="3">#REF!</definedName>
    <definedName name="BREMAIR_COST_of_SERVICE_STUDY" localSheetId="4">#REF!</definedName>
    <definedName name="BREMAIR_COST_of_SERVICE_STUDY">#REF!</definedName>
    <definedName name="BUD_CUR" localSheetId="3">[4]Hidden!#REF!</definedName>
    <definedName name="BUD_CUR" localSheetId="4">[5]Hidden!#REF!</definedName>
    <definedName name="BUD_CUR">[6]Hidden!#REF!</definedName>
    <definedName name="BUD_YTD" localSheetId="3">[4]Hidden!#REF!</definedName>
    <definedName name="BUD_YTD" localSheetId="4">[5]Hidden!#REF!</definedName>
    <definedName name="BUD_YTD">[6]Hidden!#REF!</definedName>
    <definedName name="CalRecyTons" localSheetId="3">'[9]Recycl Tons, Commodity Value'!$L$23</definedName>
    <definedName name="CalRecyTons" localSheetId="4">'[9]Recycl Tons, Commodity Value'!$L$23</definedName>
    <definedName name="CalRecyTons">'[10]Recycl Tons, Commodity Value'!$L$23</definedName>
    <definedName name="CheckTotals" localSheetId="3">#REF!</definedName>
    <definedName name="CheckTotals" localSheetId="4">#REF!</definedName>
    <definedName name="CheckTotals">#REF!</definedName>
    <definedName name="colgroup">[1]Orientation!$G$6</definedName>
    <definedName name="colsegment">[1]Orientation!$F$6</definedName>
    <definedName name="CRCTable" localSheetId="3">#REF!</definedName>
    <definedName name="CRCTable" localSheetId="4">#REF!</definedName>
    <definedName name="CRCTable">#REF!</definedName>
    <definedName name="CRCTableOLD" localSheetId="4">#REF!</definedName>
    <definedName name="CRCTableOLD">#REF!</definedName>
    <definedName name="CriteriaType">[11]ControlPanel!$Z$2:$Z$5</definedName>
    <definedName name="CurrentMonth">'[12]38000 Other Rev'!$H$8</definedName>
    <definedName name="Cutomers" localSheetId="3">#REF!</definedName>
    <definedName name="Cutomers" localSheetId="4">#REF!</definedName>
    <definedName name="Cutomers">#REF!</definedName>
    <definedName name="_xlnm.Database" localSheetId="4">#REF!</definedName>
    <definedName name="_xlnm.Database">#REF!</definedName>
    <definedName name="Database1" localSheetId="4">#REF!</definedName>
    <definedName name="Database1">#REF!</definedName>
    <definedName name="DateFrom">'[12]38000 Other Rev'!$G$12</definedName>
    <definedName name="DateTo">'[12]38000 Other Rev'!$G$13</definedName>
    <definedName name="DEPT" localSheetId="3">[4]Hidden!#REF!</definedName>
    <definedName name="DEPT" localSheetId="4">[5]Hidden!#REF!</definedName>
    <definedName name="DEPT">[6]Hidden!#REF!</definedName>
    <definedName name="Dist">[13]Data!$E$3</definedName>
    <definedName name="District" localSheetId="3">'[14]Vashon BS'!#REF!</definedName>
    <definedName name="District" localSheetId="4">'[14]Vashon BS'!#REF!</definedName>
    <definedName name="District">'[15]Vashon BS'!#REF!</definedName>
    <definedName name="DistrictNum" localSheetId="3">#REF!</definedName>
    <definedName name="DistrictNum" localSheetId="4">#REF!</definedName>
    <definedName name="DistrictNum">#REF!</definedName>
    <definedName name="dOG" localSheetId="3">#REF!</definedName>
    <definedName name="dOG" localSheetId="4">#REF!</definedName>
    <definedName name="dOG">#REF!</definedName>
    <definedName name="drlFilter">[1]Settings!$D$27</definedName>
    <definedName name="End" localSheetId="3">#REF!</definedName>
    <definedName name="End" localSheetId="4">#REF!</definedName>
    <definedName name="End">'[16]IS-2120'!#REF!</definedName>
    <definedName name="EntrieShownLimit">'[12]38000 Other Rev'!$D$6</definedName>
    <definedName name="ExcludeIC" localSheetId="3">'[12]2025 BS'!#REF!</definedName>
    <definedName name="ExcludeIC" localSheetId="4">'[12]2025 BS'!#REF!</definedName>
    <definedName name="ExcludeIC">'[15]Vashon BS'!#REF!</definedName>
    <definedName name="FBTable" localSheetId="3">#REF!</definedName>
    <definedName name="FBTable" localSheetId="4">#REF!</definedName>
    <definedName name="FBTable">#REF!</definedName>
    <definedName name="FBTableOld" localSheetId="4">#REF!</definedName>
    <definedName name="FBTableOld">#REF!</definedName>
    <definedName name="filter">[1]Settings!$B$14:$H$25</definedName>
    <definedName name="FundsApprPend">[13]Data!#REF!</definedName>
    <definedName name="FundsBudUnbud">[13]Data!#REF!</definedName>
    <definedName name="GLMappingStart" localSheetId="3">#REF!</definedName>
    <definedName name="GLMappingStart" localSheetId="4">#REF!</definedName>
    <definedName name="GLMappingStart">#REF!</definedName>
    <definedName name="GLMappingStart1">#REF!</definedName>
    <definedName name="Import_Range">[13]Data!#REF!</definedName>
    <definedName name="IncomeStmnt" localSheetId="4">#REF!</definedName>
    <definedName name="IncomeStmnt">#REF!</definedName>
    <definedName name="INPUT" localSheetId="3">#REF!</definedName>
    <definedName name="INPUT" localSheetId="4">#REF!</definedName>
    <definedName name="INPUT">#REF!</definedName>
    <definedName name="Insurance" localSheetId="4">#REF!</definedName>
    <definedName name="Insurance">#REF!</definedName>
    <definedName name="Invoice_Start">[13]Invoice_Drill!#REF!</definedName>
    <definedName name="JEDetail" localSheetId="4">#REF!</definedName>
    <definedName name="JEDetail">#REF!</definedName>
    <definedName name="JEDetail1">#REF!</definedName>
    <definedName name="JEType" localSheetId="4">#REF!</definedName>
    <definedName name="JEType">#REF!</definedName>
    <definedName name="JEType1">#REF!</definedName>
    <definedName name="lblBillAreaStatus" localSheetId="4">#REF!</definedName>
    <definedName name="lblBillAreaStatus">#REF!</definedName>
    <definedName name="lblBillCycleStatus" localSheetId="4">#REF!</definedName>
    <definedName name="lblBillCycleStatus">#REF!</definedName>
    <definedName name="lblCategoryStatus" localSheetId="4">#REF!</definedName>
    <definedName name="lblCategoryStatus">#REF!</definedName>
    <definedName name="lblCompanyStatus" localSheetId="4">#REF!</definedName>
    <definedName name="lblCompanyStatus">#REF!</definedName>
    <definedName name="lblDatabaseStatus" localSheetId="4">#REF!</definedName>
    <definedName name="lblDatabaseStatus">#REF!</definedName>
    <definedName name="lblPullStatus" localSheetId="4">#REF!</definedName>
    <definedName name="lblPullStatus">#REF!</definedName>
    <definedName name="lllllllllllllllllllll" localSheetId="4">#REF!</definedName>
    <definedName name="lllllllllllllllllllll">#REF!</definedName>
    <definedName name="MainDataEnd" localSheetId="4">#REF!</definedName>
    <definedName name="MainDataEnd">#REF!</definedName>
    <definedName name="MainDataStart" localSheetId="4">#REF!</definedName>
    <definedName name="MainDataStart">#REF!</definedName>
    <definedName name="MapKeyStart" localSheetId="4">#REF!</definedName>
    <definedName name="MapKeyStart">#REF!</definedName>
    <definedName name="master_def" localSheetId="3">#REF!</definedName>
    <definedName name="master_def" localSheetId="4">#REF!</definedName>
    <definedName name="master_def">'[16]IS-2120'!#REF!</definedName>
    <definedName name="MemoAttachment" localSheetId="3">#REF!</definedName>
    <definedName name="MemoAttachment" localSheetId="4">#REF!</definedName>
    <definedName name="MemoAttachment">#REF!</definedName>
    <definedName name="MetaSet">[1]Orientation!$C$22</definedName>
    <definedName name="MonthList">'[13]Lookup Tables'!$A$1:$A$13</definedName>
    <definedName name="NewOnlyOrg">#N/A</definedName>
    <definedName name="NOTES" localSheetId="3">#REF!</definedName>
    <definedName name="NOTES" localSheetId="4">#REF!</definedName>
    <definedName name="NOTES">#REF!</definedName>
    <definedName name="NR">#REF!</definedName>
    <definedName name="OfficerSalary">#N/A</definedName>
    <definedName name="OffsetAcctBil">[17]JEexport!$L$10</definedName>
    <definedName name="OffsetAcctPmt">[17]JEexport!$L$9</definedName>
    <definedName name="Org11_13">#N/A</definedName>
    <definedName name="Org7_10">#N/A</definedName>
    <definedName name="p" localSheetId="3">#REF!</definedName>
    <definedName name="p" localSheetId="4">#REF!</definedName>
    <definedName name="p">#REF!</definedName>
    <definedName name="PAGE_1" localSheetId="4">#REF!</definedName>
    <definedName name="PAGE_1">#REF!</definedName>
    <definedName name="pBatchID" localSheetId="4">#REF!</definedName>
    <definedName name="pBatchID">#REF!</definedName>
    <definedName name="pBillArea" localSheetId="4">#REF!</definedName>
    <definedName name="pBillArea">#REF!</definedName>
    <definedName name="pBillCycle" localSheetId="4">#REF!</definedName>
    <definedName name="pBillCycle">#REF!</definedName>
    <definedName name="pCategory" localSheetId="4">#REF!</definedName>
    <definedName name="pCategory">#REF!</definedName>
    <definedName name="pCompany" localSheetId="4">#REF!</definedName>
    <definedName name="pCompany">#REF!</definedName>
    <definedName name="pCustomerNumber" localSheetId="4">#REF!</definedName>
    <definedName name="pCustomerNumber">#REF!</definedName>
    <definedName name="pDatabase" localSheetId="4">#REF!</definedName>
    <definedName name="pDatabase">#REF!</definedName>
    <definedName name="pEndPostDate" localSheetId="4">#REF!</definedName>
    <definedName name="pEndPostDate">#REF!</definedName>
    <definedName name="Period" localSheetId="4">#REF!</definedName>
    <definedName name="Period">#REF!</definedName>
    <definedName name="pMonth" localSheetId="4">#REF!</definedName>
    <definedName name="pMonth">#REF!</definedName>
    <definedName name="pOnlyShowLastTranx" localSheetId="4">#REF!</definedName>
    <definedName name="pOnlyShowLastTranx">#REF!</definedName>
    <definedName name="primtbl">[1]Orientation!$C$23</definedName>
    <definedName name="_xlnm.Print_Area" localSheetId="3">'Disposal Schedule'!$A$1:$H$33</definedName>
    <definedName name="_xlnm.Print_Area" localSheetId="4">'Regulated Co Provided Priceout'!$A$1:$M$164</definedName>
    <definedName name="_xlnm.Print_Area" localSheetId="1">'Whitman DF Calc'!$A$1:$W$99</definedName>
    <definedName name="_xlnm.Print_Area">#REF!</definedName>
    <definedName name="Print_Area_MI" localSheetId="3">#REF!</definedName>
    <definedName name="Print_Area_MI" localSheetId="4">#REF!</definedName>
    <definedName name="Print_Area_MI">#REF!</definedName>
    <definedName name="Print_Area1" localSheetId="4">#REF!</definedName>
    <definedName name="Print_Area1">#REF!</definedName>
    <definedName name="Print_Area2" localSheetId="4">#REF!</definedName>
    <definedName name="Print_Area2">#REF!</definedName>
    <definedName name="Print_Area3" localSheetId="4">#REF!</definedName>
    <definedName name="Print_Area3">#REF!</definedName>
    <definedName name="Print_Area5" localSheetId="4">#REF!</definedName>
    <definedName name="Print_Area5">#REF!</definedName>
    <definedName name="_xlnm.Print_Titles" localSheetId="2">'Proposed Rates'!$1:$5</definedName>
    <definedName name="_xlnm.Print_Titles" localSheetId="4">'Regulated Co Provided Priceout'!$1:$7</definedName>
    <definedName name="_xlnm.Print_Titles" localSheetId="1">'Whitman DF Calc'!$1:$5</definedName>
    <definedName name="Print1" localSheetId="3">#REF!</definedName>
    <definedName name="Print1" localSheetId="4">#REF!</definedName>
    <definedName name="Print1">#REF!</definedName>
    <definedName name="Print2" localSheetId="4">#REF!</definedName>
    <definedName name="Print2">#REF!</definedName>
    <definedName name="Print5" localSheetId="4">#REF!</definedName>
    <definedName name="Print5">#REF!</definedName>
    <definedName name="ProRev" localSheetId="3">'[7]Pacific Regulated - Price Out'!$M$49</definedName>
    <definedName name="ProRev" localSheetId="4">'[7]Pacific Regulated - Price Out'!$M$49</definedName>
    <definedName name="ProRev">'[8]Pacific Regulated - Price Out'!$M$49</definedName>
    <definedName name="ProRev_com" localSheetId="3">'[7]Pacific Regulated - Price Out'!$M$213</definedName>
    <definedName name="ProRev_com" localSheetId="4">'[7]Pacific Regulated - Price Out'!$M$213</definedName>
    <definedName name="ProRev_com">'[8]Pacific Regulated - Price Out'!$M$213</definedName>
    <definedName name="ProRev_mfr" localSheetId="3">'[7]Pacific Regulated - Price Out'!$M$221</definedName>
    <definedName name="ProRev_mfr" localSheetId="4">'[7]Pacific Regulated - Price Out'!$M$221</definedName>
    <definedName name="ProRev_mfr">'[8]Pacific Regulated - Price Out'!$M$221</definedName>
    <definedName name="ProRev_ro" localSheetId="3">'[7]Pacific Regulated - Price Out'!$M$281</definedName>
    <definedName name="ProRev_ro" localSheetId="4">'[7]Pacific Regulated - Price Out'!$M$281</definedName>
    <definedName name="ProRev_ro">'[8]Pacific Regulated - Price Out'!$M$281</definedName>
    <definedName name="ProRev_rr" localSheetId="3">'[7]Pacific Regulated - Price Out'!$M$58</definedName>
    <definedName name="ProRev_rr" localSheetId="4">'[7]Pacific Regulated - Price Out'!$M$58</definedName>
    <definedName name="ProRev_rr">'[8]Pacific Regulated - Price Out'!$M$58</definedName>
    <definedName name="ProRev_yw" localSheetId="3">'[7]Pacific Regulated - Price Out'!$M$69</definedName>
    <definedName name="ProRev_yw" localSheetId="4">'[7]Pacific Regulated - Price Out'!$M$69</definedName>
    <definedName name="ProRev_yw">'[8]Pacific Regulated - Price Out'!$M$69</definedName>
    <definedName name="pServer" localSheetId="3">#REF!</definedName>
    <definedName name="pServer" localSheetId="4">#REF!</definedName>
    <definedName name="pServer">#REF!</definedName>
    <definedName name="pServiceCode" localSheetId="4">#REF!</definedName>
    <definedName name="pServiceCode">#REF!</definedName>
    <definedName name="pShowAllUnposted" localSheetId="4">#REF!</definedName>
    <definedName name="pShowAllUnposted">#REF!</definedName>
    <definedName name="pShowCustomerDetail" localSheetId="4">#REF!</definedName>
    <definedName name="pShowCustomerDetail">#REF!</definedName>
    <definedName name="pSortOption" localSheetId="4">#REF!</definedName>
    <definedName name="pSortOption">#REF!</definedName>
    <definedName name="pStartPostDate" localSheetId="4">#REF!</definedName>
    <definedName name="pStartPostDate">#REF!</definedName>
    <definedName name="pTransType" localSheetId="4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[18]ControlPanel!$S$2:$S$16</definedName>
    <definedName name="ReportVersion">[1]Settings!$D$5</definedName>
    <definedName name="RetainedEarnings" localSheetId="3">#REF!</definedName>
    <definedName name="RetainedEarnings" localSheetId="4">#REF!</definedName>
    <definedName name="RetainedEarnings">#REF!</definedName>
    <definedName name="RevCust" localSheetId="3">[19]RevenuesCust!#REF!</definedName>
    <definedName name="RevCust" localSheetId="4">[20]RevenuesCust!#REF!</definedName>
    <definedName name="RevCust">[21]RevenuesCust!#REF!</definedName>
    <definedName name="RevCustomer" localSheetId="3">#REF!</definedName>
    <definedName name="RevCustomer" localSheetId="4">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3">#REF!</definedName>
    <definedName name="sortcol" localSheetId="4">#REF!</definedName>
    <definedName name="sortcol">'[16]IS-2120'!#REF!</definedName>
    <definedName name="sSRCDate" localSheetId="3">'[22]Feb''12 FAR Data'!#REF!</definedName>
    <definedName name="sSRCDate" localSheetId="4">'[22]Feb''12 FAR Data'!#REF!</definedName>
    <definedName name="sSRCDate">'[23]Feb''12 FAR Data'!#REF!</definedName>
    <definedName name="Supplemental_filter">[1]Settings!$C$31</definedName>
    <definedName name="SWDisposal">#N/A</definedName>
    <definedName name="System">[24]BS_Close!$V$8</definedName>
    <definedName name="TemplateEnd" localSheetId="3">#REF!</definedName>
    <definedName name="TemplateEnd" localSheetId="4">#REF!</definedName>
    <definedName name="TemplateEnd">#REF!</definedName>
    <definedName name="TemplateStart" localSheetId="4">#REF!</definedName>
    <definedName name="TemplateStart">#REF!</definedName>
    <definedName name="TheTable" localSheetId="4">#REF!</definedName>
    <definedName name="TheTable">#REF!</definedName>
    <definedName name="TheTableOLD" localSheetId="4">#REF!</definedName>
    <definedName name="TheTableOLD">#REF!</definedName>
    <definedName name="timeseries">[1]Orientation!$B$6:$C$13</definedName>
    <definedName name="Total_Comm" localSheetId="3">'[9]Tariff Rate Sheet'!$L$214</definedName>
    <definedName name="Total_Comm" localSheetId="4">'[9]Tariff Rate Sheet'!$L$214</definedName>
    <definedName name="Total_Comm">'[10]Tariff Rate Sheet'!$L$214</definedName>
    <definedName name="Total_DB" localSheetId="3">'[9]Tariff Rate Sheet'!$L$278</definedName>
    <definedName name="Total_DB" localSheetId="4">'[9]Tariff Rate Sheet'!$L$278</definedName>
    <definedName name="Total_DB">'[10]Tariff Rate Sheet'!$L$278</definedName>
    <definedName name="Total_Resi" localSheetId="3">'[9]Tariff Rate Sheet'!$L$107</definedName>
    <definedName name="Total_Resi" localSheetId="4">'[9]Tariff Rate Sheet'!$L$107</definedName>
    <definedName name="Total_Resi">'[10]Tariff Rate Sheet'!$L$107</definedName>
    <definedName name="Transactions" localSheetId="3">#REF!</definedName>
    <definedName name="Transactions" localSheetId="4">#REF!</definedName>
    <definedName name="Transactions">#REF!</definedName>
    <definedName name="Version">[13]Data!#REF!</definedName>
    <definedName name="WTable" localSheetId="4">#REF!</definedName>
    <definedName name="WTable">#REF!</definedName>
    <definedName name="WTableOld" localSheetId="4">#REF!</definedName>
    <definedName name="WTableOld">#REF!</definedName>
    <definedName name="ww">#REF!</definedName>
    <definedName name="xperiod">[1]Orientation!$G$15</definedName>
    <definedName name="xtabin" localSheetId="3">[4]Hidden!#REF!</definedName>
    <definedName name="xtabin" localSheetId="4">[5]Hidden!#REF!</definedName>
    <definedName name="xtabin">[6]Hidden!#REF!</definedName>
    <definedName name="xx" localSheetId="3">#REF!</definedName>
    <definedName name="xx" localSheetId="4">#REF!</definedName>
    <definedName name="xx">#REF!</definedName>
    <definedName name="xxx">#REF!</definedName>
    <definedName name="xxxx">#REF!</definedName>
    <definedName name="YearMonth" localSheetId="3">'[14]Vashon BS'!#REF!</definedName>
    <definedName name="YearMonth" localSheetId="4">'[14]Vashon BS'!#REF!</definedName>
    <definedName name="YearMonth">'[15]Vashon BS'!#REF!</definedName>
    <definedName name="YWMedWasteDisp">#N/A</definedName>
    <definedName name="yy" localSheetId="3">#REF!</definedName>
    <definedName name="yy" localSheetId="4">#REF!</definedName>
    <definedName name="yy">#REF!</definedName>
  </definedNames>
  <calcPr calcId="145621" concurrentManualCount="4"/>
</workbook>
</file>

<file path=xl/calcChain.xml><?xml version="1.0" encoding="utf-8"?>
<calcChain xmlns="http://schemas.openxmlformats.org/spreadsheetml/2006/main">
  <c r="S47" i="3" l="1"/>
  <c r="V47" i="3" l="1"/>
  <c r="Q47" i="3"/>
  <c r="P47" i="3"/>
  <c r="V43" i="3"/>
  <c r="S43" i="3"/>
  <c r="Q43" i="3"/>
  <c r="P43" i="3"/>
  <c r="V31" i="3"/>
  <c r="V30" i="3"/>
  <c r="S31" i="3"/>
  <c r="S30" i="3"/>
  <c r="P31" i="3"/>
  <c r="Q31" i="3"/>
  <c r="Q30" i="3"/>
  <c r="P30" i="3"/>
  <c r="V39" i="3"/>
  <c r="S39" i="3"/>
  <c r="Q39" i="3"/>
  <c r="P39" i="3"/>
  <c r="G39" i="3"/>
  <c r="F39" i="3"/>
  <c r="E39" i="3"/>
  <c r="E40" i="3"/>
  <c r="E13" i="3"/>
  <c r="G13" i="3"/>
  <c r="B60" i="2"/>
  <c r="P60" i="3" l="1"/>
  <c r="G66" i="3"/>
  <c r="G65" i="3"/>
  <c r="G55" i="3" l="1"/>
  <c r="G62" i="3" l="1"/>
  <c r="E62" i="3"/>
  <c r="E61" i="3"/>
  <c r="G60" i="3"/>
  <c r="G58" i="3"/>
  <c r="G57" i="3"/>
  <c r="E60" i="3"/>
  <c r="E58" i="3"/>
  <c r="E57" i="3"/>
  <c r="E55" i="3"/>
  <c r="G54" i="3"/>
  <c r="E54" i="3"/>
  <c r="E53" i="3"/>
  <c r="G47" i="3"/>
  <c r="E47" i="3"/>
  <c r="G43" i="3"/>
  <c r="E43" i="3"/>
  <c r="G31" i="3"/>
  <c r="G30" i="3"/>
  <c r="E31" i="3"/>
  <c r="E30" i="3"/>
  <c r="E29" i="3"/>
  <c r="G16" i="3"/>
  <c r="E16" i="3"/>
  <c r="G14" i="3"/>
  <c r="E14" i="3"/>
  <c r="E12" i="3"/>
  <c r="M18" i="3" l="1"/>
  <c r="R87" i="3" l="1"/>
  <c r="S87" i="3"/>
  <c r="M62" i="3"/>
  <c r="M61" i="3"/>
  <c r="M60" i="3"/>
  <c r="M58" i="3"/>
  <c r="M57" i="3"/>
  <c r="M55" i="3"/>
  <c r="M54" i="3"/>
  <c r="M52" i="3"/>
  <c r="M50" i="3"/>
  <c r="M49" i="3"/>
  <c r="M48" i="3"/>
  <c r="M47" i="3"/>
  <c r="M45" i="3"/>
  <c r="M44" i="3"/>
  <c r="M43" i="3"/>
  <c r="M41" i="3"/>
  <c r="M40" i="3"/>
  <c r="M39" i="3"/>
  <c r="M37" i="3"/>
  <c r="M36" i="3"/>
  <c r="M33" i="3"/>
  <c r="M32" i="3"/>
  <c r="M31" i="3"/>
  <c r="M30" i="3"/>
  <c r="M27" i="3"/>
  <c r="G89" i="3"/>
  <c r="G88" i="3"/>
  <c r="G87" i="3"/>
  <c r="G86" i="3"/>
  <c r="G85" i="3"/>
  <c r="G84" i="3"/>
  <c r="E85" i="3"/>
  <c r="F85" i="3" s="1"/>
  <c r="E84" i="3"/>
  <c r="F84" i="3" s="1"/>
  <c r="M7" i="3"/>
  <c r="M11" i="3"/>
  <c r="M10" i="3"/>
  <c r="M9" i="3"/>
  <c r="M8" i="3"/>
  <c r="M23" i="3"/>
  <c r="M20" i="3"/>
  <c r="M78" i="3"/>
  <c r="M76" i="3"/>
  <c r="M77" i="3"/>
  <c r="M75" i="3"/>
  <c r="M74" i="3"/>
  <c r="M73" i="3"/>
  <c r="M26" i="3"/>
  <c r="M25" i="3"/>
  <c r="M72" i="3"/>
  <c r="M68" i="3"/>
  <c r="M69" i="3"/>
  <c r="M70" i="3"/>
  <c r="M71" i="3"/>
  <c r="M67" i="3"/>
  <c r="M66" i="3"/>
  <c r="M65" i="3"/>
  <c r="M64" i="3"/>
  <c r="M63" i="3"/>
  <c r="M59" i="3"/>
  <c r="M56" i="3"/>
  <c r="M53" i="3"/>
  <c r="M51" i="3"/>
  <c r="M46" i="3"/>
  <c r="M42" i="3"/>
  <c r="M38" i="3"/>
  <c r="M35" i="3"/>
  <c r="M34" i="3"/>
  <c r="M16" i="3"/>
  <c r="M14" i="3"/>
  <c r="M13" i="3"/>
  <c r="M29" i="3"/>
  <c r="M28" i="3"/>
  <c r="M22" i="3"/>
  <c r="M21" i="3"/>
  <c r="M19" i="3"/>
  <c r="M17" i="3"/>
  <c r="M15" i="3"/>
  <c r="M12" i="3"/>
  <c r="M6" i="3"/>
  <c r="E50" i="3"/>
  <c r="E49" i="3"/>
  <c r="E45" i="3"/>
  <c r="E44" i="3"/>
  <c r="E41" i="3"/>
  <c r="E37" i="3"/>
  <c r="E33" i="3"/>
  <c r="E27" i="3"/>
  <c r="E52" i="3"/>
  <c r="E48" i="3"/>
  <c r="E36" i="3"/>
  <c r="E32" i="3"/>
  <c r="E59" i="3"/>
  <c r="E56" i="3"/>
  <c r="E51" i="3"/>
  <c r="E46" i="3"/>
  <c r="E42" i="3"/>
  <c r="E38" i="3"/>
  <c r="E35" i="3"/>
  <c r="E25" i="3"/>
  <c r="E66" i="3"/>
  <c r="E65" i="3"/>
  <c r="E64" i="3"/>
  <c r="E63" i="3"/>
  <c r="E72" i="3"/>
  <c r="E71" i="3"/>
  <c r="E70" i="3"/>
  <c r="E69" i="3"/>
  <c r="E68" i="3"/>
  <c r="E67" i="3"/>
  <c r="E78" i="3"/>
  <c r="E77" i="3"/>
  <c r="E76" i="3"/>
  <c r="E75" i="3"/>
  <c r="E74" i="3"/>
  <c r="E73" i="3"/>
  <c r="E34" i="3"/>
  <c r="E28" i="3"/>
  <c r="E26" i="3"/>
  <c r="G78" i="3"/>
  <c r="G77" i="3"/>
  <c r="G76" i="3"/>
  <c r="G75" i="3"/>
  <c r="G74" i="3"/>
  <c r="G73" i="3"/>
  <c r="G72" i="3"/>
  <c r="G71" i="3"/>
  <c r="G70" i="3"/>
  <c r="G69" i="3"/>
  <c r="G68" i="3"/>
  <c r="G67" i="3"/>
  <c r="G64" i="3"/>
  <c r="G63" i="3"/>
  <c r="G61" i="3"/>
  <c r="G59" i="3"/>
  <c r="G56" i="3"/>
  <c r="G53" i="3"/>
  <c r="G52" i="3"/>
  <c r="G51" i="3"/>
  <c r="G50" i="3"/>
  <c r="G49" i="3"/>
  <c r="G48" i="3"/>
  <c r="G46" i="3"/>
  <c r="G45" i="3"/>
  <c r="G44" i="3"/>
  <c r="G42" i="3"/>
  <c r="G41" i="3"/>
  <c r="G40" i="3"/>
  <c r="G38" i="3"/>
  <c r="G37" i="3"/>
  <c r="G36" i="3"/>
  <c r="G35" i="3"/>
  <c r="G34" i="3"/>
  <c r="G33" i="3"/>
  <c r="G32" i="3"/>
  <c r="G29" i="3"/>
  <c r="G28" i="3"/>
  <c r="G27" i="3"/>
  <c r="G26" i="3"/>
  <c r="G25" i="3"/>
  <c r="G23" i="3" l="1"/>
  <c r="G22" i="3"/>
  <c r="G21" i="3"/>
  <c r="G20" i="3"/>
  <c r="G19" i="3"/>
  <c r="G18" i="3"/>
  <c r="G17" i="3"/>
  <c r="G15" i="3"/>
  <c r="G12" i="3"/>
  <c r="G11" i="3"/>
  <c r="G10" i="3"/>
  <c r="G9" i="3"/>
  <c r="G8" i="3"/>
  <c r="G7" i="3"/>
  <c r="G6" i="3"/>
  <c r="B30" i="6" l="1"/>
  <c r="C29" i="6" s="1"/>
  <c r="E22" i="6"/>
  <c r="D22" i="6"/>
  <c r="C22" i="6"/>
  <c r="B22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F161" i="5"/>
  <c r="E161" i="5"/>
  <c r="H159" i="5"/>
  <c r="H158" i="5"/>
  <c r="H157" i="5"/>
  <c r="H154" i="5"/>
  <c r="F154" i="5"/>
  <c r="E154" i="5"/>
  <c r="H152" i="5"/>
  <c r="F149" i="5"/>
  <c r="E149" i="5"/>
  <c r="H147" i="5"/>
  <c r="M147" i="5" s="1"/>
  <c r="H146" i="5"/>
  <c r="M146" i="5" s="1"/>
  <c r="H145" i="5"/>
  <c r="J145" i="5" s="1"/>
  <c r="K145" i="5" s="1"/>
  <c r="H144" i="5"/>
  <c r="J144" i="5" s="1"/>
  <c r="K144" i="5" s="1"/>
  <c r="H143" i="5"/>
  <c r="J143" i="5" s="1"/>
  <c r="K143" i="5" s="1"/>
  <c r="H142" i="5"/>
  <c r="M142" i="5" s="1"/>
  <c r="M141" i="5"/>
  <c r="H141" i="5"/>
  <c r="J141" i="5" s="1"/>
  <c r="K141" i="5" s="1"/>
  <c r="H140" i="5"/>
  <c r="J140" i="5" s="1"/>
  <c r="K140" i="5" s="1"/>
  <c r="M139" i="5"/>
  <c r="H139" i="5"/>
  <c r="J139" i="5" s="1"/>
  <c r="K139" i="5" s="1"/>
  <c r="H138" i="5"/>
  <c r="M138" i="5" s="1"/>
  <c r="F133" i="5"/>
  <c r="J131" i="5" s="1"/>
  <c r="K131" i="5" s="1"/>
  <c r="K133" i="5" s="1"/>
  <c r="E133" i="5"/>
  <c r="H131" i="5"/>
  <c r="H133" i="5" s="1"/>
  <c r="F128" i="5"/>
  <c r="E128" i="5"/>
  <c r="H126" i="5"/>
  <c r="J126" i="5" s="1"/>
  <c r="K126" i="5" s="1"/>
  <c r="L126" i="5" s="1"/>
  <c r="J125" i="5"/>
  <c r="K125" i="5" s="1"/>
  <c r="H125" i="5"/>
  <c r="H128" i="5" s="1"/>
  <c r="F122" i="5"/>
  <c r="E122" i="5"/>
  <c r="H120" i="5"/>
  <c r="M120" i="5" s="1"/>
  <c r="H119" i="5"/>
  <c r="J119" i="5" s="1"/>
  <c r="K119" i="5" s="1"/>
  <c r="M118" i="5"/>
  <c r="H118" i="5"/>
  <c r="J118" i="5" s="1"/>
  <c r="K118" i="5" s="1"/>
  <c r="H117" i="5"/>
  <c r="M117" i="5" s="1"/>
  <c r="H116" i="5"/>
  <c r="M116" i="5" s="1"/>
  <c r="H115" i="5"/>
  <c r="M115" i="5" s="1"/>
  <c r="H114" i="5"/>
  <c r="M114" i="5" s="1"/>
  <c r="H113" i="5"/>
  <c r="J113" i="5" s="1"/>
  <c r="K113" i="5" s="1"/>
  <c r="H112" i="5"/>
  <c r="M112" i="5" s="1"/>
  <c r="H111" i="5"/>
  <c r="M111" i="5" s="1"/>
  <c r="H110" i="5"/>
  <c r="J110" i="5" s="1"/>
  <c r="K110" i="5" s="1"/>
  <c r="H109" i="5"/>
  <c r="M109" i="5" s="1"/>
  <c r="H108" i="5"/>
  <c r="M108" i="5" s="1"/>
  <c r="H107" i="5"/>
  <c r="J107" i="5" s="1"/>
  <c r="K107" i="5" s="1"/>
  <c r="H106" i="5"/>
  <c r="J106" i="5" s="1"/>
  <c r="K106" i="5" s="1"/>
  <c r="H105" i="5"/>
  <c r="M105" i="5" s="1"/>
  <c r="H104" i="5"/>
  <c r="M104" i="5" s="1"/>
  <c r="H103" i="5"/>
  <c r="J103" i="5" s="1"/>
  <c r="K103" i="5" s="1"/>
  <c r="M102" i="5"/>
  <c r="J102" i="5"/>
  <c r="K102" i="5" s="1"/>
  <c r="H102" i="5"/>
  <c r="H101" i="5"/>
  <c r="M101" i="5" s="1"/>
  <c r="H100" i="5"/>
  <c r="M100" i="5" s="1"/>
  <c r="H99" i="5"/>
  <c r="M99" i="5" s="1"/>
  <c r="H98" i="5"/>
  <c r="J98" i="5" s="1"/>
  <c r="K98" i="5" s="1"/>
  <c r="H97" i="5"/>
  <c r="J97" i="5" s="1"/>
  <c r="K97" i="5" s="1"/>
  <c r="H96" i="5"/>
  <c r="J96" i="5" s="1"/>
  <c r="K96" i="5" s="1"/>
  <c r="H95" i="5"/>
  <c r="J95" i="5" s="1"/>
  <c r="K95" i="5" s="1"/>
  <c r="H94" i="5"/>
  <c r="J94" i="5" s="1"/>
  <c r="K94" i="5" s="1"/>
  <c r="H93" i="5"/>
  <c r="J93" i="5" s="1"/>
  <c r="K93" i="5" s="1"/>
  <c r="H92" i="5"/>
  <c r="J92" i="5" s="1"/>
  <c r="K92" i="5" s="1"/>
  <c r="H91" i="5"/>
  <c r="J91" i="5" s="1"/>
  <c r="K91" i="5" s="1"/>
  <c r="H90" i="5"/>
  <c r="J90" i="5" s="1"/>
  <c r="K90" i="5" s="1"/>
  <c r="H89" i="5"/>
  <c r="J89" i="5" s="1"/>
  <c r="K89" i="5" s="1"/>
  <c r="H88" i="5"/>
  <c r="J88" i="5" s="1"/>
  <c r="K88" i="5" s="1"/>
  <c r="D66" i="3" s="1"/>
  <c r="F66" i="3" s="1"/>
  <c r="P66" i="3" s="1"/>
  <c r="H87" i="5"/>
  <c r="M87" i="5" s="1"/>
  <c r="H86" i="5"/>
  <c r="M86" i="5" s="1"/>
  <c r="M85" i="5"/>
  <c r="J85" i="5"/>
  <c r="K85" i="5" s="1"/>
  <c r="D63" i="3" s="1"/>
  <c r="F63" i="3" s="1"/>
  <c r="P63" i="3" s="1"/>
  <c r="H85" i="5"/>
  <c r="H84" i="5"/>
  <c r="J84" i="5" s="1"/>
  <c r="K84" i="5" s="1"/>
  <c r="M83" i="5"/>
  <c r="J83" i="5"/>
  <c r="K83" i="5" s="1"/>
  <c r="H83" i="5"/>
  <c r="H82" i="5"/>
  <c r="M82" i="5" s="1"/>
  <c r="H81" i="5"/>
  <c r="J81" i="5" s="1"/>
  <c r="K81" i="5" s="1"/>
  <c r="H80" i="5"/>
  <c r="J80" i="5" s="1"/>
  <c r="K80" i="5" s="1"/>
  <c r="H79" i="5"/>
  <c r="M79" i="5" s="1"/>
  <c r="H78" i="5"/>
  <c r="M78" i="5" s="1"/>
  <c r="H77" i="5"/>
  <c r="H76" i="5"/>
  <c r="H75" i="5"/>
  <c r="J75" i="5" s="1"/>
  <c r="K75" i="5" s="1"/>
  <c r="D53" i="3" s="1"/>
  <c r="H74" i="5"/>
  <c r="J74" i="5" s="1"/>
  <c r="K74" i="5" s="1"/>
  <c r="H73" i="5"/>
  <c r="J73" i="5" s="1"/>
  <c r="K73" i="5" s="1"/>
  <c r="H72" i="5"/>
  <c r="J72" i="5" s="1"/>
  <c r="K72" i="5" s="1"/>
  <c r="D50" i="3" s="1"/>
  <c r="F50" i="3" s="1"/>
  <c r="P50" i="3" s="1"/>
  <c r="H71" i="5"/>
  <c r="J71" i="5" s="1"/>
  <c r="K71" i="5" s="1"/>
  <c r="H70" i="5"/>
  <c r="J70" i="5" s="1"/>
  <c r="K70" i="5" s="1"/>
  <c r="H69" i="5"/>
  <c r="J69" i="5" s="1"/>
  <c r="K69" i="5" s="1"/>
  <c r="H68" i="5"/>
  <c r="J68" i="5" s="1"/>
  <c r="K68" i="5" s="1"/>
  <c r="H67" i="5"/>
  <c r="J67" i="5" s="1"/>
  <c r="K67" i="5" s="1"/>
  <c r="H66" i="5"/>
  <c r="J66" i="5" s="1"/>
  <c r="K66" i="5" s="1"/>
  <c r="H65" i="5"/>
  <c r="J65" i="5" s="1"/>
  <c r="K65" i="5" s="1"/>
  <c r="J64" i="5"/>
  <c r="K64" i="5" s="1"/>
  <c r="H64" i="5"/>
  <c r="M64" i="5" s="1"/>
  <c r="H63" i="5"/>
  <c r="M63" i="5" s="1"/>
  <c r="H62" i="5"/>
  <c r="J62" i="5" s="1"/>
  <c r="K62" i="5" s="1"/>
  <c r="H61" i="5"/>
  <c r="J61" i="5" s="1"/>
  <c r="K61" i="5" s="1"/>
  <c r="H60" i="5"/>
  <c r="J60" i="5" s="1"/>
  <c r="K60" i="5" s="1"/>
  <c r="H59" i="5"/>
  <c r="J59" i="5" s="1"/>
  <c r="K59" i="5" s="1"/>
  <c r="H58" i="5"/>
  <c r="J58" i="5" s="1"/>
  <c r="K58" i="5" s="1"/>
  <c r="H57" i="5"/>
  <c r="J57" i="5" s="1"/>
  <c r="K57" i="5" s="1"/>
  <c r="H56" i="5"/>
  <c r="M56" i="5" s="1"/>
  <c r="H55" i="5"/>
  <c r="J55" i="5" s="1"/>
  <c r="K55" i="5" s="1"/>
  <c r="H54" i="5"/>
  <c r="M54" i="5" s="1"/>
  <c r="M53" i="5"/>
  <c r="H53" i="5"/>
  <c r="J53" i="5" s="1"/>
  <c r="K53" i="5" s="1"/>
  <c r="H52" i="5"/>
  <c r="J52" i="5" s="1"/>
  <c r="K52" i="5" s="1"/>
  <c r="H51" i="5"/>
  <c r="M51" i="5" s="1"/>
  <c r="H50" i="5"/>
  <c r="M50" i="5" s="1"/>
  <c r="H49" i="5"/>
  <c r="M49" i="5" s="1"/>
  <c r="J48" i="5"/>
  <c r="K48" i="5" s="1"/>
  <c r="H48" i="5"/>
  <c r="M48" i="5" s="1"/>
  <c r="H47" i="5"/>
  <c r="M47" i="5" s="1"/>
  <c r="F41" i="5"/>
  <c r="E41" i="5"/>
  <c r="H39" i="5"/>
  <c r="H41" i="5" s="1"/>
  <c r="F36" i="5"/>
  <c r="E36" i="5"/>
  <c r="H34" i="5"/>
  <c r="J34" i="5" s="1"/>
  <c r="K34" i="5" s="1"/>
  <c r="H33" i="5"/>
  <c r="J33" i="5" s="1"/>
  <c r="K33" i="5" s="1"/>
  <c r="H32" i="5"/>
  <c r="J32" i="5" s="1"/>
  <c r="K32" i="5" s="1"/>
  <c r="H31" i="5"/>
  <c r="J31" i="5" s="1"/>
  <c r="K31" i="5" s="1"/>
  <c r="H30" i="5"/>
  <c r="J30" i="5" s="1"/>
  <c r="K30" i="5" s="1"/>
  <c r="H29" i="5"/>
  <c r="J29" i="5" s="1"/>
  <c r="K29" i="5" s="1"/>
  <c r="H28" i="5"/>
  <c r="M28" i="5" s="1"/>
  <c r="H27" i="5"/>
  <c r="J27" i="5" s="1"/>
  <c r="K27" i="5" s="1"/>
  <c r="D22" i="3" s="1"/>
  <c r="H26" i="5"/>
  <c r="J26" i="5" s="1"/>
  <c r="K26" i="5" s="1"/>
  <c r="D21" i="3" s="1"/>
  <c r="H25" i="5"/>
  <c r="J25" i="5" s="1"/>
  <c r="K25" i="5" s="1"/>
  <c r="D20" i="3" s="1"/>
  <c r="H24" i="5"/>
  <c r="M24" i="5" s="1"/>
  <c r="H23" i="5"/>
  <c r="M23" i="5" s="1"/>
  <c r="H22" i="5"/>
  <c r="J22" i="5" s="1"/>
  <c r="K22" i="5" s="1"/>
  <c r="D17" i="3" s="1"/>
  <c r="H21" i="5"/>
  <c r="M21" i="5" s="1"/>
  <c r="H20" i="5"/>
  <c r="M20" i="5" s="1"/>
  <c r="H19" i="5"/>
  <c r="M19" i="5" s="1"/>
  <c r="H18" i="5"/>
  <c r="M18" i="5" s="1"/>
  <c r="H17" i="5"/>
  <c r="J17" i="5" s="1"/>
  <c r="K17" i="5" s="1"/>
  <c r="M16" i="5"/>
  <c r="H16" i="5"/>
  <c r="J16" i="5" s="1"/>
  <c r="K16" i="5" s="1"/>
  <c r="D11" i="3" s="1"/>
  <c r="P11" i="3" s="1"/>
  <c r="H15" i="5"/>
  <c r="M15" i="5" s="1"/>
  <c r="H14" i="5"/>
  <c r="M14" i="5" s="1"/>
  <c r="H13" i="5"/>
  <c r="J13" i="5" s="1"/>
  <c r="K13" i="5" s="1"/>
  <c r="D8" i="3" s="1"/>
  <c r="P8" i="3" s="1"/>
  <c r="M12" i="5"/>
  <c r="H12" i="5"/>
  <c r="J12" i="5" s="1"/>
  <c r="K12" i="5" s="1"/>
  <c r="D7" i="3" s="1"/>
  <c r="P7" i="3" s="1"/>
  <c r="H11" i="5"/>
  <c r="H36" i="5" s="1"/>
  <c r="M13" i="5" l="1"/>
  <c r="J24" i="5"/>
  <c r="K24" i="5" s="1"/>
  <c r="D19" i="3" s="1"/>
  <c r="M145" i="5"/>
  <c r="J28" i="5"/>
  <c r="K28" i="5" s="1"/>
  <c r="D23" i="3" s="1"/>
  <c r="F163" i="5"/>
  <c r="J49" i="5"/>
  <c r="K49" i="5" s="1"/>
  <c r="L49" i="5" s="1"/>
  <c r="M52" i="5"/>
  <c r="J54" i="5"/>
  <c r="K54" i="5" s="1"/>
  <c r="M103" i="5"/>
  <c r="M110" i="5"/>
  <c r="M143" i="5"/>
  <c r="M57" i="5"/>
  <c r="J117" i="5"/>
  <c r="K117" i="5" s="1"/>
  <c r="L52" i="5"/>
  <c r="D30" i="3"/>
  <c r="F30" i="3" s="1"/>
  <c r="D27" i="3"/>
  <c r="F27" i="3" s="1"/>
  <c r="P27" i="3" s="1"/>
  <c r="L61" i="5"/>
  <c r="D39" i="3"/>
  <c r="L54" i="5"/>
  <c r="D32" i="3"/>
  <c r="F32" i="3" s="1"/>
  <c r="P32" i="3" s="1"/>
  <c r="L62" i="5"/>
  <c r="D40" i="3"/>
  <c r="F40" i="3" s="1"/>
  <c r="P40" i="3" s="1"/>
  <c r="L66" i="5"/>
  <c r="D44" i="3"/>
  <c r="F44" i="3" s="1"/>
  <c r="P44" i="3" s="1"/>
  <c r="L74" i="5"/>
  <c r="D52" i="3"/>
  <c r="F52" i="3" s="1"/>
  <c r="P52" i="3" s="1"/>
  <c r="L80" i="5"/>
  <c r="D58" i="3"/>
  <c r="L90" i="5"/>
  <c r="D68" i="3"/>
  <c r="F68" i="3" s="1"/>
  <c r="P68" i="3" s="1"/>
  <c r="L92" i="5"/>
  <c r="D70" i="3"/>
  <c r="F70" i="3" s="1"/>
  <c r="P70" i="3" s="1"/>
  <c r="L94" i="5"/>
  <c r="D72" i="3"/>
  <c r="F72" i="3" s="1"/>
  <c r="L97" i="5"/>
  <c r="D75" i="3"/>
  <c r="F75" i="3" s="1"/>
  <c r="P75" i="3" s="1"/>
  <c r="L60" i="5"/>
  <c r="D38" i="3"/>
  <c r="F38" i="3" s="1"/>
  <c r="P38" i="3" s="1"/>
  <c r="L70" i="5"/>
  <c r="D48" i="3"/>
  <c r="F48" i="3" s="1"/>
  <c r="P48" i="3" s="1"/>
  <c r="L83" i="5"/>
  <c r="D61" i="3"/>
  <c r="J11" i="5"/>
  <c r="K11" i="5" s="1"/>
  <c r="D6" i="3" s="1"/>
  <c r="J15" i="5"/>
  <c r="K15" i="5" s="1"/>
  <c r="D10" i="3" s="1"/>
  <c r="P10" i="3" s="1"/>
  <c r="L17" i="5"/>
  <c r="D12" i="3"/>
  <c r="P12" i="3" s="1"/>
  <c r="M25" i="5"/>
  <c r="M29" i="5"/>
  <c r="M31" i="5"/>
  <c r="M33" i="5"/>
  <c r="J51" i="5"/>
  <c r="K51" i="5" s="1"/>
  <c r="L53" i="5"/>
  <c r="D31" i="3"/>
  <c r="F31" i="3" s="1"/>
  <c r="J56" i="5"/>
  <c r="K56" i="5" s="1"/>
  <c r="L58" i="5"/>
  <c r="D36" i="3"/>
  <c r="F36" i="3" s="1"/>
  <c r="P36" i="3" s="1"/>
  <c r="M60" i="5"/>
  <c r="L67" i="5"/>
  <c r="D45" i="3"/>
  <c r="F45" i="3" s="1"/>
  <c r="P45" i="3" s="1"/>
  <c r="L71" i="5"/>
  <c r="D49" i="3"/>
  <c r="F49" i="3" s="1"/>
  <c r="P49" i="3" s="1"/>
  <c r="F53" i="3"/>
  <c r="P53" i="3"/>
  <c r="J78" i="5"/>
  <c r="K78" i="5" s="1"/>
  <c r="L81" i="5"/>
  <c r="D59" i="3"/>
  <c r="J87" i="5"/>
  <c r="K87" i="5" s="1"/>
  <c r="M88" i="5"/>
  <c r="M90" i="5"/>
  <c r="M92" i="5"/>
  <c r="L95" i="5"/>
  <c r="D73" i="3"/>
  <c r="F73" i="3" s="1"/>
  <c r="P73" i="3" s="1"/>
  <c r="M97" i="5"/>
  <c r="M106" i="5"/>
  <c r="J116" i="5"/>
  <c r="K116" i="5" s="1"/>
  <c r="M119" i="5"/>
  <c r="M11" i="5"/>
  <c r="L48" i="5"/>
  <c r="D26" i="3"/>
  <c r="F26" i="3" s="1"/>
  <c r="L55" i="5"/>
  <c r="D33" i="3"/>
  <c r="F33" i="3" s="1"/>
  <c r="P33" i="3" s="1"/>
  <c r="L59" i="5"/>
  <c r="D37" i="3"/>
  <c r="F37" i="3" s="1"/>
  <c r="P37" i="3" s="1"/>
  <c r="L64" i="5"/>
  <c r="D42" i="3"/>
  <c r="F42" i="3" s="1"/>
  <c r="P42" i="3" s="1"/>
  <c r="L68" i="5"/>
  <c r="D46" i="3"/>
  <c r="F46" i="3" s="1"/>
  <c r="P46" i="3" s="1"/>
  <c r="L84" i="5"/>
  <c r="D62" i="3"/>
  <c r="L89" i="5"/>
  <c r="D67" i="3"/>
  <c r="F67" i="3" s="1"/>
  <c r="P67" i="3" s="1"/>
  <c r="L91" i="5"/>
  <c r="D69" i="3"/>
  <c r="F69" i="3" s="1"/>
  <c r="P69" i="3" s="1"/>
  <c r="L93" i="5"/>
  <c r="D71" i="3"/>
  <c r="F71" i="3" s="1"/>
  <c r="P71" i="3" s="1"/>
  <c r="M95" i="5"/>
  <c r="L98" i="5"/>
  <c r="D76" i="3"/>
  <c r="F76" i="3" s="1"/>
  <c r="P76" i="3" s="1"/>
  <c r="J101" i="5"/>
  <c r="K101" i="5" s="1"/>
  <c r="J109" i="5"/>
  <c r="K109" i="5" s="1"/>
  <c r="M140" i="5"/>
  <c r="M144" i="5"/>
  <c r="M22" i="5"/>
  <c r="M26" i="5"/>
  <c r="M30" i="5"/>
  <c r="M32" i="5"/>
  <c r="E163" i="5"/>
  <c r="J50" i="5"/>
  <c r="K50" i="5" s="1"/>
  <c r="M55" i="5"/>
  <c r="L57" i="5"/>
  <c r="D35" i="3"/>
  <c r="F35" i="3" s="1"/>
  <c r="P35" i="3" s="1"/>
  <c r="M59" i="5"/>
  <c r="J63" i="5"/>
  <c r="K63" i="5" s="1"/>
  <c r="L65" i="5"/>
  <c r="D43" i="3"/>
  <c r="F43" i="3" s="1"/>
  <c r="L69" i="5"/>
  <c r="D47" i="3"/>
  <c r="F47" i="3" s="1"/>
  <c r="L73" i="5"/>
  <c r="D51" i="3"/>
  <c r="F51" i="3" s="1"/>
  <c r="P51" i="3" s="1"/>
  <c r="J79" i="5"/>
  <c r="K79" i="5" s="1"/>
  <c r="J86" i="5"/>
  <c r="K86" i="5" s="1"/>
  <c r="D64" i="3" s="1"/>
  <c r="F64" i="3" s="1"/>
  <c r="P64" i="3" s="1"/>
  <c r="M89" i="5"/>
  <c r="M91" i="5"/>
  <c r="M93" i="5"/>
  <c r="L96" i="5"/>
  <c r="D74" i="3"/>
  <c r="F74" i="3" s="1"/>
  <c r="P74" i="3" s="1"/>
  <c r="J105" i="5"/>
  <c r="K105" i="5" s="1"/>
  <c r="M107" i="5"/>
  <c r="J115" i="5"/>
  <c r="K115" i="5" s="1"/>
  <c r="J147" i="5"/>
  <c r="K147" i="5" s="1"/>
  <c r="H161" i="5"/>
  <c r="G22" i="6"/>
  <c r="H22" i="6"/>
  <c r="C28" i="6"/>
  <c r="J14" i="5"/>
  <c r="K14" i="5" s="1"/>
  <c r="M17" i="5"/>
  <c r="J23" i="5"/>
  <c r="K23" i="5" s="1"/>
  <c r="D18" i="3" s="1"/>
  <c r="J18" i="5"/>
  <c r="K18" i="5" s="1"/>
  <c r="J19" i="5"/>
  <c r="K19" i="5" s="1"/>
  <c r="J20" i="5"/>
  <c r="K20" i="5" s="1"/>
  <c r="J21" i="5"/>
  <c r="K21" i="5" s="1"/>
  <c r="M65" i="5"/>
  <c r="M66" i="5"/>
  <c r="M67" i="5"/>
  <c r="M68" i="5"/>
  <c r="M72" i="5"/>
  <c r="M73" i="5"/>
  <c r="M75" i="5"/>
  <c r="M77" i="5"/>
  <c r="J77" i="5"/>
  <c r="K77" i="5" s="1"/>
  <c r="D55" i="3" s="1"/>
  <c r="M27" i="5"/>
  <c r="M34" i="5"/>
  <c r="M39" i="5"/>
  <c r="M58" i="5"/>
  <c r="M69" i="5"/>
  <c r="M70" i="5"/>
  <c r="M71" i="5"/>
  <c r="M74" i="5"/>
  <c r="H122" i="5"/>
  <c r="H163" i="5" s="1"/>
  <c r="J47" i="5"/>
  <c r="K47" i="5" s="1"/>
  <c r="D25" i="3" s="1"/>
  <c r="F25" i="3" s="1"/>
  <c r="P25" i="3" s="1"/>
  <c r="M76" i="5"/>
  <c r="J76" i="5"/>
  <c r="K76" i="5" s="1"/>
  <c r="D54" i="3" s="1"/>
  <c r="J39" i="5"/>
  <c r="K39" i="5" s="1"/>
  <c r="K41" i="5" s="1"/>
  <c r="M80" i="5"/>
  <c r="M81" i="5"/>
  <c r="M84" i="5"/>
  <c r="J82" i="5"/>
  <c r="K82" i="5" s="1"/>
  <c r="M61" i="5"/>
  <c r="M62" i="5"/>
  <c r="M94" i="5"/>
  <c r="M96" i="5"/>
  <c r="M98" i="5"/>
  <c r="L125" i="5"/>
  <c r="K127" i="5"/>
  <c r="J99" i="5"/>
  <c r="K99" i="5" s="1"/>
  <c r="J100" i="5"/>
  <c r="K100" i="5" s="1"/>
  <c r="D78" i="3" s="1"/>
  <c r="F78" i="3" s="1"/>
  <c r="P78" i="3" s="1"/>
  <c r="J104" i="5"/>
  <c r="K104" i="5" s="1"/>
  <c r="J108" i="5"/>
  <c r="K108" i="5" s="1"/>
  <c r="J112" i="5"/>
  <c r="K112" i="5" s="1"/>
  <c r="M126" i="5"/>
  <c r="H149" i="5"/>
  <c r="J111" i="5"/>
  <c r="K111" i="5" s="1"/>
  <c r="J114" i="5"/>
  <c r="K114" i="5" s="1"/>
  <c r="J120" i="5"/>
  <c r="K120" i="5" s="1"/>
  <c r="J138" i="5"/>
  <c r="K138" i="5" s="1"/>
  <c r="J142" i="5"/>
  <c r="K142" i="5" s="1"/>
  <c r="J146" i="5"/>
  <c r="K146" i="5" s="1"/>
  <c r="P65" i="3" l="1"/>
  <c r="D65" i="3"/>
  <c r="F65" i="3" s="1"/>
  <c r="L50" i="5"/>
  <c r="D28" i="3"/>
  <c r="F28" i="3" s="1"/>
  <c r="P28" i="3" s="1"/>
  <c r="L99" i="5"/>
  <c r="D77" i="3"/>
  <c r="F77" i="3" s="1"/>
  <c r="P77" i="3" s="1"/>
  <c r="L78" i="5"/>
  <c r="D56" i="3"/>
  <c r="L20" i="5"/>
  <c r="D15" i="3"/>
  <c r="P15" i="3" s="1"/>
  <c r="L79" i="5"/>
  <c r="D57" i="3"/>
  <c r="F58" i="3"/>
  <c r="P58" i="3"/>
  <c r="L82" i="5"/>
  <c r="D60" i="3"/>
  <c r="L19" i="5"/>
  <c r="D14" i="3"/>
  <c r="P14" i="3" s="1"/>
  <c r="K36" i="5"/>
  <c r="D9" i="3"/>
  <c r="P9" i="3" s="1"/>
  <c r="P26" i="3"/>
  <c r="H26" i="3"/>
  <c r="L51" i="5"/>
  <c r="D29" i="3"/>
  <c r="F29" i="3" s="1"/>
  <c r="P29" i="3" s="1"/>
  <c r="P6" i="3"/>
  <c r="P54" i="3"/>
  <c r="F54" i="3"/>
  <c r="P55" i="3"/>
  <c r="F55" i="3"/>
  <c r="L18" i="5"/>
  <c r="D13" i="3"/>
  <c r="P13" i="3" s="1"/>
  <c r="P59" i="3"/>
  <c r="F59" i="3"/>
  <c r="L56" i="5"/>
  <c r="D34" i="3"/>
  <c r="F34" i="3" s="1"/>
  <c r="P34" i="3" s="1"/>
  <c r="P61" i="3"/>
  <c r="F61" i="3"/>
  <c r="P72" i="3"/>
  <c r="H72" i="3"/>
  <c r="L21" i="5"/>
  <c r="D16" i="3"/>
  <c r="L63" i="5"/>
  <c r="D41" i="3"/>
  <c r="F41" i="3" s="1"/>
  <c r="P41" i="3" s="1"/>
  <c r="F62" i="3"/>
  <c r="P62" i="3"/>
  <c r="K149" i="5"/>
  <c r="K122" i="5"/>
  <c r="L47" i="5"/>
  <c r="P16" i="3" l="1"/>
  <c r="P57" i="3"/>
  <c r="D24" i="3"/>
  <c r="F57" i="3"/>
  <c r="H57" i="3" s="1"/>
  <c r="F60" i="3"/>
  <c r="P56" i="3"/>
  <c r="F56" i="3"/>
  <c r="M89" i="3"/>
  <c r="M88" i="3"/>
  <c r="M87" i="3"/>
  <c r="M86" i="3"/>
  <c r="M85" i="3"/>
  <c r="M84" i="3"/>
  <c r="F89" i="3"/>
  <c r="F88" i="3"/>
  <c r="F87" i="3"/>
  <c r="F86" i="3"/>
  <c r="H87" i="3" l="1"/>
  <c r="H89" i="3"/>
  <c r="H86" i="3"/>
  <c r="H88" i="3"/>
  <c r="D96" i="3" l="1"/>
  <c r="D97" i="3" s="1"/>
  <c r="H50" i="3" l="1"/>
  <c r="H55" i="3" l="1"/>
  <c r="B55" i="2" l="1"/>
  <c r="D55" i="2" s="1"/>
  <c r="G54" i="2"/>
  <c r="C54" i="2"/>
  <c r="G53" i="2"/>
  <c r="G56" i="2" s="1"/>
  <c r="G58" i="2" s="1"/>
  <c r="C53" i="2"/>
  <c r="B12" i="2"/>
  <c r="B11" i="2"/>
  <c r="H11" i="2" s="1"/>
  <c r="H10" i="2"/>
  <c r="B10" i="2"/>
  <c r="B9" i="2"/>
  <c r="B8" i="2"/>
  <c r="E8" i="2" s="1"/>
  <c r="E7" i="2"/>
  <c r="B7" i="2"/>
  <c r="H7" i="2" s="1"/>
  <c r="B6" i="2"/>
  <c r="C6" i="2" s="1"/>
  <c r="F6" i="2" l="1"/>
  <c r="E23" i="3"/>
  <c r="E19" i="3"/>
  <c r="E22" i="3"/>
  <c r="E18" i="3"/>
  <c r="E21" i="3"/>
  <c r="E17" i="3"/>
  <c r="E20" i="3"/>
  <c r="E7" i="3"/>
  <c r="E10" i="3"/>
  <c r="E6" i="3"/>
  <c r="E15" i="3"/>
  <c r="E9" i="3"/>
  <c r="E8" i="3"/>
  <c r="E11" i="3"/>
  <c r="E6" i="2"/>
  <c r="H6" i="2"/>
  <c r="D6" i="2"/>
  <c r="F9" i="2"/>
  <c r="F7" i="2"/>
  <c r="G9" i="2"/>
  <c r="G8" i="2"/>
  <c r="H9" i="2"/>
  <c r="D12" i="2"/>
  <c r="F8" i="2"/>
  <c r="C7" i="2"/>
  <c r="G7" i="2"/>
  <c r="G6" i="2"/>
  <c r="D7" i="2"/>
  <c r="H8" i="2"/>
  <c r="G10" i="2"/>
  <c r="C32" i="4"/>
  <c r="D32" i="4" s="1"/>
  <c r="B58" i="2"/>
  <c r="B59" i="2" s="1"/>
  <c r="B61" i="2" s="1"/>
  <c r="C55" i="2"/>
  <c r="C11" i="2"/>
  <c r="C10" i="2"/>
  <c r="E12" i="2"/>
  <c r="C8" i="2"/>
  <c r="D9" i="2"/>
  <c r="E10" i="2"/>
  <c r="F11" i="2"/>
  <c r="G12" i="2"/>
  <c r="C12" i="2"/>
  <c r="D11" i="2"/>
  <c r="C9" i="2"/>
  <c r="E11" i="2"/>
  <c r="F12" i="2"/>
  <c r="D8" i="2"/>
  <c r="E9" i="2"/>
  <c r="F10" i="2"/>
  <c r="G11" i="2"/>
  <c r="H12" i="2"/>
  <c r="D10" i="2"/>
  <c r="F13" i="3" l="1"/>
  <c r="H13" i="3" s="1"/>
  <c r="H84" i="3"/>
  <c r="H85" i="3"/>
  <c r="F19" i="3" l="1"/>
  <c r="H34" i="3"/>
  <c r="H46" i="3"/>
  <c r="H33" i="3"/>
  <c r="D79" i="3"/>
  <c r="D80" i="3" s="1"/>
  <c r="H19" i="3" l="1"/>
  <c r="P19" i="3"/>
  <c r="F10" i="3"/>
  <c r="H10" i="3" s="1"/>
  <c r="H54" i="3"/>
  <c r="H61" i="3"/>
  <c r="H58" i="3"/>
  <c r="H60" i="3"/>
  <c r="H62" i="3"/>
  <c r="H59" i="3"/>
  <c r="H56" i="3"/>
  <c r="H53" i="3"/>
  <c r="H27" i="3"/>
  <c r="H47" i="3"/>
  <c r="H45" i="3"/>
  <c r="H30" i="3"/>
  <c r="F7" i="3"/>
  <c r="H7" i="3" s="1"/>
  <c r="F22" i="3"/>
  <c r="F9" i="3"/>
  <c r="H9" i="3" s="1"/>
  <c r="H66" i="3"/>
  <c r="H77" i="3"/>
  <c r="H74" i="3"/>
  <c r="F18" i="3"/>
  <c r="H51" i="3"/>
  <c r="F20" i="3"/>
  <c r="H32" i="3"/>
  <c r="H71" i="3"/>
  <c r="H73" i="3"/>
  <c r="H63" i="3"/>
  <c r="H40" i="3"/>
  <c r="H64" i="3"/>
  <c r="H31" i="3"/>
  <c r="H44" i="3"/>
  <c r="H28" i="3"/>
  <c r="H29" i="3"/>
  <c r="F21" i="3"/>
  <c r="H41" i="3"/>
  <c r="H35" i="3"/>
  <c r="H43" i="3"/>
  <c r="H42" i="3"/>
  <c r="H37" i="3"/>
  <c r="H69" i="3"/>
  <c r="H39" i="3"/>
  <c r="H38" i="3"/>
  <c r="H25" i="3"/>
  <c r="F16" i="3"/>
  <c r="H16" i="3" s="1"/>
  <c r="H48" i="3"/>
  <c r="F6" i="3"/>
  <c r="F12" i="3"/>
  <c r="H12" i="3" s="1"/>
  <c r="H70" i="3"/>
  <c r="F17" i="3"/>
  <c r="H36" i="3"/>
  <c r="H78" i="3"/>
  <c r="F14" i="3"/>
  <c r="H14" i="3" s="1"/>
  <c r="H52" i="3"/>
  <c r="H76" i="3"/>
  <c r="F23" i="3"/>
  <c r="H75" i="3"/>
  <c r="H67" i="3"/>
  <c r="F15" i="3"/>
  <c r="H15" i="3" s="1"/>
  <c r="H65" i="3"/>
  <c r="F11" i="3"/>
  <c r="H11" i="3" s="1"/>
  <c r="F8" i="3"/>
  <c r="H8" i="3" s="1"/>
  <c r="H68" i="3"/>
  <c r="H18" i="3" l="1"/>
  <c r="P18" i="3"/>
  <c r="H21" i="3"/>
  <c r="P21" i="3"/>
  <c r="H20" i="3"/>
  <c r="P20" i="3"/>
  <c r="H23" i="3"/>
  <c r="P23" i="3"/>
  <c r="H17" i="3"/>
  <c r="P17" i="3"/>
  <c r="H22" i="3"/>
  <c r="P22" i="3"/>
  <c r="F24" i="3"/>
  <c r="F79" i="3"/>
  <c r="H6" i="3"/>
  <c r="H49" i="3"/>
  <c r="H79" i="3" s="1"/>
  <c r="P79" i="3"/>
  <c r="H24" i="3" l="1"/>
  <c r="H80" i="3" s="1"/>
  <c r="D99" i="3" s="1"/>
  <c r="P24" i="3"/>
  <c r="P80" i="3" s="1"/>
  <c r="F80" i="3"/>
  <c r="D98" i="3" s="1"/>
  <c r="I72" i="3" l="1"/>
  <c r="I55" i="3"/>
  <c r="X55" i="3" s="1"/>
  <c r="I57" i="3"/>
  <c r="X57" i="3" s="1"/>
  <c r="I26" i="3"/>
  <c r="X26" i="3" s="1"/>
  <c r="I50" i="3"/>
  <c r="X50" i="3" s="1"/>
  <c r="I84" i="3"/>
  <c r="I13" i="3"/>
  <c r="X13" i="3" s="1"/>
  <c r="I14" i="3"/>
  <c r="X14" i="3" s="1"/>
  <c r="I67" i="3"/>
  <c r="X67" i="3" s="1"/>
  <c r="I27" i="3"/>
  <c r="X27" i="3" s="1"/>
  <c r="I37" i="3"/>
  <c r="X37" i="3" s="1"/>
  <c r="I12" i="3"/>
  <c r="X12" i="3" s="1"/>
  <c r="I60" i="3"/>
  <c r="I33" i="3"/>
  <c r="X33" i="3" s="1"/>
  <c r="I78" i="3"/>
  <c r="X78" i="3" s="1"/>
  <c r="I30" i="3"/>
  <c r="X30" i="3" s="1"/>
  <c r="I42" i="3"/>
  <c r="X42" i="3" s="1"/>
  <c r="I51" i="3"/>
  <c r="X51" i="3" s="1"/>
  <c r="I66" i="3"/>
  <c r="X66" i="3" s="1"/>
  <c r="I52" i="3"/>
  <c r="X52" i="3" s="1"/>
  <c r="I40" i="3"/>
  <c r="X40" i="3" s="1"/>
  <c r="I10" i="3"/>
  <c r="X10" i="3" s="1"/>
  <c r="I70" i="3"/>
  <c r="X70" i="3" s="1"/>
  <c r="I64" i="3"/>
  <c r="X64" i="3" s="1"/>
  <c r="I36" i="3"/>
  <c r="X36" i="3" s="1"/>
  <c r="I41" i="3"/>
  <c r="X41" i="3" s="1"/>
  <c r="I58" i="3"/>
  <c r="X58" i="3" s="1"/>
  <c r="I21" i="3"/>
  <c r="X21" i="3" s="1"/>
  <c r="I44" i="3"/>
  <c r="X44" i="3" s="1"/>
  <c r="I17" i="3"/>
  <c r="X17" i="3" s="1"/>
  <c r="I56" i="3"/>
  <c r="X56" i="3" s="1"/>
  <c r="I59" i="3"/>
  <c r="X59" i="3" s="1"/>
  <c r="I73" i="3"/>
  <c r="X73" i="3" s="1"/>
  <c r="I15" i="3"/>
  <c r="X15" i="3" s="1"/>
  <c r="I75" i="3"/>
  <c r="X75" i="3" s="1"/>
  <c r="I61" i="3"/>
  <c r="X61" i="3" s="1"/>
  <c r="I45" i="3"/>
  <c r="X45" i="3" s="1"/>
  <c r="I34" i="3"/>
  <c r="X34" i="3" s="1"/>
  <c r="I18" i="3"/>
  <c r="X18" i="3" s="1"/>
  <c r="I11" i="3"/>
  <c r="X11" i="3" s="1"/>
  <c r="I71" i="3"/>
  <c r="X71" i="3" s="1"/>
  <c r="I7" i="3"/>
  <c r="X7" i="3" s="1"/>
  <c r="I65" i="3"/>
  <c r="X65" i="3" s="1"/>
  <c r="I43" i="3"/>
  <c r="X43" i="3" s="1"/>
  <c r="I31" i="3"/>
  <c r="X31" i="3" s="1"/>
  <c r="I16" i="3"/>
  <c r="X16" i="3" s="1"/>
  <c r="I76" i="3"/>
  <c r="X76" i="3" s="1"/>
  <c r="I62" i="3"/>
  <c r="X62" i="3" s="1"/>
  <c r="I46" i="3"/>
  <c r="X46" i="3" s="1"/>
  <c r="I35" i="3"/>
  <c r="X35" i="3" s="1"/>
  <c r="I28" i="3"/>
  <c r="X28" i="3" s="1"/>
  <c r="I85" i="3"/>
  <c r="I6" i="3"/>
  <c r="I74" i="3"/>
  <c r="X74" i="3" s="1"/>
  <c r="I38" i="3"/>
  <c r="X38" i="3" s="1"/>
  <c r="I23" i="3"/>
  <c r="X23" i="3" s="1"/>
  <c r="I8" i="3"/>
  <c r="X8" i="3" s="1"/>
  <c r="I68" i="3"/>
  <c r="X68" i="3" s="1"/>
  <c r="I53" i="3"/>
  <c r="X53" i="3" s="1"/>
  <c r="I22" i="3"/>
  <c r="X22" i="3" s="1"/>
  <c r="I19" i="3"/>
  <c r="X19" i="3" s="1"/>
  <c r="I20" i="3"/>
  <c r="X20" i="3" s="1"/>
  <c r="I32" i="3"/>
  <c r="X32" i="3" s="1"/>
  <c r="I77" i="3"/>
  <c r="X77" i="3" s="1"/>
  <c r="I63" i="3"/>
  <c r="X63" i="3" s="1"/>
  <c r="I47" i="3"/>
  <c r="X47" i="3" s="1"/>
  <c r="I29" i="3"/>
  <c r="X29" i="3" s="1"/>
  <c r="I49" i="3"/>
  <c r="X49" i="3" s="1"/>
  <c r="I39" i="3"/>
  <c r="X39" i="3" s="1"/>
  <c r="I25" i="3"/>
  <c r="I9" i="3"/>
  <c r="X9" i="3" s="1"/>
  <c r="I69" i="3"/>
  <c r="X69" i="3" s="1"/>
  <c r="I54" i="3"/>
  <c r="X54" i="3" s="1"/>
  <c r="I48" i="3"/>
  <c r="X48" i="3" s="1"/>
  <c r="I87" i="3"/>
  <c r="J87" i="3" s="1"/>
  <c r="K87" i="3" s="1"/>
  <c r="I89" i="3"/>
  <c r="J89" i="3" s="1"/>
  <c r="K89" i="3" s="1"/>
  <c r="I86" i="3"/>
  <c r="J86" i="3" s="1"/>
  <c r="K86" i="3" s="1"/>
  <c r="I88" i="3"/>
  <c r="J88" i="3" s="1"/>
  <c r="K88" i="3" s="1"/>
  <c r="J25" i="3" l="1"/>
  <c r="X25" i="3"/>
  <c r="J6" i="3"/>
  <c r="K6" i="3" s="1"/>
  <c r="L6" i="3" s="1"/>
  <c r="X6" i="3"/>
  <c r="J60" i="3"/>
  <c r="X60" i="3"/>
  <c r="J72" i="3"/>
  <c r="K72" i="3" s="1"/>
  <c r="X72" i="3"/>
  <c r="J84" i="3"/>
  <c r="K84" i="3" s="1"/>
  <c r="J85" i="3"/>
  <c r="K85" i="3" s="1"/>
  <c r="L72" i="3"/>
  <c r="N72" i="3" s="1"/>
  <c r="J46" i="3"/>
  <c r="K46" i="3" s="1"/>
  <c r="L46" i="3" s="1"/>
  <c r="J71" i="3"/>
  <c r="K71" i="3" s="1"/>
  <c r="J44" i="3"/>
  <c r="K44" i="3" s="1"/>
  <c r="J36" i="3"/>
  <c r="K36" i="3" s="1"/>
  <c r="J51" i="3"/>
  <c r="K51" i="3" s="1"/>
  <c r="L51" i="3" s="1"/>
  <c r="J78" i="3"/>
  <c r="K78" i="3" s="1"/>
  <c r="J37" i="3"/>
  <c r="K37" i="3" s="1"/>
  <c r="J13" i="3"/>
  <c r="K13" i="3" s="1"/>
  <c r="L13" i="3" s="1"/>
  <c r="N13" i="3" s="1"/>
  <c r="J57" i="3"/>
  <c r="K57" i="3" s="1"/>
  <c r="J49" i="3"/>
  <c r="K49" i="3" s="1"/>
  <c r="J45" i="3"/>
  <c r="K45" i="3" s="1"/>
  <c r="J63" i="3"/>
  <c r="K63" i="3" s="1"/>
  <c r="J22" i="3"/>
  <c r="K22" i="3" s="1"/>
  <c r="J23" i="3"/>
  <c r="K23" i="3" s="1"/>
  <c r="L23" i="3" s="1"/>
  <c r="J62" i="3"/>
  <c r="K62" i="3" s="1"/>
  <c r="J61" i="3"/>
  <c r="K61" i="3" s="1"/>
  <c r="J21" i="3"/>
  <c r="K21" i="3" s="1"/>
  <c r="L21" i="3" s="1"/>
  <c r="J64" i="3"/>
  <c r="K64" i="3" s="1"/>
  <c r="J40" i="3"/>
  <c r="K40" i="3" s="1"/>
  <c r="J42" i="3"/>
  <c r="K42" i="3" s="1"/>
  <c r="J33" i="3"/>
  <c r="K33" i="3" s="1"/>
  <c r="J27" i="3"/>
  <c r="K27" i="3" s="1"/>
  <c r="J55" i="3"/>
  <c r="K55" i="3" s="1"/>
  <c r="L55" i="3" s="1"/>
  <c r="J9" i="3"/>
  <c r="K9" i="3" s="1"/>
  <c r="L9" i="3" s="1"/>
  <c r="J32" i="3"/>
  <c r="K32" i="3" s="1"/>
  <c r="J43" i="3"/>
  <c r="K43" i="3" s="1"/>
  <c r="L43" i="3" s="1"/>
  <c r="J59" i="3"/>
  <c r="K59" i="3" s="1"/>
  <c r="L59" i="3" s="1"/>
  <c r="J39" i="3"/>
  <c r="K39" i="3" s="1"/>
  <c r="L39" i="3" s="1"/>
  <c r="J77" i="3"/>
  <c r="K77" i="3" s="1"/>
  <c r="J53" i="3"/>
  <c r="K53" i="3" s="1"/>
  <c r="L53" i="3" s="1"/>
  <c r="J38" i="3"/>
  <c r="K38" i="3" s="1"/>
  <c r="L38" i="3" s="1"/>
  <c r="J28" i="3"/>
  <c r="K28" i="3" s="1"/>
  <c r="J76" i="3"/>
  <c r="K76" i="3" s="1"/>
  <c r="J65" i="3"/>
  <c r="K65" i="3" s="1"/>
  <c r="J18" i="3"/>
  <c r="K18" i="3" s="1"/>
  <c r="J75" i="3"/>
  <c r="K75" i="3" s="1"/>
  <c r="J56" i="3"/>
  <c r="K56" i="3" s="1"/>
  <c r="L56" i="3" s="1"/>
  <c r="J58" i="3"/>
  <c r="K58" i="3" s="1"/>
  <c r="J70" i="3"/>
  <c r="K70" i="3" s="1"/>
  <c r="L70" i="3" s="1"/>
  <c r="J52" i="3"/>
  <c r="K52" i="3" s="1"/>
  <c r="J30" i="3"/>
  <c r="K30" i="3" s="1"/>
  <c r="L30" i="3" s="1"/>
  <c r="N30" i="3" s="1"/>
  <c r="K60" i="3"/>
  <c r="L60" i="3" s="1"/>
  <c r="J67" i="3"/>
  <c r="K67" i="3" s="1"/>
  <c r="J50" i="3"/>
  <c r="K50" i="3" s="1"/>
  <c r="J47" i="3"/>
  <c r="K47" i="3" s="1"/>
  <c r="L47" i="3" s="1"/>
  <c r="J8" i="3"/>
  <c r="K8" i="3" s="1"/>
  <c r="L8" i="3" s="1"/>
  <c r="J31" i="3"/>
  <c r="K31" i="3" s="1"/>
  <c r="L31" i="3" s="1"/>
  <c r="J73" i="3"/>
  <c r="K73" i="3" s="1"/>
  <c r="J48" i="3"/>
  <c r="K48" i="3" s="1"/>
  <c r="J11" i="3"/>
  <c r="K11" i="3" s="1"/>
  <c r="L11" i="3" s="1"/>
  <c r="J54" i="3"/>
  <c r="K54" i="3" s="1"/>
  <c r="J29" i="3"/>
  <c r="K29" i="3" s="1"/>
  <c r="J20" i="3"/>
  <c r="K20" i="3" s="1"/>
  <c r="J69" i="3"/>
  <c r="K69" i="3" s="1"/>
  <c r="L69" i="3" s="1"/>
  <c r="J19" i="3"/>
  <c r="K19" i="3" s="1"/>
  <c r="L19" i="3" s="1"/>
  <c r="J68" i="3"/>
  <c r="K68" i="3" s="1"/>
  <c r="L68" i="3" s="1"/>
  <c r="J74" i="3"/>
  <c r="K74" i="3" s="1"/>
  <c r="J35" i="3"/>
  <c r="K35" i="3" s="1"/>
  <c r="J16" i="3"/>
  <c r="K16" i="3" s="1"/>
  <c r="J7" i="3"/>
  <c r="K7" i="3" s="1"/>
  <c r="L7" i="3" s="1"/>
  <c r="J34" i="3"/>
  <c r="K34" i="3" s="1"/>
  <c r="L34" i="3" s="1"/>
  <c r="J15" i="3"/>
  <c r="K15" i="3" s="1"/>
  <c r="L15" i="3" s="1"/>
  <c r="J17" i="3"/>
  <c r="K17" i="3" s="1"/>
  <c r="L17" i="3" s="1"/>
  <c r="J41" i="3"/>
  <c r="K41" i="3" s="1"/>
  <c r="J10" i="3"/>
  <c r="K10" i="3" s="1"/>
  <c r="L10" i="3" s="1"/>
  <c r="J66" i="3"/>
  <c r="K66" i="3" s="1"/>
  <c r="J12" i="3"/>
  <c r="K12" i="3" s="1"/>
  <c r="L12" i="3" s="1"/>
  <c r="J14" i="3"/>
  <c r="K14" i="3" s="1"/>
  <c r="J26" i="3"/>
  <c r="K26" i="3" s="1"/>
  <c r="I24" i="3"/>
  <c r="K25" i="3"/>
  <c r="L25" i="3" s="1"/>
  <c r="I79" i="3"/>
  <c r="N88" i="3"/>
  <c r="C68" i="4"/>
  <c r="L88" i="3"/>
  <c r="N86" i="3"/>
  <c r="C64" i="4"/>
  <c r="L86" i="3"/>
  <c r="N89" i="3"/>
  <c r="C69" i="4"/>
  <c r="L89" i="3"/>
  <c r="N87" i="3"/>
  <c r="C65" i="4"/>
  <c r="L87" i="3"/>
  <c r="L84" i="3" l="1"/>
  <c r="C15" i="4" s="1"/>
  <c r="D15" i="4" s="1"/>
  <c r="O84" i="3" s="1"/>
  <c r="N84" i="3"/>
  <c r="L85" i="3"/>
  <c r="C16" i="4" s="1"/>
  <c r="D16" i="4" s="1"/>
  <c r="O85" i="3" s="1"/>
  <c r="N85" i="3"/>
  <c r="U72" i="3"/>
  <c r="V72" i="3" s="1"/>
  <c r="W72" i="3" s="1"/>
  <c r="Y72" i="3" s="1"/>
  <c r="S72" i="3"/>
  <c r="L20" i="3"/>
  <c r="N20" i="3" s="1"/>
  <c r="N47" i="3"/>
  <c r="L75" i="3"/>
  <c r="N75" i="3" s="1"/>
  <c r="N39" i="3"/>
  <c r="L27" i="3"/>
  <c r="N27" i="3" s="1"/>
  <c r="C29" i="4"/>
  <c r="D29" i="4" s="1"/>
  <c r="C28" i="4"/>
  <c r="C27" i="4"/>
  <c r="L49" i="3"/>
  <c r="N49" i="3" s="1"/>
  <c r="L78" i="3"/>
  <c r="N78" i="3" s="1"/>
  <c r="L44" i="3"/>
  <c r="N44" i="3" s="1"/>
  <c r="L16" i="3"/>
  <c r="N16" i="3" s="1"/>
  <c r="S16" i="3" s="1"/>
  <c r="L26" i="3"/>
  <c r="N26" i="3" s="1"/>
  <c r="L66" i="3"/>
  <c r="N66" i="3" s="1"/>
  <c r="L35" i="3"/>
  <c r="N35" i="3" s="1"/>
  <c r="L29" i="3"/>
  <c r="N29" i="3" s="1"/>
  <c r="L50" i="3"/>
  <c r="N50" i="3" s="1"/>
  <c r="L28" i="3"/>
  <c r="L64" i="3"/>
  <c r="N64" i="3" s="1"/>
  <c r="L14" i="3"/>
  <c r="N14" i="3" s="1"/>
  <c r="C45" i="4"/>
  <c r="C53" i="4"/>
  <c r="C83" i="4"/>
  <c r="C75" i="4"/>
  <c r="C37" i="4"/>
  <c r="L74" i="3"/>
  <c r="N74" i="3" s="1"/>
  <c r="L54" i="3"/>
  <c r="N54" i="3" s="1"/>
  <c r="L67" i="3"/>
  <c r="N67" i="3" s="1"/>
  <c r="L18" i="3"/>
  <c r="N18" i="3" s="1"/>
  <c r="C84" i="4"/>
  <c r="C54" i="4"/>
  <c r="C46" i="4"/>
  <c r="C38" i="4"/>
  <c r="C76" i="4"/>
  <c r="D76" i="4" s="1"/>
  <c r="L33" i="3"/>
  <c r="N33" i="3" s="1"/>
  <c r="L22" i="3"/>
  <c r="N22" i="3" s="1"/>
  <c r="L57" i="3"/>
  <c r="N57" i="3" s="1"/>
  <c r="S57" i="3" s="1"/>
  <c r="C79" i="4"/>
  <c r="C87" i="4"/>
  <c r="C41" i="4"/>
  <c r="D41" i="4" s="1"/>
  <c r="C49" i="4"/>
  <c r="C57" i="4"/>
  <c r="L71" i="3"/>
  <c r="N71" i="3" s="1"/>
  <c r="L73" i="3"/>
  <c r="N73" i="3" s="1"/>
  <c r="N31" i="3"/>
  <c r="L52" i="3"/>
  <c r="N52" i="3" s="1"/>
  <c r="L32" i="3"/>
  <c r="N32" i="3" s="1"/>
  <c r="C73" i="4"/>
  <c r="C35" i="4"/>
  <c r="D35" i="4" s="1"/>
  <c r="C43" i="4"/>
  <c r="C51" i="4"/>
  <c r="C81" i="4"/>
  <c r="L41" i="3"/>
  <c r="N41" i="3" s="1"/>
  <c r="L48" i="3"/>
  <c r="N48" i="3" s="1"/>
  <c r="N60" i="3"/>
  <c r="L58" i="3"/>
  <c r="N58" i="3" s="1"/>
  <c r="U58" i="3" s="1"/>
  <c r="V58" i="3" s="1"/>
  <c r="W58" i="3" s="1"/>
  <c r="Y58" i="3" s="1"/>
  <c r="L65" i="3"/>
  <c r="N65" i="3" s="1"/>
  <c r="N43" i="3"/>
  <c r="N55" i="3"/>
  <c r="L42" i="3"/>
  <c r="N42" i="3" s="1"/>
  <c r="L61" i="3"/>
  <c r="N61" i="3" s="1"/>
  <c r="L63" i="3"/>
  <c r="N63" i="3" s="1"/>
  <c r="C78" i="4"/>
  <c r="C40" i="4"/>
  <c r="C48" i="4"/>
  <c r="C56" i="4"/>
  <c r="C86" i="4"/>
  <c r="L76" i="3"/>
  <c r="N76" i="3" s="1"/>
  <c r="L77" i="3"/>
  <c r="N77" i="3" s="1"/>
  <c r="L40" i="3"/>
  <c r="N40" i="3" s="1"/>
  <c r="L62" i="3"/>
  <c r="N62" i="3" s="1"/>
  <c r="L45" i="3"/>
  <c r="N45" i="3" s="1"/>
  <c r="L37" i="3"/>
  <c r="N37" i="3" s="1"/>
  <c r="L36" i="3"/>
  <c r="N36" i="3" s="1"/>
  <c r="C23" i="4"/>
  <c r="C22" i="4"/>
  <c r="N19" i="3"/>
  <c r="C14" i="4"/>
  <c r="D14" i="4" s="1"/>
  <c r="N11" i="3"/>
  <c r="N53" i="3"/>
  <c r="C62" i="4"/>
  <c r="D62" i="4" s="1"/>
  <c r="U13" i="3"/>
  <c r="V13" i="3" s="1"/>
  <c r="W13" i="3" s="1"/>
  <c r="Y13" i="3" s="1"/>
  <c r="S13" i="3"/>
  <c r="N46" i="3"/>
  <c r="C24" i="4"/>
  <c r="D24" i="4" s="1"/>
  <c r="N17" i="3"/>
  <c r="N69" i="3"/>
  <c r="N56" i="3"/>
  <c r="C66" i="4"/>
  <c r="D66" i="4" s="1"/>
  <c r="C18" i="4"/>
  <c r="D18" i="4" s="1"/>
  <c r="N15" i="3"/>
  <c r="N34" i="3"/>
  <c r="N23" i="3"/>
  <c r="N10" i="3"/>
  <c r="C13" i="4"/>
  <c r="D13" i="4" s="1"/>
  <c r="N12" i="3"/>
  <c r="C17" i="4"/>
  <c r="D17" i="4" s="1"/>
  <c r="C19" i="4"/>
  <c r="D19" i="4" s="1"/>
  <c r="O7" i="3" s="1"/>
  <c r="N7" i="3"/>
  <c r="N68" i="3"/>
  <c r="N8" i="3"/>
  <c r="C11" i="4"/>
  <c r="D11" i="4" s="1"/>
  <c r="N70" i="3"/>
  <c r="N38" i="3"/>
  <c r="D38" i="4"/>
  <c r="N59" i="3"/>
  <c r="C70" i="4"/>
  <c r="D70" i="4" s="1"/>
  <c r="O60" i="3" s="1"/>
  <c r="N9" i="3"/>
  <c r="C12" i="4"/>
  <c r="D12" i="4" s="1"/>
  <c r="C7" i="4"/>
  <c r="D7" i="4" s="1"/>
  <c r="N21" i="3"/>
  <c r="N51" i="3"/>
  <c r="D68" i="4"/>
  <c r="O88" i="3" s="1"/>
  <c r="D64" i="4"/>
  <c r="O86" i="3" s="1"/>
  <c r="D69" i="4"/>
  <c r="D65" i="4"/>
  <c r="O87" i="3" s="1"/>
  <c r="I80" i="3"/>
  <c r="D84" i="4"/>
  <c r="N25" i="3"/>
  <c r="C10" i="4"/>
  <c r="D10" i="4" s="1"/>
  <c r="O6" i="3" s="1"/>
  <c r="Q6" i="3" s="1"/>
  <c r="R6" i="3" s="1"/>
  <c r="N6" i="3"/>
  <c r="O55" i="3" l="1"/>
  <c r="O54" i="3"/>
  <c r="Q54" i="3" s="1"/>
  <c r="R54" i="3" s="1"/>
  <c r="O51" i="3"/>
  <c r="Q51" i="3" s="1"/>
  <c r="R51" i="3" s="1"/>
  <c r="O52" i="3"/>
  <c r="Q52" i="3" s="1"/>
  <c r="R52" i="3" s="1"/>
  <c r="O27" i="3"/>
  <c r="Q27" i="3" s="1"/>
  <c r="R27" i="3" s="1"/>
  <c r="O26" i="3"/>
  <c r="Q26" i="3" s="1"/>
  <c r="R26" i="3" s="1"/>
  <c r="O25" i="3"/>
  <c r="Q25" i="3" s="1"/>
  <c r="R25" i="3" s="1"/>
  <c r="O89" i="3"/>
  <c r="O61" i="3"/>
  <c r="Q61" i="3" s="1"/>
  <c r="R61" i="3" s="1"/>
  <c r="Q60" i="3"/>
  <c r="R60" i="3" s="1"/>
  <c r="O62" i="3"/>
  <c r="Q62" i="3" s="1"/>
  <c r="R62" i="3" s="1"/>
  <c r="O59" i="3"/>
  <c r="Q59" i="3" s="1"/>
  <c r="R59" i="3" s="1"/>
  <c r="O21" i="3"/>
  <c r="Q21" i="3" s="1"/>
  <c r="O66" i="3"/>
  <c r="Q66" i="3" s="1"/>
  <c r="R66" i="3" s="1"/>
  <c r="O65" i="3"/>
  <c r="Q65" i="3" s="1"/>
  <c r="R65" i="3" s="1"/>
  <c r="O39" i="3"/>
  <c r="R39" i="3" s="1"/>
  <c r="O38" i="3"/>
  <c r="Q38" i="3" s="1"/>
  <c r="R38" i="3" s="1"/>
  <c r="O40" i="3"/>
  <c r="Q40" i="3" s="1"/>
  <c r="R40" i="3" s="1"/>
  <c r="O41" i="3"/>
  <c r="Q41" i="3" s="1"/>
  <c r="R41" i="3" s="1"/>
  <c r="O57" i="3"/>
  <c r="Q57" i="3" s="1"/>
  <c r="R57" i="3" s="1"/>
  <c r="O56" i="3"/>
  <c r="Q56" i="3" s="1"/>
  <c r="R56" i="3" s="1"/>
  <c r="O58" i="3"/>
  <c r="Q58" i="3" s="1"/>
  <c r="R58" i="3" s="1"/>
  <c r="Q55" i="3"/>
  <c r="R55" i="3" s="1"/>
  <c r="O53" i="3"/>
  <c r="Q53" i="3" s="1"/>
  <c r="R53" i="3" s="1"/>
  <c r="C61" i="4"/>
  <c r="D61" i="4" s="1"/>
  <c r="C60" i="4"/>
  <c r="D60" i="4" s="1"/>
  <c r="U50" i="3"/>
  <c r="V50" i="3" s="1"/>
  <c r="W50" i="3" s="1"/>
  <c r="Y50" i="3" s="1"/>
  <c r="S50" i="3"/>
  <c r="U63" i="3"/>
  <c r="V63" i="3" s="1"/>
  <c r="W63" i="3" s="1"/>
  <c r="Y63" i="3" s="1"/>
  <c r="S63" i="3"/>
  <c r="U43" i="3"/>
  <c r="W43" i="3" s="1"/>
  <c r="Y43" i="3" s="1"/>
  <c r="S26" i="3"/>
  <c r="U26" i="3"/>
  <c r="V26" i="3" s="1"/>
  <c r="W26" i="3" s="1"/>
  <c r="Y26" i="3" s="1"/>
  <c r="U22" i="3"/>
  <c r="V22" i="3" s="1"/>
  <c r="W22" i="3" s="1"/>
  <c r="Y22" i="3" s="1"/>
  <c r="S22" i="3"/>
  <c r="U35" i="3"/>
  <c r="V35" i="3" s="1"/>
  <c r="W35" i="3" s="1"/>
  <c r="Y35" i="3" s="1"/>
  <c r="S35" i="3"/>
  <c r="U41" i="3"/>
  <c r="V41" i="3" s="1"/>
  <c r="W41" i="3" s="1"/>
  <c r="Y41" i="3" s="1"/>
  <c r="S41" i="3"/>
  <c r="S64" i="3"/>
  <c r="U64" i="3"/>
  <c r="V64" i="3" s="1"/>
  <c r="W64" i="3" s="1"/>
  <c r="Y64" i="3" s="1"/>
  <c r="S42" i="3"/>
  <c r="U42" i="3"/>
  <c r="V42" i="3" s="1"/>
  <c r="W42" i="3" s="1"/>
  <c r="Y42" i="3" s="1"/>
  <c r="U78" i="3"/>
  <c r="V78" i="3" s="1"/>
  <c r="W78" i="3" s="1"/>
  <c r="Y78" i="3" s="1"/>
  <c r="S78" i="3"/>
  <c r="U49" i="3"/>
  <c r="V49" i="3" s="1"/>
  <c r="W49" i="3" s="1"/>
  <c r="Y49" i="3" s="1"/>
  <c r="S49" i="3"/>
  <c r="U27" i="3"/>
  <c r="V27" i="3" s="1"/>
  <c r="W27" i="3" s="1"/>
  <c r="Y27" i="3" s="1"/>
  <c r="S27" i="3"/>
  <c r="U47" i="3"/>
  <c r="W47" i="3" s="1"/>
  <c r="Y47" i="3" s="1"/>
  <c r="U62" i="3"/>
  <c r="V62" i="3" s="1"/>
  <c r="W62" i="3" s="1"/>
  <c r="Y62" i="3" s="1"/>
  <c r="S62" i="3"/>
  <c r="U61" i="3"/>
  <c r="V61" i="3" s="1"/>
  <c r="W61" i="3" s="1"/>
  <c r="Y61" i="3" s="1"/>
  <c r="S61" i="3"/>
  <c r="U48" i="3"/>
  <c r="V48" i="3" s="1"/>
  <c r="W48" i="3" s="1"/>
  <c r="Y48" i="3" s="1"/>
  <c r="S48" i="3"/>
  <c r="S32" i="3"/>
  <c r="U32" i="3"/>
  <c r="V32" i="3" s="1"/>
  <c r="W32" i="3" s="1"/>
  <c r="Y32" i="3" s="1"/>
  <c r="U71" i="3"/>
  <c r="V71" i="3" s="1"/>
  <c r="W71" i="3" s="1"/>
  <c r="Y71" i="3" s="1"/>
  <c r="S71" i="3"/>
  <c r="U67" i="3"/>
  <c r="V67" i="3" s="1"/>
  <c r="W67" i="3" s="1"/>
  <c r="Y67" i="3" s="1"/>
  <c r="S67" i="3"/>
  <c r="U74" i="3"/>
  <c r="V74" i="3" s="1"/>
  <c r="W74" i="3" s="1"/>
  <c r="Y74" i="3" s="1"/>
  <c r="S74" i="3"/>
  <c r="U29" i="3"/>
  <c r="V29" i="3" s="1"/>
  <c r="W29" i="3" s="1"/>
  <c r="Y29" i="3" s="1"/>
  <c r="S29" i="3"/>
  <c r="U44" i="3"/>
  <c r="V44" i="3" s="1"/>
  <c r="W44" i="3" s="1"/>
  <c r="Y44" i="3" s="1"/>
  <c r="S44" i="3"/>
  <c r="U39" i="3"/>
  <c r="U20" i="3"/>
  <c r="V20" i="3" s="1"/>
  <c r="W20" i="3" s="1"/>
  <c r="Y20" i="3" s="1"/>
  <c r="S20" i="3"/>
  <c r="U76" i="3"/>
  <c r="V76" i="3" s="1"/>
  <c r="W76" i="3" s="1"/>
  <c r="Y76" i="3" s="1"/>
  <c r="S76" i="3"/>
  <c r="U18" i="3"/>
  <c r="V18" i="3" s="1"/>
  <c r="W18" i="3" s="1"/>
  <c r="Y18" i="3" s="1"/>
  <c r="U36" i="3"/>
  <c r="V36" i="3" s="1"/>
  <c r="W36" i="3" s="1"/>
  <c r="Y36" i="3" s="1"/>
  <c r="S36" i="3"/>
  <c r="U33" i="3"/>
  <c r="V33" i="3" s="1"/>
  <c r="W33" i="3" s="1"/>
  <c r="Y33" i="3" s="1"/>
  <c r="S33" i="3"/>
  <c r="U16" i="3"/>
  <c r="V16" i="3" s="1"/>
  <c r="W16" i="3" s="1"/>
  <c r="Y16" i="3" s="1"/>
  <c r="U75" i="3"/>
  <c r="V75" i="3" s="1"/>
  <c r="W75" i="3" s="1"/>
  <c r="Y75" i="3" s="1"/>
  <c r="S75" i="3"/>
  <c r="U45" i="3"/>
  <c r="V45" i="3" s="1"/>
  <c r="W45" i="3" s="1"/>
  <c r="Y45" i="3" s="1"/>
  <c r="S45" i="3"/>
  <c r="S55" i="3"/>
  <c r="U55" i="3"/>
  <c r="V55" i="3" s="1"/>
  <c r="W55" i="3" s="1"/>
  <c r="Y55" i="3" s="1"/>
  <c r="U73" i="3"/>
  <c r="V73" i="3" s="1"/>
  <c r="W73" i="3" s="1"/>
  <c r="Y73" i="3" s="1"/>
  <c r="S73" i="3"/>
  <c r="U66" i="3"/>
  <c r="V66" i="3" s="1"/>
  <c r="W66" i="3" s="1"/>
  <c r="Y66" i="3" s="1"/>
  <c r="S66" i="3"/>
  <c r="U40" i="3"/>
  <c r="V40" i="3" s="1"/>
  <c r="W40" i="3" s="1"/>
  <c r="Y40" i="3" s="1"/>
  <c r="S40" i="3"/>
  <c r="U60" i="3"/>
  <c r="V60" i="3" s="1"/>
  <c r="W60" i="3" s="1"/>
  <c r="Y60" i="3" s="1"/>
  <c r="S60" i="3"/>
  <c r="S52" i="3"/>
  <c r="U52" i="3"/>
  <c r="V52" i="3" s="1"/>
  <c r="W52" i="3" s="1"/>
  <c r="Y52" i="3" s="1"/>
  <c r="U37" i="3"/>
  <c r="V37" i="3" s="1"/>
  <c r="W37" i="3" s="1"/>
  <c r="Y37" i="3" s="1"/>
  <c r="S37" i="3"/>
  <c r="U77" i="3"/>
  <c r="V77" i="3" s="1"/>
  <c r="W77" i="3" s="1"/>
  <c r="Y77" i="3" s="1"/>
  <c r="S77" i="3"/>
  <c r="U65" i="3"/>
  <c r="V65" i="3" s="1"/>
  <c r="W65" i="3" s="1"/>
  <c r="Y65" i="3" s="1"/>
  <c r="S65" i="3"/>
  <c r="U31" i="3"/>
  <c r="W31" i="3" s="1"/>
  <c r="Y31" i="3" s="1"/>
  <c r="U57" i="3"/>
  <c r="U54" i="3"/>
  <c r="V54" i="3" s="1"/>
  <c r="W54" i="3" s="1"/>
  <c r="Y54" i="3" s="1"/>
  <c r="S54" i="3"/>
  <c r="U14" i="3"/>
  <c r="V14" i="3" s="1"/>
  <c r="W14" i="3" s="1"/>
  <c r="Y14" i="3" s="1"/>
  <c r="S14" i="3"/>
  <c r="U30" i="3"/>
  <c r="W30" i="3" s="1"/>
  <c r="Y30" i="3" s="1"/>
  <c r="C44" i="4"/>
  <c r="D44" i="4" s="1"/>
  <c r="C82" i="4"/>
  <c r="D82" i="4" s="1"/>
  <c r="C74" i="4"/>
  <c r="D74" i="4" s="1"/>
  <c r="C36" i="4"/>
  <c r="D36" i="4" s="1"/>
  <c r="C52" i="4"/>
  <c r="S58" i="3"/>
  <c r="N28" i="3"/>
  <c r="C47" i="4"/>
  <c r="C39" i="4"/>
  <c r="D39" i="4" s="1"/>
  <c r="C85" i="4"/>
  <c r="D85" i="4" s="1"/>
  <c r="C77" i="4"/>
  <c r="D77" i="4" s="1"/>
  <c r="C55" i="4"/>
  <c r="O10" i="3"/>
  <c r="Q10" i="3" s="1"/>
  <c r="R10" i="3" s="1"/>
  <c r="O11" i="3"/>
  <c r="Q11" i="3" s="1"/>
  <c r="R11" i="3" s="1"/>
  <c r="O9" i="3"/>
  <c r="Q9" i="3" s="1"/>
  <c r="R9" i="3" s="1"/>
  <c r="Q7" i="3"/>
  <c r="R7" i="3" s="1"/>
  <c r="O8" i="3"/>
  <c r="Q8" i="3" s="1"/>
  <c r="R8" i="3" s="1"/>
  <c r="O18" i="3"/>
  <c r="O17" i="3"/>
  <c r="Q17" i="3" s="1"/>
  <c r="R17" i="3" s="1"/>
  <c r="O16" i="3"/>
  <c r="O15" i="3"/>
  <c r="Q15" i="3" s="1"/>
  <c r="R15" i="3" s="1"/>
  <c r="O12" i="3"/>
  <c r="Q12" i="3" s="1"/>
  <c r="R12" i="3" s="1"/>
  <c r="O14" i="3"/>
  <c r="Q14" i="3" s="1"/>
  <c r="R14" i="3" s="1"/>
  <c r="O13" i="3"/>
  <c r="Q13" i="3" s="1"/>
  <c r="R13" i="3" s="1"/>
  <c r="O22" i="3"/>
  <c r="Q22" i="3" s="1"/>
  <c r="R22" i="3" s="1"/>
  <c r="D57" i="4"/>
  <c r="U25" i="3"/>
  <c r="V25" i="3" s="1"/>
  <c r="S25" i="3"/>
  <c r="U6" i="3"/>
  <c r="V6" i="3" s="1"/>
  <c r="S6" i="3"/>
  <c r="T6" i="3" s="1"/>
  <c r="U7" i="3"/>
  <c r="V7" i="3" s="1"/>
  <c r="W7" i="3" s="1"/>
  <c r="Y7" i="3" s="1"/>
  <c r="S7" i="3"/>
  <c r="D37" i="4"/>
  <c r="U15" i="3"/>
  <c r="V15" i="3" s="1"/>
  <c r="W15" i="3" s="1"/>
  <c r="Y15" i="3" s="1"/>
  <c r="S15" i="3"/>
  <c r="D83" i="4"/>
  <c r="D75" i="4"/>
  <c r="D40" i="4"/>
  <c r="U11" i="3"/>
  <c r="V11" i="3" s="1"/>
  <c r="W11" i="3" s="1"/>
  <c r="Y11" i="3" s="1"/>
  <c r="S11" i="3"/>
  <c r="U51" i="3"/>
  <c r="V51" i="3" s="1"/>
  <c r="W51" i="3" s="1"/>
  <c r="Y51" i="3" s="1"/>
  <c r="S51" i="3"/>
  <c r="U34" i="3"/>
  <c r="V34" i="3" s="1"/>
  <c r="W34" i="3" s="1"/>
  <c r="Y34" i="3" s="1"/>
  <c r="S34" i="3"/>
  <c r="S69" i="3"/>
  <c r="U69" i="3"/>
  <c r="V69" i="3" s="1"/>
  <c r="W69" i="3" s="1"/>
  <c r="Y69" i="3" s="1"/>
  <c r="U46" i="3"/>
  <c r="V46" i="3" s="1"/>
  <c r="W46" i="3" s="1"/>
  <c r="Y46" i="3" s="1"/>
  <c r="S46" i="3"/>
  <c r="U53" i="3"/>
  <c r="V53" i="3" s="1"/>
  <c r="W53" i="3" s="1"/>
  <c r="Y53" i="3" s="1"/>
  <c r="S53" i="3"/>
  <c r="S12" i="3"/>
  <c r="U12" i="3"/>
  <c r="V12" i="3" s="1"/>
  <c r="W12" i="3" s="1"/>
  <c r="Y12" i="3" s="1"/>
  <c r="U10" i="3"/>
  <c r="V10" i="3" s="1"/>
  <c r="W10" i="3" s="1"/>
  <c r="Y10" i="3" s="1"/>
  <c r="S10" i="3"/>
  <c r="D54" i="4"/>
  <c r="D46" i="4"/>
  <c r="U21" i="3"/>
  <c r="V21" i="3" s="1"/>
  <c r="W21" i="3" s="1"/>
  <c r="Y21" i="3" s="1"/>
  <c r="S21" i="3"/>
  <c r="D28" i="4"/>
  <c r="D27" i="4"/>
  <c r="O78" i="3" s="1"/>
  <c r="U17" i="3"/>
  <c r="V17" i="3" s="1"/>
  <c r="W17" i="3" s="1"/>
  <c r="Y17" i="3" s="1"/>
  <c r="S17" i="3"/>
  <c r="U19" i="3"/>
  <c r="V19" i="3" s="1"/>
  <c r="W19" i="3" s="1"/>
  <c r="Y19" i="3" s="1"/>
  <c r="S19" i="3"/>
  <c r="D81" i="4"/>
  <c r="D73" i="4"/>
  <c r="U59" i="3"/>
  <c r="V59" i="3" s="1"/>
  <c r="W59" i="3" s="1"/>
  <c r="Y59" i="3" s="1"/>
  <c r="S59" i="3"/>
  <c r="U9" i="3"/>
  <c r="V9" i="3" s="1"/>
  <c r="W9" i="3" s="1"/>
  <c r="Y9" i="3" s="1"/>
  <c r="S9" i="3"/>
  <c r="U38" i="3"/>
  <c r="V38" i="3" s="1"/>
  <c r="W38" i="3" s="1"/>
  <c r="Y38" i="3" s="1"/>
  <c r="S38" i="3"/>
  <c r="U70" i="3"/>
  <c r="V70" i="3" s="1"/>
  <c r="W70" i="3" s="1"/>
  <c r="Y70" i="3" s="1"/>
  <c r="S70" i="3"/>
  <c r="S8" i="3"/>
  <c r="U8" i="3"/>
  <c r="V8" i="3" s="1"/>
  <c r="W8" i="3" s="1"/>
  <c r="Y8" i="3" s="1"/>
  <c r="U68" i="3"/>
  <c r="V68" i="3" s="1"/>
  <c r="W68" i="3" s="1"/>
  <c r="Y68" i="3" s="1"/>
  <c r="S68" i="3"/>
  <c r="S23" i="3"/>
  <c r="U23" i="3"/>
  <c r="V23" i="3" s="1"/>
  <c r="W23" i="3" s="1"/>
  <c r="Y23" i="3" s="1"/>
  <c r="U56" i="3"/>
  <c r="V56" i="3" s="1"/>
  <c r="W56" i="3" s="1"/>
  <c r="Y56" i="3" s="1"/>
  <c r="S56" i="3"/>
  <c r="D22" i="4"/>
  <c r="O19" i="3" s="1"/>
  <c r="Q19" i="3" s="1"/>
  <c r="R19" i="3" s="1"/>
  <c r="D23" i="4"/>
  <c r="D43" i="4"/>
  <c r="W39" i="3" l="1"/>
  <c r="Y39" i="3" s="1"/>
  <c r="Q18" i="3"/>
  <c r="R18" i="3" s="1"/>
  <c r="S18" i="3"/>
  <c r="S24" i="3" s="1"/>
  <c r="T56" i="3"/>
  <c r="T21" i="3"/>
  <c r="O70" i="3"/>
  <c r="Q70" i="3" s="1"/>
  <c r="O76" i="3"/>
  <c r="Q76" i="3" s="1"/>
  <c r="O31" i="3"/>
  <c r="R31" i="3" s="1"/>
  <c r="O30" i="3"/>
  <c r="R30" i="3" s="1"/>
  <c r="O28" i="3"/>
  <c r="Q28" i="3" s="1"/>
  <c r="R28" i="3" s="1"/>
  <c r="O33" i="3"/>
  <c r="Q33" i="3" s="1"/>
  <c r="O29" i="3"/>
  <c r="Q29" i="3" s="1"/>
  <c r="R29" i="3" s="1"/>
  <c r="O32" i="3"/>
  <c r="Q32" i="3" s="1"/>
  <c r="O67" i="3"/>
  <c r="Q67" i="3" s="1"/>
  <c r="R67" i="3" s="1"/>
  <c r="O47" i="3"/>
  <c r="O50" i="3"/>
  <c r="Q50" i="3" s="1"/>
  <c r="O46" i="3"/>
  <c r="Q46" i="3" s="1"/>
  <c r="R46" i="3" s="1"/>
  <c r="O48" i="3"/>
  <c r="Q48" i="3" s="1"/>
  <c r="O49" i="3"/>
  <c r="Q49" i="3" s="1"/>
  <c r="O68" i="3"/>
  <c r="Q68" i="3" s="1"/>
  <c r="O35" i="3"/>
  <c r="O34" i="3"/>
  <c r="Q34" i="3" s="1"/>
  <c r="R34" i="3" s="1"/>
  <c r="O36" i="3"/>
  <c r="Q36" i="3" s="1"/>
  <c r="O37" i="3"/>
  <c r="Q37" i="3" s="1"/>
  <c r="Q16" i="3"/>
  <c r="T16" i="3" s="1"/>
  <c r="V57" i="3"/>
  <c r="W57" i="3" s="1"/>
  <c r="Y57" i="3" s="1"/>
  <c r="O64" i="3"/>
  <c r="Q64" i="3" s="1"/>
  <c r="O43" i="3"/>
  <c r="O42" i="3"/>
  <c r="Q42" i="3" s="1"/>
  <c r="O45" i="3"/>
  <c r="Q45" i="3" s="1"/>
  <c r="O44" i="3"/>
  <c r="Q44" i="3" s="1"/>
  <c r="O63" i="3"/>
  <c r="Q63" i="3" s="1"/>
  <c r="T51" i="3"/>
  <c r="T17" i="3"/>
  <c r="T59" i="3"/>
  <c r="T57" i="3"/>
  <c r="S28" i="3"/>
  <c r="S79" i="3" s="1"/>
  <c r="U28" i="3"/>
  <c r="V28" i="3" s="1"/>
  <c r="W28" i="3" s="1"/>
  <c r="Y28" i="3" s="1"/>
  <c r="T58" i="3"/>
  <c r="T60" i="3"/>
  <c r="D49" i="4"/>
  <c r="T10" i="3"/>
  <c r="T9" i="3"/>
  <c r="T38" i="3"/>
  <c r="Q78" i="3"/>
  <c r="R78" i="3" s="1"/>
  <c r="O23" i="3"/>
  <c r="Q23" i="3" s="1"/>
  <c r="R23" i="3" s="1"/>
  <c r="O20" i="3"/>
  <c r="Q20" i="3" s="1"/>
  <c r="T11" i="3"/>
  <c r="T7" i="3"/>
  <c r="T8" i="3"/>
  <c r="T41" i="3"/>
  <c r="T19" i="3"/>
  <c r="T61" i="3"/>
  <c r="T62" i="3"/>
  <c r="T53" i="3"/>
  <c r="T55" i="3"/>
  <c r="T54" i="3"/>
  <c r="T52" i="3"/>
  <c r="T39" i="3"/>
  <c r="T40" i="3"/>
  <c r="Q35" i="3"/>
  <c r="T27" i="3"/>
  <c r="T26" i="3"/>
  <c r="T15" i="3"/>
  <c r="T12" i="3"/>
  <c r="T13" i="3"/>
  <c r="T14" i="3"/>
  <c r="T22" i="3"/>
  <c r="T65" i="3"/>
  <c r="T66" i="3"/>
  <c r="R21" i="3"/>
  <c r="D45" i="4"/>
  <c r="D53" i="4"/>
  <c r="D48" i="4"/>
  <c r="D56" i="4"/>
  <c r="T25" i="3"/>
  <c r="D47" i="4"/>
  <c r="D55" i="4"/>
  <c r="W25" i="3"/>
  <c r="Y25" i="3" s="1"/>
  <c r="V24" i="3"/>
  <c r="W6" i="3"/>
  <c r="D52" i="4"/>
  <c r="D51" i="4"/>
  <c r="T18" i="3" l="1"/>
  <c r="W24" i="3"/>
  <c r="Y6" i="3"/>
  <c r="R33" i="3"/>
  <c r="T33" i="3"/>
  <c r="T31" i="3"/>
  <c r="R63" i="3"/>
  <c r="T63" i="3"/>
  <c r="R68" i="3"/>
  <c r="T68" i="3"/>
  <c r="R32" i="3"/>
  <c r="T32" i="3"/>
  <c r="R64" i="3"/>
  <c r="T64" i="3"/>
  <c r="R76" i="3"/>
  <c r="T76" i="3"/>
  <c r="R70" i="3"/>
  <c r="T70" i="3"/>
  <c r="O71" i="3"/>
  <c r="Q71" i="3" s="1"/>
  <c r="O72" i="3"/>
  <c r="Q72" i="3" s="1"/>
  <c r="O73" i="3"/>
  <c r="Q73" i="3" s="1"/>
  <c r="O74" i="3"/>
  <c r="Q74" i="3" s="1"/>
  <c r="O75" i="3"/>
  <c r="Q75" i="3" s="1"/>
  <c r="W79" i="3"/>
  <c r="W80" i="3" s="1"/>
  <c r="O69" i="3"/>
  <c r="Q69" i="3" s="1"/>
  <c r="R69" i="3" s="1"/>
  <c r="O77" i="3"/>
  <c r="Q77" i="3" s="1"/>
  <c r="T67" i="3"/>
  <c r="R16" i="3"/>
  <c r="T29" i="3"/>
  <c r="V79" i="3"/>
  <c r="V80" i="3" s="1"/>
  <c r="T28" i="3"/>
  <c r="T30" i="3"/>
  <c r="T23" i="3"/>
  <c r="D79" i="4"/>
  <c r="D87" i="4"/>
  <c r="T78" i="3"/>
  <c r="Q24" i="3"/>
  <c r="T24" i="3" s="1"/>
  <c r="R20" i="3"/>
  <c r="T20" i="3"/>
  <c r="R49" i="3"/>
  <c r="T49" i="3"/>
  <c r="R50" i="3"/>
  <c r="T50" i="3"/>
  <c r="R47" i="3"/>
  <c r="T47" i="3"/>
  <c r="R48" i="3"/>
  <c r="T48" i="3"/>
  <c r="T46" i="3"/>
  <c r="R45" i="3"/>
  <c r="T45" i="3"/>
  <c r="R44" i="3"/>
  <c r="T44" i="3"/>
  <c r="R42" i="3"/>
  <c r="T42" i="3"/>
  <c r="R43" i="3"/>
  <c r="T43" i="3"/>
  <c r="R37" i="3"/>
  <c r="T37" i="3"/>
  <c r="R36" i="3"/>
  <c r="T36" i="3"/>
  <c r="R35" i="3"/>
  <c r="T35" i="3"/>
  <c r="T34" i="3"/>
  <c r="S80" i="3"/>
  <c r="D78" i="4"/>
  <c r="D86" i="4"/>
  <c r="R24" i="3" l="1"/>
  <c r="R74" i="3"/>
  <c r="T74" i="3"/>
  <c r="R73" i="3"/>
  <c r="T73" i="3"/>
  <c r="R72" i="3"/>
  <c r="T72" i="3"/>
  <c r="R77" i="3"/>
  <c r="T77" i="3"/>
  <c r="R75" i="3"/>
  <c r="T75" i="3"/>
  <c r="Q79" i="3"/>
  <c r="Q80" i="3" s="1"/>
  <c r="T71" i="3"/>
  <c r="R71" i="3"/>
  <c r="T69" i="3"/>
  <c r="T79" i="3" l="1"/>
  <c r="T80" i="3" s="1"/>
  <c r="S83" i="3"/>
  <c r="R83" i="3"/>
  <c r="R79" i="3"/>
  <c r="R80" i="3" l="1"/>
  <c r="B66" i="2" s="1"/>
  <c r="B67" i="2" s="1"/>
  <c r="R84" i="3"/>
  <c r="R85" i="3" s="1"/>
  <c r="R89" i="3" s="1"/>
  <c r="S84" i="3"/>
</calcChain>
</file>

<file path=xl/comments1.xml><?xml version="1.0" encoding="utf-8"?>
<comments xmlns="http://schemas.openxmlformats.org/spreadsheetml/2006/main">
  <authors>
    <author>Heather Garland</author>
  </authors>
  <commentList>
    <comment ref="G65" authorId="0">
      <text>
        <r>
          <rPr>
            <b/>
            <sz val="9"/>
            <color indexed="81"/>
            <rFont val="Tahoma"/>
            <charset val="1"/>
          </rPr>
          <t>Heather Garland:</t>
        </r>
        <r>
          <rPr>
            <sz val="9"/>
            <color indexed="81"/>
            <rFont val="Tahoma"/>
            <charset val="1"/>
          </rPr>
          <t xml:space="preserve">
Changed to 34 lbs - no commercial rate, only resi.</t>
        </r>
      </text>
    </comment>
  </commentList>
</comments>
</file>

<file path=xl/comments2.xml><?xml version="1.0" encoding="utf-8"?>
<comments xmlns="http://schemas.openxmlformats.org/spreadsheetml/2006/main">
  <authors>
    <author>Ben Thompson</author>
  </authors>
  <commentList>
    <comment ref="B28" author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Unadjusted Meeks weights.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Unadjusted Meeks weights.</t>
        </r>
      </text>
    </comment>
  </commentList>
</comments>
</file>

<file path=xl/sharedStrings.xml><?xml version="1.0" encoding="utf-8"?>
<sst xmlns="http://schemas.openxmlformats.org/spreadsheetml/2006/main" count="595" uniqueCount="465">
  <si>
    <t>Total</t>
  </si>
  <si>
    <t>Service Code</t>
  </si>
  <si>
    <t>Service Code Description</t>
  </si>
  <si>
    <t>Rate</t>
  </si>
  <si>
    <t>Revenue</t>
  </si>
  <si>
    <t>Customers</t>
  </si>
  <si>
    <t>RESIDENTIAL SERVICES</t>
  </si>
  <si>
    <t>RESIDENTIAL GARBAGE</t>
  </si>
  <si>
    <t>RL020.0G1W001</t>
  </si>
  <si>
    <t>RL 20 GL 1X WK 1</t>
  </si>
  <si>
    <t>RL032.0G1M001</t>
  </si>
  <si>
    <t>RL 32 GL 1X MO 1</t>
  </si>
  <si>
    <t>RL032.0G1W001</t>
  </si>
  <si>
    <t>RL 32 GL 1X WK 1</t>
  </si>
  <si>
    <t>RL032.0G1W002</t>
  </si>
  <si>
    <t>RL 32 GL 1X WK 2</t>
  </si>
  <si>
    <t>RL032.0G1W003</t>
  </si>
  <si>
    <t>RL 32 GL 1X WK 3</t>
  </si>
  <si>
    <t>RL032.0G1W004</t>
  </si>
  <si>
    <t>RL 32 GL 1X WK 4</t>
  </si>
  <si>
    <t>RL065.0G1W001</t>
  </si>
  <si>
    <t>RL 65 GL 1X WK 1</t>
  </si>
  <si>
    <t>RL065.0G1W003</t>
  </si>
  <si>
    <t>RL 65 GL 1X WK 3</t>
  </si>
  <si>
    <t>RL090.0G1W001</t>
  </si>
  <si>
    <t>RL 90 GL 1X WK 1</t>
  </si>
  <si>
    <t>RL090.0G1W002</t>
  </si>
  <si>
    <t>RL 90 GL 1X WK 2</t>
  </si>
  <si>
    <t>RL32R-OC</t>
  </si>
  <si>
    <t>1 RL 32 GL ON CALL-RES</t>
  </si>
  <si>
    <t>RL90R-OC</t>
  </si>
  <si>
    <t>RL 90 GL ON CALL - RES</t>
  </si>
  <si>
    <t>EXTRA-RES</t>
  </si>
  <si>
    <t>EXTRA CAN, BAG, BOX-RES</t>
  </si>
  <si>
    <t>EXTRYDG-RES</t>
  </si>
  <si>
    <t>EXTRA YARDAGE - RES</t>
  </si>
  <si>
    <t>OS-RES</t>
  </si>
  <si>
    <t>OVERSIZE CAN - RES</t>
  </si>
  <si>
    <t>OW-RES</t>
  </si>
  <si>
    <t>OVERFILL/WEIGHT CAN-RES</t>
  </si>
  <si>
    <t>BULKY-RES</t>
  </si>
  <si>
    <t>BULKY ITEM PICK UP-RES</t>
  </si>
  <si>
    <t>DIST-RES</t>
  </si>
  <si>
    <t>DISTANCE FEE - RES</t>
  </si>
  <si>
    <t>REDEL-RES</t>
  </si>
  <si>
    <t>REDELIVERY FEE - RES</t>
  </si>
  <si>
    <t>REINSTATE-RES</t>
  </si>
  <si>
    <t>REINSTATE FEE - RES</t>
  </si>
  <si>
    <t>TOTAL RESIDENTIAL GARBAGE</t>
  </si>
  <si>
    <t>COMMERCIAL SERVICES</t>
  </si>
  <si>
    <t>COMMERCIAL GARBAGE</t>
  </si>
  <si>
    <t>RL001.0Y1W001</t>
  </si>
  <si>
    <t>RL 1 YD 1X WK 1</t>
  </si>
  <si>
    <t>RL001.0Y3W001</t>
  </si>
  <si>
    <t>RL 1 YD 3X WK 1</t>
  </si>
  <si>
    <t>RL001.5Y1M001</t>
  </si>
  <si>
    <t>RL 1.5 YD 1X MO 1</t>
  </si>
  <si>
    <t>RL001.5Y1W001</t>
  </si>
  <si>
    <t>RL 1.5 YD 1X WK 1</t>
  </si>
  <si>
    <t>RL001.5Y1W002</t>
  </si>
  <si>
    <t>RL 1.5 YD 1X WK 2</t>
  </si>
  <si>
    <t>RL001.5Y1W003</t>
  </si>
  <si>
    <t>RL 1.5 YD 1X WK 3</t>
  </si>
  <si>
    <t>RL001.5Y2W001</t>
  </si>
  <si>
    <t>RL 1.5 YD 2X WK 1</t>
  </si>
  <si>
    <t>RL001.5Y3W001</t>
  </si>
  <si>
    <t>RL 1.5 YD 3X WK 1</t>
  </si>
  <si>
    <t>RL002.0Y1M001</t>
  </si>
  <si>
    <t>RL 2 YD 1X MO 1</t>
  </si>
  <si>
    <t>RL002.0Y1W001</t>
  </si>
  <si>
    <t>RL 2 YD 1X WK 1</t>
  </si>
  <si>
    <t>RL002.0Y2W001</t>
  </si>
  <si>
    <t>RL 2 YD 2X WK 1</t>
  </si>
  <si>
    <t>RL002.0Y3W001</t>
  </si>
  <si>
    <t>RL 2 YD 3X WK 1</t>
  </si>
  <si>
    <t>RL003.0Y1W001</t>
  </si>
  <si>
    <t>RL 3 YD 1X WK 1</t>
  </si>
  <si>
    <t>RL003.0Y1W002</t>
  </si>
  <si>
    <t>RL 3 YD 1X WK 2</t>
  </si>
  <si>
    <t>RL003.0Y2W001</t>
  </si>
  <si>
    <t>RL 3 YD 2X WK 1</t>
  </si>
  <si>
    <t>RL003.0Y3W001</t>
  </si>
  <si>
    <t>RL 3 YD 3X WK 1</t>
  </si>
  <si>
    <t>RL004.0Y1W001</t>
  </si>
  <si>
    <t>RL 4 YD 1X WK 1</t>
  </si>
  <si>
    <t>RL004.0Y1W002</t>
  </si>
  <si>
    <t>RL 4 YD 1X WK 2</t>
  </si>
  <si>
    <t>RL004.0Y3W001</t>
  </si>
  <si>
    <t>RL 4 YD 3X WK 1</t>
  </si>
  <si>
    <t>RL004.0Y4W001</t>
  </si>
  <si>
    <t>RL 4 YD 4X WK 1</t>
  </si>
  <si>
    <t>RL006.0Y1W001</t>
  </si>
  <si>
    <t>RL 6 YD 1X WK 1</t>
  </si>
  <si>
    <t>RL006.0Y1W002</t>
  </si>
  <si>
    <t>RL 6 YD 1X WK 2</t>
  </si>
  <si>
    <t>RL006.0Y2W001</t>
  </si>
  <si>
    <t>RL 6 YD 2X WK 1</t>
  </si>
  <si>
    <t>RL006.0Y4W001</t>
  </si>
  <si>
    <t>RL 6 YD 4X WK 1</t>
  </si>
  <si>
    <t>RL008.0Y1W001</t>
  </si>
  <si>
    <t>RL 8 YD 1X WK 1</t>
  </si>
  <si>
    <t>RL008.0Y2W001</t>
  </si>
  <si>
    <t>RL 8 YD 2X WK 1</t>
  </si>
  <si>
    <t>RL032.0G1W001COMM</t>
  </si>
  <si>
    <t>RL 32 GL 1X WK COMM 1</t>
  </si>
  <si>
    <t>RL032.0G1W002COMM</t>
  </si>
  <si>
    <t>RL 32 GL 1X WK COMM 2</t>
  </si>
  <si>
    <t>RL065.0G1W001COMM</t>
  </si>
  <si>
    <t>RL 65 GL 1X WK COMM 1</t>
  </si>
  <si>
    <t>RL065.0G1W005COMM</t>
  </si>
  <si>
    <t>RL 65 GL 1X WK COMM 5</t>
  </si>
  <si>
    <t>RL090.0G1W001COMM</t>
  </si>
  <si>
    <t>RL 90 GL 1X WK COMM 1</t>
  </si>
  <si>
    <t>RL090.0G1W002COMM</t>
  </si>
  <si>
    <t>RL 90 GL 1X WK COMM 2</t>
  </si>
  <si>
    <t>RL090.0G2W001COMM</t>
  </si>
  <si>
    <t>RL 90 GL 2X WK COMM 1</t>
  </si>
  <si>
    <t>RL090.0G2W004COMM</t>
  </si>
  <si>
    <t>RL 90 GL 2X WK COMM 4</t>
  </si>
  <si>
    <t>RL32C-OC</t>
  </si>
  <si>
    <t>1 RL 32 GL ON CALL - COMM</t>
  </si>
  <si>
    <t>EXTRA-COMM</t>
  </si>
  <si>
    <t>EXTRA CAN, BAG, BOX-COMM</t>
  </si>
  <si>
    <t>OS-COMM</t>
  </si>
  <si>
    <t>OVERSIZE CAN - COMM</t>
  </si>
  <si>
    <t>OW-COMM</t>
  </si>
  <si>
    <t>OVERFILL/WEIGHT CAN-COMM</t>
  </si>
  <si>
    <t>RL1C-OC</t>
  </si>
  <si>
    <t>1 RL 1 YD ON CALL-COMM</t>
  </si>
  <si>
    <t>RL1.5C-OC</t>
  </si>
  <si>
    <t>1 RL 1.5 YD ON CALL-COMM</t>
  </si>
  <si>
    <t>RL2C-OC</t>
  </si>
  <si>
    <t>1 RL 2 YD ON CALL-COMM</t>
  </si>
  <si>
    <t>RL3C-OC</t>
  </si>
  <si>
    <t>1 RL 3 YD ON CALL-COMM</t>
  </si>
  <si>
    <t>RL4C-OC</t>
  </si>
  <si>
    <t>1 RL 4 YD ON CALL-COMM</t>
  </si>
  <si>
    <t>RL1.5TC-COMM</t>
  </si>
  <si>
    <t>RL TEMPORARY 1.5 YD-COMM</t>
  </si>
  <si>
    <t>RL1TC-COMM</t>
  </si>
  <si>
    <t>RL TEMPORARY 1 YD-COMM</t>
  </si>
  <si>
    <t>RL2TC-COMM</t>
  </si>
  <si>
    <t>RL TEMPORARY 2 YD-COMM</t>
  </si>
  <si>
    <t>RL3TC-COMM</t>
  </si>
  <si>
    <t>RL TEMPORARY 3 YD - COMM</t>
  </si>
  <si>
    <t>RL4TC-COMM</t>
  </si>
  <si>
    <t>RL TEMPORARY 4 YD-COMM</t>
  </si>
  <si>
    <t>EXTRAYDG-COMM</t>
  </si>
  <si>
    <t>EXTRA YARDAGE - COMM</t>
  </si>
  <si>
    <t>RENT1.5-COMM</t>
  </si>
  <si>
    <t>RENTAL FEE 1.5 YD COMM</t>
  </si>
  <si>
    <t>RENT1.5TEMP-COMM</t>
  </si>
  <si>
    <t xml:space="preserve">RENTAL FEE 1.5 YD TEMP - </t>
  </si>
  <si>
    <t>RENT1-COMM</t>
  </si>
  <si>
    <t>RENTAL FEE 1 YD COMM MA</t>
  </si>
  <si>
    <t>RENT1TEMP-COMM</t>
  </si>
  <si>
    <t>RENTAL FEE 1 YD TEMP - COMM</t>
  </si>
  <si>
    <t>RENT2-COMM</t>
  </si>
  <si>
    <t>RENTAL FEE 2 YD COMM</t>
  </si>
  <si>
    <t>RENT2TEMP-COMM</t>
  </si>
  <si>
    <t>RENTAL FEE 2 YD TEMP - COMM</t>
  </si>
  <si>
    <t>RENT3-COMM</t>
  </si>
  <si>
    <t>RENTAL FEE 3 YD COMM</t>
  </si>
  <si>
    <t>RENT3TEMP-COMM</t>
  </si>
  <si>
    <t>RENTAL FEE 3 YD TEMP - CO</t>
  </si>
  <si>
    <t>RENT4-COMM</t>
  </si>
  <si>
    <t>RENTAL FEE 4 YD COMM</t>
  </si>
  <si>
    <t>RENT4TEMP-COMM</t>
  </si>
  <si>
    <t>RENTAL FEE 4YD TEMP - COM</t>
  </si>
  <si>
    <t>RENT6-COMM</t>
  </si>
  <si>
    <t>RENTAL FEE 6 YD COMM</t>
  </si>
  <si>
    <t>RENT8-COMM</t>
  </si>
  <si>
    <t>RENTAL FEE 8 YD COMM</t>
  </si>
  <si>
    <t>ADJ-COM</t>
  </si>
  <si>
    <t>ADJUSTMENT COMMERCIAL</t>
  </si>
  <si>
    <t>DELTEMP-COMM</t>
  </si>
  <si>
    <t>DELIVERY FEE TEMP-COMM</t>
  </si>
  <si>
    <t>REDEL-COMM</t>
  </si>
  <si>
    <t>REDELIVERY FEE - COMM</t>
  </si>
  <si>
    <t>REINSTATE-COMM</t>
  </si>
  <si>
    <t>REINSTATE FEE - COMM</t>
  </si>
  <si>
    <t>ROLL-COMM</t>
  </si>
  <si>
    <t>ROLL OUT CHARGE - COMM</t>
  </si>
  <si>
    <t>TRIP1-COMM</t>
  </si>
  <si>
    <t>TRIP FEE - COMM</t>
  </si>
  <si>
    <t>UNLCKC</t>
  </si>
  <si>
    <t>UNLOCKING FEE - COMM</t>
  </si>
  <si>
    <t>TOTAL COMMERCIAL GARBAGE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</si>
  <si>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</si>
  <si>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</si>
  <si>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</si>
  <si>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</si>
  <si>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</si>
  <si>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</si>
  <si>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</si>
  <si>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</si>
  <si>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</si>
  <si>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</si>
  <si>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</si>
  <si>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</si>
  <si>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</si>
  <si>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</si>
  <si>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</si>
  <si>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</si>
  <si>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</si>
  <si>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</si>
  <si>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</si>
  <si>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</si>
  <si>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</si>
  <si>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</si>
  <si>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</si>
  <si>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</si>
  <si>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</si>
  <si>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</si>
  <si>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</si>
  <si>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</si>
  <si>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</si>
  <si>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Supercan 60</t>
  </si>
  <si>
    <t>Supercan 90</t>
  </si>
  <si>
    <t>Once a month</t>
  </si>
  <si>
    <t>Extras</t>
  </si>
  <si>
    <t>Com'l</t>
  </si>
  <si>
    <t>Cans</t>
  </si>
  <si>
    <t>1 yd container</t>
  </si>
  <si>
    <t>1.5 yd container</t>
  </si>
  <si>
    <t>1.5 yd container (2)</t>
  </si>
  <si>
    <t>*</t>
  </si>
  <si>
    <t>2 yd container</t>
  </si>
  <si>
    <t>3 yd container</t>
  </si>
  <si>
    <t>3 yd container (2)</t>
  </si>
  <si>
    <t>4 yd container</t>
  </si>
  <si>
    <t>4 yd container (2)</t>
  </si>
  <si>
    <t>6 yd container</t>
  </si>
  <si>
    <t>6 yd container (2)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</si>
  <si>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</si>
  <si>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</si>
  <si>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</si>
  <si>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</si>
  <si>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</si>
  <si>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</si>
  <si>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</si>
  <si>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</si>
  <si>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</si>
  <si>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</si>
  <si>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</si>
  <si>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</si>
  <si>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</si>
  <si>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</si>
  <si>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</si>
  <si>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</si>
  <si>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</si>
  <si>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</si>
  <si>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</si>
  <si>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</si>
  <si>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Factor</t>
  </si>
  <si>
    <t>Residential</t>
  </si>
  <si>
    <t>Commercial</t>
  </si>
  <si>
    <t>Monthly Customers</t>
  </si>
  <si>
    <t>Monthly Frequency</t>
  </si>
  <si>
    <t>Annual Pickups</t>
  </si>
  <si>
    <t>Calculated Annual Pounds</t>
  </si>
  <si>
    <t>Adjusted Annual Pounds</t>
  </si>
  <si>
    <t>Gross Up</t>
  </si>
  <si>
    <t>Company Current Tariff</t>
  </si>
  <si>
    <t>Company Proposed Tariff</t>
  </si>
  <si>
    <t>Company Current Revenue</t>
  </si>
  <si>
    <t xml:space="preserve">  Average Monthly Cust divide by </t>
  </si>
  <si>
    <t>Whitman County</t>
  </si>
  <si>
    <t>Increase per Ton</t>
  </si>
  <si>
    <t>Tons</t>
  </si>
  <si>
    <t>Adjustment Factor Calculation</t>
  </si>
  <si>
    <t>Total Tonnage</t>
  </si>
  <si>
    <t>Total Pounds</t>
  </si>
  <si>
    <t>Total Pick Ups</t>
  </si>
  <si>
    <t>Adjustment factor</t>
  </si>
  <si>
    <t>Oversized Unit</t>
  </si>
  <si>
    <t>Mini Can</t>
  </si>
  <si>
    <t>1 Can Weekly</t>
  </si>
  <si>
    <t>2 Can Weekly</t>
  </si>
  <si>
    <t>3 Can Weekly</t>
  </si>
  <si>
    <t>4 Can Weekly</t>
  </si>
  <si>
    <t>5 Can Weekly</t>
  </si>
  <si>
    <t>6 Can Weekly</t>
  </si>
  <si>
    <t>65 Gal Weekly</t>
  </si>
  <si>
    <t>90 Gal Weekly</t>
  </si>
  <si>
    <t xml:space="preserve">1 Can </t>
  </si>
  <si>
    <t>32 Gal Extra</t>
  </si>
  <si>
    <t>Bag</t>
  </si>
  <si>
    <t>On-Call</t>
  </si>
  <si>
    <t>Loose Material 1-4yd</t>
  </si>
  <si>
    <t>Loose Material per Yard</t>
  </si>
  <si>
    <t>Loose Material Min Charge</t>
  </si>
  <si>
    <t>1 Yard</t>
  </si>
  <si>
    <t>1.5 Yard</t>
  </si>
  <si>
    <t>2 Yard</t>
  </si>
  <si>
    <t>3 Yard</t>
  </si>
  <si>
    <t>4 Yard</t>
  </si>
  <si>
    <t>6 Yard</t>
  </si>
  <si>
    <t>8 Yard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</si>
  <si>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</si>
  <si>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</si>
  <si>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</si>
  <si>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</si>
  <si>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</si>
  <si>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</si>
  <si>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</si>
  <si>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</si>
  <si>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</si>
  <si>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</si>
  <si>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3 Yard - Temp</t>
  </si>
  <si>
    <t>4 Yard - Temp</t>
  </si>
  <si>
    <t>6 Yard - Temp</t>
  </si>
  <si>
    <t>8 Yard - Temp</t>
  </si>
  <si>
    <t>32 Gal</t>
  </si>
  <si>
    <t>Monthly Minumum</t>
  </si>
  <si>
    <t>65 Gal</t>
  </si>
  <si>
    <t>90 Gal</t>
  </si>
  <si>
    <t>1 yard</t>
  </si>
  <si>
    <t>1.5 yard</t>
  </si>
  <si>
    <t>6  Yard</t>
  </si>
  <si>
    <t>8 yard</t>
  </si>
  <si>
    <t>1 yard - Special</t>
  </si>
  <si>
    <t>1.5 yard - Special</t>
  </si>
  <si>
    <t>6  Yard - Special</t>
  </si>
  <si>
    <t>8 yard - Special</t>
  </si>
  <si>
    <t>Whitman County TFS</t>
  </si>
  <si>
    <t>Add'l Cont</t>
  </si>
  <si>
    <t>Add'l PU's</t>
  </si>
  <si>
    <t>Company Proposed Revenue</t>
  </si>
  <si>
    <t>No Current Customers</t>
  </si>
  <si>
    <t>5 Can</t>
  </si>
  <si>
    <t>6 Can</t>
  </si>
  <si>
    <t>65 Gal Special</t>
  </si>
  <si>
    <t>90 Gal Special</t>
  </si>
  <si>
    <t>July 15-June 16</t>
  </si>
  <si>
    <t>Jan 16-June 16</t>
  </si>
  <si>
    <t>Average</t>
  </si>
  <si>
    <t>Unit</t>
  </si>
  <si>
    <t>Annual</t>
  </si>
  <si>
    <t>Cust Count</t>
  </si>
  <si>
    <t>Count</t>
  </si>
  <si>
    <t>Cust</t>
  </si>
  <si>
    <t>RL065.0G1W002</t>
  </si>
  <si>
    <t>RL 65 GL 1X WK 2</t>
  </si>
  <si>
    <t>DRIVEIN1-RES</t>
  </si>
  <si>
    <t xml:space="preserve">DRIVE IN 125-250' - RES </t>
  </si>
  <si>
    <t>WI1-RES</t>
  </si>
  <si>
    <t>WALK IN 5-25 FT - RES</t>
  </si>
  <si>
    <t>TIME-RES</t>
  </si>
  <si>
    <t>TIME FEE 1 - RES</t>
  </si>
  <si>
    <t>RESIDENTIAL RECYCLING</t>
  </si>
  <si>
    <t>RRECWGBG</t>
  </si>
  <si>
    <t>RESI RECYCLE WITH GARBAGE</t>
  </si>
  <si>
    <t>TOTAL RESIDENTIAL RECYCLING</t>
  </si>
  <si>
    <t>RL001.0Y1M001</t>
  </si>
  <si>
    <t>RL 1 YD 1X MO 1</t>
  </si>
  <si>
    <t>RL006.0Y5W001</t>
  </si>
  <si>
    <t>RL 6 YD 5X WEEK</t>
  </si>
  <si>
    <t>RL032.0G1W003COMM</t>
  </si>
  <si>
    <t>RL 32 GL 1X WK COMM 3</t>
  </si>
  <si>
    <t>RL065.0G1W002COMM</t>
  </si>
  <si>
    <t>RL 65 GL 1X WK COMM 2</t>
  </si>
  <si>
    <t>RL6C-OC</t>
  </si>
  <si>
    <t>1 RL 6 YD ON CALL - COMM</t>
  </si>
  <si>
    <t xml:space="preserve">DRIVEIN1-COMM </t>
  </si>
  <si>
    <t>DRIVE IN 125-250' - COMM</t>
  </si>
  <si>
    <t>COMMERCIAL RECYCLING</t>
  </si>
  <si>
    <t>RECCOMSVC</t>
  </si>
  <si>
    <t>COMMERCIAL RECYCLE SERVICE</t>
  </si>
  <si>
    <t>RECCOMSVC1W001</t>
  </si>
  <si>
    <t>COMMERCIAL RECYCLE WEEKLY</t>
  </si>
  <si>
    <t>TOTAL COMMERCIAL RECYCLING</t>
  </si>
  <si>
    <t>MEDICAL WASTE</t>
  </si>
  <si>
    <t>HAULMED-COMM</t>
  </si>
  <si>
    <t>MEDICAL WASTE SERVICE - COMM</t>
  </si>
  <si>
    <t>TOTAL MEDICAL WASTE</t>
  </si>
  <si>
    <t>DROP BOX SERVICES</t>
  </si>
  <si>
    <t>DROP BOX HAULS/RENTAL</t>
  </si>
  <si>
    <t>HAUL25-RO</t>
  </si>
  <si>
    <t>HAUL 25 YD - RO</t>
  </si>
  <si>
    <t>HAUL25TEMP-RO</t>
  </si>
  <si>
    <t>HAUL 25 YD TEMP - RO</t>
  </si>
  <si>
    <t>HAUL40-RO</t>
  </si>
  <si>
    <t>HAUL 40 YD - RO</t>
  </si>
  <si>
    <t>HAUL40TEMP-RO</t>
  </si>
  <si>
    <t>HAUL 40 YD TEMP - RO</t>
  </si>
  <si>
    <t>HAUL-CP</t>
  </si>
  <si>
    <t>COMPACTOR HAUL - RO</t>
  </si>
  <si>
    <t>RENT25MO-RO</t>
  </si>
  <si>
    <t>RENTAL FEE 25YD MONTHLY</t>
  </si>
  <si>
    <t>RENT40MO-RO</t>
  </si>
  <si>
    <t>RENTAL FEE 40 YD MONTHLY</t>
  </si>
  <si>
    <t>ROSVC</t>
  </si>
  <si>
    <t>ROLL OFF SERVICE</t>
  </si>
  <si>
    <t>DEL-RO</t>
  </si>
  <si>
    <t>DELIVERY FEE - RO</t>
  </si>
  <si>
    <t>MILE-RO</t>
  </si>
  <si>
    <t>MILEAGE FEE - RO</t>
  </si>
  <si>
    <t xml:space="preserve">TOTAL DROP BOX </t>
  </si>
  <si>
    <t>PASSTHROUGH DISPOSAL</t>
  </si>
  <si>
    <t>DISP-RO</t>
  </si>
  <si>
    <t>DISPOSAL CHARGE - RO</t>
  </si>
  <si>
    <t>TOTAL PASSTHROUGH DISPOSAL</t>
  </si>
  <si>
    <t>Service Charges</t>
  </si>
  <si>
    <t>FINCHG</t>
  </si>
  <si>
    <t>FINANCE CHARGE</t>
  </si>
  <si>
    <t>RETCKC</t>
  </si>
  <si>
    <t>RETURN CHECK CHARGE</t>
  </si>
  <si>
    <t>ADJ-FIN</t>
  </si>
  <si>
    <t>ADJUSTMENT FINANCE CHARGE</t>
  </si>
  <si>
    <t>TOTAL SERVICE CHARGES</t>
  </si>
  <si>
    <t>TOTAL REVENUE</t>
  </si>
  <si>
    <t>Transfer Station</t>
  </si>
  <si>
    <t>Roll Off</t>
  </si>
  <si>
    <t>MSW</t>
  </si>
  <si>
    <t>$</t>
  </si>
  <si>
    <t>Lbs</t>
  </si>
  <si>
    <t>%</t>
  </si>
  <si>
    <t>Regulated</t>
  </si>
  <si>
    <t>Non-Regulated</t>
  </si>
  <si>
    <t>From "Empire Disposal Allocation 6-30-2016.xls"</t>
  </si>
  <si>
    <t>Empire Disposal, Inc. G-75</t>
  </si>
  <si>
    <t>Grossed Up Increase per ton</t>
  </si>
  <si>
    <t>Tons Collected</t>
  </si>
  <si>
    <t>Disposal Fee Revenue Increase</t>
  </si>
  <si>
    <t>Company Proposed Rates</t>
  </si>
  <si>
    <t>Res'l &amp; Com'l</t>
  </si>
  <si>
    <t>Revenue Inc from Co Proposed Rates</t>
  </si>
  <si>
    <t>Collected Revenue Excess/(Deficiency)</t>
  </si>
  <si>
    <t>Whitman Dump Fee Calculation</t>
  </si>
  <si>
    <t>Effective 1-1-2017</t>
  </si>
  <si>
    <t>Tariff Page</t>
  </si>
  <si>
    <t>Scheduled Service</t>
  </si>
  <si>
    <t>Tariff Rate Increase</t>
  </si>
  <si>
    <t>Company Calculated Rate</t>
  </si>
  <si>
    <t>Company Increased Revenue</t>
  </si>
  <si>
    <t>Check</t>
  </si>
  <si>
    <t>Revised Tariff Rate</t>
  </si>
  <si>
    <t>Revised Revenue</t>
  </si>
  <si>
    <t>Revised Revenue Increase</t>
  </si>
  <si>
    <t xml:space="preserve"> Company Over/ (Under)</t>
  </si>
  <si>
    <t>Totals</t>
  </si>
  <si>
    <t>Note from Heather Garland: Customer Counts and Disposal Schedule have been copied from TG-160932.</t>
  </si>
  <si>
    <t>Proposed Whitman Rates Effective 1-1-2017</t>
  </si>
  <si>
    <t>Current Tariff Rate</t>
  </si>
  <si>
    <t>Proposed Increase</t>
  </si>
  <si>
    <t>New 1/1/2017 Rate</t>
  </si>
  <si>
    <t>Whitman Disposal Summary</t>
  </si>
  <si>
    <t>Jul. 1, 2015 - Jun. 30, 2016</t>
  </si>
  <si>
    <t>Item 55, Pg. 21</t>
  </si>
  <si>
    <t>Item 100, Pg. 26</t>
  </si>
  <si>
    <t>Item 100, Pg. 27</t>
  </si>
  <si>
    <t>Item 150, Pg. 30</t>
  </si>
  <si>
    <t>Item 230, Pg. 36</t>
  </si>
  <si>
    <t>Item 240, Pg. 37</t>
  </si>
  <si>
    <t>Item 245, Pg 38</t>
  </si>
  <si>
    <t>Item 255, Pg 39</t>
  </si>
  <si>
    <t>90 Gal Special PU</t>
  </si>
  <si>
    <t>65 Gal Special PU</t>
  </si>
  <si>
    <t>32 Gal Special PU</t>
  </si>
  <si>
    <t>Resi.</t>
  </si>
  <si>
    <t>Roll-Off</t>
  </si>
  <si>
    <t>Note from Heather Garland: Customer Counts and Disposal Schedule have been copied from TG-160932.  The information shaded gray was taken directly from the audited file.</t>
  </si>
  <si>
    <t>Empire Dump Fee Calc References</t>
  </si>
  <si>
    <t>Comm.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</si>
</sst>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0.0%"/>
    <numFmt numFmtId="167" formatCode="_(&quot;$&quot;* #,##0.000_);_(&quot;$&quot;* \(#,##0.000\);_(&quot;$&quot;* &quot;-&quot;??_);_(@_)"/>
    <numFmt numFmtId="168" formatCode="_(* #,##0.000000_);_(* \(#,##0.000000\);_(* &quot;-&quot;??_);_(@_)"/>
    <numFmt numFmtId="169" formatCode="_(&quot;$&quot;* #,##0.000000_);_(&quot;$&quot;* \(#,##0.000000\);_(&quot;$&quot;* &quot;-&quot;??_);_(@_)"/>
    <numFmt numFmtId="170" formatCode="0.0000%"/>
    <numFmt numFmtId="171" formatCode="0.000000"/>
    <numFmt numFmtId="172" formatCode="&quot;$&quot;#,##0\ ;\(&quot;$&quot;#,##0\)"/>
    <numFmt numFmtId="173" formatCode="_([$$-409]* #,##0.00_);_([$$-409]* \(#,##0.00\);_([$$-409]* &quot;-&quot;??_);_(@_)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8"/>
      <color indexed="61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1"/>
      <name val="Calibri"/>
      <family val="2"/>
    </font>
    <font>
      <sz val="12"/>
      <name val="CG Omega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u/>
      <sz val="11"/>
      <color theme="10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0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rgb="FF3366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 val="singleAccounting"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8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6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2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41" fontId="3" fillId="0" borderId="0"/>
    <xf numFmtId="41" fontId="3" fillId="0" borderId="0"/>
    <xf numFmtId="41" fontId="3" fillId="0" borderId="0"/>
    <xf numFmtId="41" fontId="3" fillId="0" borderId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3" fontId="3" fillId="0" borderId="0"/>
    <xf numFmtId="3" fontId="3" fillId="0" borderId="0"/>
    <xf numFmtId="3" fontId="3" fillId="0" borderId="0"/>
    <xf numFmtId="3" fontId="3" fillId="0" borderId="0"/>
    <xf numFmtId="0" fontId="7" fillId="24" borderId="3" applyNumberFormat="0" applyAlignment="0" applyProtection="0"/>
    <xf numFmtId="0" fontId="7" fillId="2" borderId="3" applyNumberFormat="0" applyAlignment="0" applyProtection="0"/>
    <xf numFmtId="0" fontId="8" fillId="24" borderId="3" applyNumberFormat="0" applyAlignment="0" applyProtection="0"/>
    <xf numFmtId="0" fontId="9" fillId="25" borderId="4" applyNumberFormat="0" applyAlignment="0" applyProtection="0"/>
    <xf numFmtId="0" fontId="9" fillId="26" borderId="5" applyNumberFormat="0" applyAlignment="0" applyProtection="0"/>
    <xf numFmtId="0" fontId="3" fillId="27" borderId="0">
      <alignment horizontal="center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" fillId="0" borderId="0"/>
    <xf numFmtId="0" fontId="12" fillId="0" borderId="0"/>
    <xf numFmtId="0" fontId="12" fillId="0" borderId="0"/>
    <xf numFmtId="0" fontId="13" fillId="28" borderId="6" applyAlignment="0">
      <alignment horizontal="right"/>
      <protection locked="0"/>
    </xf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29" borderId="0">
      <alignment horizontal="right"/>
      <protection locked="0"/>
    </xf>
    <xf numFmtId="14" fontId="3" fillId="0" borderId="0"/>
    <xf numFmtId="0" fontId="16" fillId="0" borderId="0" applyNumberFormat="0" applyFill="0" applyBorder="0" applyAlignment="0" applyProtection="0"/>
    <xf numFmtId="2" fontId="15" fillId="29" borderId="0">
      <alignment horizontal="right"/>
      <protection locked="0"/>
    </xf>
    <xf numFmtId="1" fontId="3" fillId="0" borderId="0">
      <alignment horizontal="center"/>
    </xf>
    <xf numFmtId="0" fontId="17" fillId="30" borderId="0" applyNumberFormat="0" applyBorder="0" applyAlignment="0" applyProtection="0"/>
    <xf numFmtId="0" fontId="17" fillId="9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8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0" applyNumberFormat="0" applyFill="0" applyAlignment="0" applyProtection="0"/>
    <xf numFmtId="0" fontId="20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2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10" borderId="3" applyNumberFormat="0" applyAlignment="0" applyProtection="0"/>
    <xf numFmtId="0" fontId="28" fillId="10" borderId="3" applyNumberFormat="0" applyAlignment="0" applyProtection="0"/>
    <xf numFmtId="3" fontId="29" fillId="31" borderId="0">
      <protection locked="0"/>
    </xf>
    <xf numFmtId="4" fontId="29" fillId="31" borderId="0">
      <protection locked="0"/>
    </xf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2" fillId="10" borderId="0" applyNumberFormat="0" applyBorder="0" applyAlignment="0" applyProtection="0"/>
    <xf numFmtId="0" fontId="33" fillId="10" borderId="0" applyNumberFormat="0" applyBorder="0" applyAlignment="0" applyProtection="0"/>
    <xf numFmtId="43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4" fillId="0" borderId="0"/>
    <xf numFmtId="0" fontId="1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" fillId="0" borderId="0"/>
    <xf numFmtId="0" fontId="3" fillId="0" borderId="0"/>
    <xf numFmtId="0" fontId="3" fillId="0" borderId="0"/>
    <xf numFmtId="0" fontId="4" fillId="6" borderId="17" applyNumberFormat="0" applyFont="0" applyAlignment="0" applyProtection="0"/>
    <xf numFmtId="0" fontId="10" fillId="6" borderId="17" applyNumberFormat="0" applyFont="0" applyAlignment="0" applyProtection="0"/>
    <xf numFmtId="0" fontId="34" fillId="6" borderId="17" applyNumberFormat="0" applyFont="0" applyAlignment="0" applyProtection="0"/>
    <xf numFmtId="166" fontId="36" fillId="0" borderId="0" applyNumberFormat="0"/>
    <xf numFmtId="0" fontId="22" fillId="24" borderId="18" applyNumberFormat="0" applyAlignment="0" applyProtection="0"/>
    <xf numFmtId="0" fontId="37" fillId="24" borderId="1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 applyNumberFormat="0" applyFont="0" applyFill="0" applyBorder="0" applyAlignment="0" applyProtection="0">
      <alignment horizontal="left"/>
    </xf>
    <xf numFmtId="0" fontId="39" fillId="0" borderId="20">
      <alignment horizont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 applyNumberFormat="0" applyBorder="0" applyAlignment="0"/>
    <xf numFmtId="37" fontId="41" fillId="0" borderId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5" fillId="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47" fillId="0" borderId="0" applyNumberFormat="0" applyFont="0" applyFill="0" applyBorder="0">
      <alignment horizontal="left" indent="4"/>
      <protection locked="0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34" borderId="0" applyNumberFormat="0" applyFont="0" applyBorder="0" applyAlignment="0" applyProtection="0"/>
    <xf numFmtId="0" fontId="31" fillId="0" borderId="0" applyNumberFormat="0" applyFill="0" applyBorder="0" applyAlignment="0" applyProtection="0"/>
    <xf numFmtId="164" fontId="35" fillId="35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12" borderId="0" applyNumberFormat="0" applyBorder="0" applyAlignment="0" applyProtection="0"/>
    <xf numFmtId="0" fontId="5" fillId="22" borderId="0" applyNumberFormat="0" applyBorder="0" applyAlignment="0" applyProtection="0"/>
    <xf numFmtId="0" fontId="5" fillId="15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6" fillId="7" borderId="0" applyNumberFormat="0" applyBorder="0" applyAlignment="0" applyProtection="0"/>
    <xf numFmtId="0" fontId="7" fillId="24" borderId="3" applyNumberFormat="0" applyAlignment="0" applyProtection="0"/>
    <xf numFmtId="0" fontId="50" fillId="24" borderId="3" applyNumberFormat="0" applyAlignment="0" applyProtection="0"/>
    <xf numFmtId="0" fontId="7" fillId="2" borderId="3" applyNumberFormat="0" applyAlignment="0" applyProtection="0"/>
    <xf numFmtId="0" fontId="8" fillId="24" borderId="3" applyNumberFormat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38" fillId="0" borderId="0" applyFont="0" applyFill="0" applyBorder="0" applyAlignment="0" applyProtection="0"/>
    <xf numFmtId="0" fontId="3" fillId="0" borderId="0"/>
    <xf numFmtId="0" fontId="17" fillId="9" borderId="0" applyNumberFormat="0" applyBorder="0" applyAlignment="0" applyProtection="0"/>
    <xf numFmtId="0" fontId="49" fillId="37" borderId="0" applyNumberFormat="0" applyBorder="0" applyAlignment="0" applyProtection="0"/>
    <xf numFmtId="0" fontId="18" fillId="0" borderId="7" applyNumberFormat="0" applyFill="0" applyAlignment="0" applyProtection="0"/>
    <xf numFmtId="0" fontId="52" fillId="0" borderId="25" applyNumberFormat="0" applyFill="0" applyAlignment="0" applyProtection="0"/>
    <xf numFmtId="0" fontId="19" fillId="0" borderId="8" applyNumberFormat="0" applyFill="0" applyAlignment="0" applyProtection="0"/>
    <xf numFmtId="0" fontId="18" fillId="0" borderId="9" applyNumberFormat="0" applyFill="0" applyAlignment="0" applyProtection="0"/>
    <xf numFmtId="0" fontId="20" fillId="0" borderId="10" applyNumberFormat="0" applyFill="0" applyAlignment="0" applyProtection="0"/>
    <xf numFmtId="0" fontId="53" fillId="0" borderId="10" applyNumberFormat="0" applyFill="0" applyAlignment="0" applyProtection="0"/>
    <xf numFmtId="0" fontId="21" fillId="0" borderId="10" applyNumberFormat="0" applyFill="0" applyAlignment="0" applyProtection="0"/>
    <xf numFmtId="0" fontId="20" fillId="0" borderId="11" applyNumberFormat="0" applyFill="0" applyAlignment="0" applyProtection="0"/>
    <xf numFmtId="0" fontId="22" fillId="0" borderId="12" applyNumberFormat="0" applyFill="0" applyAlignment="0" applyProtection="0"/>
    <xf numFmtId="0" fontId="24" fillId="0" borderId="26" applyNumberFormat="0" applyFill="0" applyAlignment="0" applyProtection="0"/>
    <xf numFmtId="0" fontId="23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28" fillId="10" borderId="3" applyNumberFormat="0" applyAlignment="0" applyProtection="0"/>
    <xf numFmtId="0" fontId="30" fillId="0" borderId="15" applyNumberFormat="0" applyFill="0" applyAlignment="0" applyProtection="0"/>
    <xf numFmtId="0" fontId="55" fillId="0" borderId="27" applyNumberFormat="0" applyFill="0" applyAlignment="0" applyProtection="0"/>
    <xf numFmtId="0" fontId="31" fillId="0" borderId="16" applyNumberFormat="0" applyFill="0" applyAlignment="0" applyProtection="0"/>
    <xf numFmtId="0" fontId="32" fillId="10" borderId="0" applyNumberFormat="0" applyBorder="0" applyAlignment="0" applyProtection="0"/>
    <xf numFmtId="0" fontId="56" fillId="10" borderId="0" applyNumberFormat="0" applyBorder="0" applyAlignment="0" applyProtection="0"/>
    <xf numFmtId="0" fontId="33" fillId="10" borderId="0" applyNumberFormat="0" applyBorder="0" applyAlignment="0" applyProtection="0"/>
    <xf numFmtId="0" fontId="4" fillId="0" borderId="0"/>
    <xf numFmtId="0" fontId="4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57" fillId="0" borderId="0"/>
    <xf numFmtId="0" fontId="3" fillId="0" borderId="0"/>
    <xf numFmtId="0" fontId="1" fillId="0" borderId="0"/>
    <xf numFmtId="0" fontId="57" fillId="0" borderId="0"/>
    <xf numFmtId="0" fontId="4" fillId="0" borderId="0"/>
    <xf numFmtId="0" fontId="51" fillId="0" borderId="0"/>
    <xf numFmtId="0" fontId="3" fillId="0" borderId="0"/>
    <xf numFmtId="0" fontId="1" fillId="0" borderId="0"/>
    <xf numFmtId="0" fontId="51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165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" fillId="0" borderId="0"/>
    <xf numFmtId="165" fontId="34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6" borderId="17" applyNumberFormat="0" applyFont="0" applyAlignment="0" applyProtection="0"/>
    <xf numFmtId="0" fontId="11" fillId="6" borderId="17" applyNumberFormat="0" applyFont="0" applyAlignment="0" applyProtection="0"/>
    <xf numFmtId="0" fontId="10" fillId="6" borderId="17" applyNumberFormat="0" applyFont="0" applyAlignment="0" applyProtection="0"/>
    <xf numFmtId="0" fontId="34" fillId="6" borderId="17" applyNumberFormat="0" applyFont="0" applyAlignment="0" applyProtection="0"/>
    <xf numFmtId="0" fontId="37" fillId="24" borderId="19" applyNumberFormat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4" fillId="0" borderId="28" applyNumberFormat="0" applyFill="0" applyAlignment="0" applyProtection="0"/>
    <xf numFmtId="0" fontId="44" fillId="0" borderId="22" applyNumberFormat="0" applyFill="0" applyAlignment="0" applyProtection="0"/>
    <xf numFmtId="0" fontId="44" fillId="0" borderId="23" applyNumberFormat="0" applyFill="0" applyAlignment="0" applyProtection="0"/>
    <xf numFmtId="0" fontId="3" fillId="0" borderId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Font="1"/>
    <xf numFmtId="0" fontId="0" fillId="0" borderId="6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43" fontId="0" fillId="0" borderId="0" xfId="80" applyFont="1"/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45" fillId="0" borderId="0" xfId="0" applyFont="1"/>
    <xf numFmtId="43" fontId="0" fillId="0" borderId="0" xfId="80" applyFont="1" applyAlignment="1">
      <alignment horizontal="center"/>
    </xf>
    <xf numFmtId="0" fontId="0" fillId="0" borderId="0" xfId="0" applyFont="1" applyAlignment="1">
      <alignment horizontal="left" indent="1"/>
    </xf>
    <xf numFmtId="164" fontId="0" fillId="0" borderId="0" xfId="80" applyNumberFormat="1" applyFont="1"/>
    <xf numFmtId="0" fontId="0" fillId="33" borderId="0" xfId="0" applyFont="1" applyFill="1" applyAlignment="1">
      <alignment horizontal="center"/>
    </xf>
    <xf numFmtId="0" fontId="46" fillId="0" borderId="0" xfId="0" applyFont="1" applyFill="1"/>
    <xf numFmtId="0" fontId="46" fillId="0" borderId="0" xfId="0" applyFont="1" applyFill="1" applyAlignment="1">
      <alignment horizontal="center"/>
    </xf>
    <xf numFmtId="0" fontId="0" fillId="32" borderId="6" xfId="0" applyFont="1" applyFill="1" applyBorder="1" applyAlignment="1">
      <alignment horizontal="center"/>
    </xf>
    <xf numFmtId="0" fontId="0" fillId="0" borderId="0" xfId="0" applyFont="1" applyBorder="1"/>
    <xf numFmtId="168" fontId="0" fillId="0" borderId="0" xfId="80" applyNumberFormat="1" applyFont="1"/>
    <xf numFmtId="168" fontId="0" fillId="0" borderId="0" xfId="80" applyNumberFormat="1" applyFont="1" applyBorder="1"/>
    <xf numFmtId="168" fontId="0" fillId="0" borderId="6" xfId="80" applyNumberFormat="1" applyFont="1" applyBorder="1"/>
    <xf numFmtId="170" fontId="0" fillId="0" borderId="0" xfId="0" applyNumberFormat="1" applyFont="1"/>
    <xf numFmtId="171" fontId="0" fillId="0" borderId="0" xfId="0" applyNumberFormat="1" applyFont="1"/>
    <xf numFmtId="0" fontId="0" fillId="0" borderId="0" xfId="0" applyFont="1" applyBorder="1" applyAlignment="1">
      <alignment horizontal="left"/>
    </xf>
    <xf numFmtId="164" fontId="0" fillId="0" borderId="0" xfId="80" applyNumberFormat="1" applyFont="1" applyFill="1" applyBorder="1"/>
    <xf numFmtId="0" fontId="45" fillId="0" borderId="0" xfId="0" applyFont="1" applyFill="1" applyBorder="1"/>
    <xf numFmtId="44" fontId="0" fillId="0" borderId="0" xfId="1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167" fontId="0" fillId="0" borderId="0" xfId="1" applyNumberFormat="1" applyFont="1" applyFill="1" applyBorder="1"/>
    <xf numFmtId="169" fontId="0" fillId="0" borderId="0" xfId="1" applyNumberFormat="1" applyFont="1" applyFill="1" applyBorder="1"/>
    <xf numFmtId="44" fontId="0" fillId="0" borderId="0" xfId="0" applyNumberFormat="1" applyFont="1" applyFill="1" applyBorder="1"/>
    <xf numFmtId="44" fontId="45" fillId="0" borderId="0" xfId="0" applyNumberFormat="1" applyFont="1" applyFill="1" applyBorder="1"/>
    <xf numFmtId="3" fontId="0" fillId="0" borderId="0" xfId="1" applyNumberFormat="1" applyFont="1" applyFill="1" applyBorder="1"/>
    <xf numFmtId="0" fontId="0" fillId="0" borderId="0" xfId="0" applyFont="1" applyFill="1" applyBorder="1" applyAlignment="1">
      <alignment horizontal="center"/>
    </xf>
    <xf numFmtId="164" fontId="45" fillId="0" borderId="6" xfId="332" applyNumberFormat="1" applyFont="1" applyBorder="1" applyAlignment="1">
      <alignment horizontal="center"/>
    </xf>
    <xf numFmtId="164" fontId="0" fillId="0" borderId="0" xfId="332" applyNumberFormat="1" applyFont="1" applyBorder="1"/>
    <xf numFmtId="164" fontId="0" fillId="0" borderId="0" xfId="332" applyNumberFormat="1" applyFont="1" applyBorder="1" applyAlignment="1">
      <alignment horizontal="right"/>
    </xf>
    <xf numFmtId="3" fontId="0" fillId="0" borderId="0" xfId="0" applyNumberFormat="1" applyFont="1" applyFill="1" applyBorder="1"/>
    <xf numFmtId="0" fontId="45" fillId="0" borderId="0" xfId="0" applyFont="1" applyFill="1"/>
    <xf numFmtId="3" fontId="0" fillId="0" borderId="0" xfId="0" applyNumberFormat="1" applyFont="1" applyAlignment="1">
      <alignment horizontal="center"/>
    </xf>
    <xf numFmtId="0" fontId="0" fillId="36" borderId="0" xfId="0" applyFont="1" applyFill="1" applyBorder="1"/>
    <xf numFmtId="0" fontId="0" fillId="36" borderId="0" xfId="0" applyFont="1" applyFill="1" applyBorder="1" applyAlignment="1">
      <alignment horizontal="center"/>
    </xf>
    <xf numFmtId="0" fontId="45" fillId="36" borderId="0" xfId="0" applyFont="1" applyFill="1" applyBorder="1"/>
    <xf numFmtId="164" fontId="0" fillId="36" borderId="0" xfId="332" applyNumberFormat="1" applyFont="1" applyFill="1" applyBorder="1"/>
    <xf numFmtId="0" fontId="0" fillId="0" borderId="0" xfId="0" applyFont="1" applyBorder="1" applyAlignment="1">
      <alignment horizontal="center"/>
    </xf>
    <xf numFmtId="0" fontId="48" fillId="0" borderId="0" xfId="314" applyFont="1" applyBorder="1"/>
    <xf numFmtId="0" fontId="48" fillId="0" borderId="6" xfId="314" applyFont="1" applyBorder="1"/>
    <xf numFmtId="164" fontId="0" fillId="0" borderId="6" xfId="332" applyNumberFormat="1" applyFont="1" applyBorder="1"/>
    <xf numFmtId="0" fontId="48" fillId="0" borderId="24" xfId="316" applyFont="1" applyBorder="1"/>
    <xf numFmtId="164" fontId="0" fillId="0" borderId="24" xfId="332" applyNumberFormat="1" applyFont="1" applyBorder="1"/>
    <xf numFmtId="164" fontId="0" fillId="0" borderId="24" xfId="332" applyNumberFormat="1" applyFont="1" applyFill="1" applyBorder="1"/>
    <xf numFmtId="0" fontId="48" fillId="0" borderId="0" xfId="316" applyFont="1" applyBorder="1"/>
    <xf numFmtId="164" fontId="0" fillId="0" borderId="0" xfId="332" applyNumberFormat="1" applyFont="1" applyFill="1" applyBorder="1"/>
    <xf numFmtId="0" fontId="48" fillId="0" borderId="0" xfId="317" applyFont="1" applyBorder="1"/>
    <xf numFmtId="0" fontId="0" fillId="33" borderId="0" xfId="0" applyFont="1" applyFill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0" xfId="0" applyFont="1" applyFill="1"/>
    <xf numFmtId="44" fontId="0" fillId="0" borderId="0" xfId="0" applyNumberFormat="1" applyFont="1" applyFill="1"/>
    <xf numFmtId="0" fontId="0" fillId="0" borderId="0" xfId="0" applyFont="1" applyAlignment="1">
      <alignment horizontal="center"/>
    </xf>
    <xf numFmtId="43" fontId="48" fillId="0" borderId="0" xfId="462" applyNumberFormat="1" applyFont="1" applyFill="1"/>
    <xf numFmtId="0" fontId="64" fillId="0" borderId="0" xfId="3" applyFont="1" applyFill="1"/>
    <xf numFmtId="0" fontId="64" fillId="0" borderId="0" xfId="3" applyFont="1"/>
    <xf numFmtId="43" fontId="64" fillId="0" borderId="0" xfId="3" applyNumberFormat="1" applyFont="1"/>
    <xf numFmtId="43" fontId="64" fillId="0" borderId="0" xfId="332" applyFont="1"/>
    <xf numFmtId="0" fontId="68" fillId="0" borderId="0" xfId="3" applyFont="1"/>
    <xf numFmtId="10" fontId="0" fillId="0" borderId="0" xfId="2" applyNumberFormat="1" applyFont="1"/>
    <xf numFmtId="0" fontId="61" fillId="32" borderId="6" xfId="0" applyFont="1" applyFill="1" applyBorder="1" applyAlignment="1"/>
    <xf numFmtId="42" fontId="45" fillId="0" borderId="24" xfId="0" applyNumberFormat="1" applyFont="1" applyBorder="1"/>
    <xf numFmtId="3" fontId="0" fillId="32" borderId="6" xfId="0" applyNumberFormat="1" applyFont="1" applyFill="1" applyBorder="1" applyAlignment="1">
      <alignment horizontal="center"/>
    </xf>
    <xf numFmtId="0" fontId="65" fillId="0" borderId="0" xfId="0" applyFont="1" applyFill="1" applyAlignment="1">
      <alignment horizontal="left"/>
    </xf>
    <xf numFmtId="0" fontId="0" fillId="32" borderId="6" xfId="0" applyFont="1" applyFill="1" applyBorder="1"/>
    <xf numFmtId="0" fontId="45" fillId="32" borderId="6" xfId="0" applyFont="1" applyFill="1" applyBorder="1"/>
    <xf numFmtId="0" fontId="45" fillId="0" borderId="0" xfId="0" applyFont="1" applyBorder="1"/>
    <xf numFmtId="0" fontId="45" fillId="0" borderId="0" xfId="0" applyFont="1" applyFill="1" applyBorder="1"/>
    <xf numFmtId="0" fontId="0" fillId="32" borderId="6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/>
    <xf numFmtId="0" fontId="0" fillId="0" borderId="0" xfId="0" applyFont="1" applyFill="1" applyBorder="1"/>
    <xf numFmtId="42" fontId="45" fillId="0" borderId="0" xfId="0" applyNumberFormat="1" applyFont="1" applyBorder="1"/>
    <xf numFmtId="0" fontId="45" fillId="0" borderId="0" xfId="0" applyFont="1"/>
    <xf numFmtId="0" fontId="0" fillId="0" borderId="0" xfId="0" applyFont="1"/>
    <xf numFmtId="0" fontId="45" fillId="0" borderId="0" xfId="0" applyFont="1"/>
    <xf numFmtId="0" fontId="45" fillId="32" borderId="6" xfId="0" applyFont="1" applyFill="1" applyBorder="1" applyAlignment="1">
      <alignment horizontal="center" wrapText="1"/>
    </xf>
    <xf numFmtId="0" fontId="45" fillId="0" borderId="0" xfId="0" applyFont="1" applyBorder="1"/>
    <xf numFmtId="43" fontId="0" fillId="33" borderId="0" xfId="332" applyFont="1" applyFill="1"/>
    <xf numFmtId="43" fontId="45" fillId="0" borderId="0" xfId="332" applyFont="1"/>
    <xf numFmtId="164" fontId="0" fillId="0" borderId="0" xfId="332" applyNumberFormat="1" applyFont="1"/>
    <xf numFmtId="164" fontId="45" fillId="32" borderId="6" xfId="332" applyNumberFormat="1" applyFont="1" applyFill="1" applyBorder="1"/>
    <xf numFmtId="164" fontId="0" fillId="32" borderId="6" xfId="332" applyNumberFormat="1" applyFont="1" applyFill="1" applyBorder="1"/>
    <xf numFmtId="164" fontId="0" fillId="0" borderId="0" xfId="332" applyNumberFormat="1" applyFont="1" applyFill="1"/>
    <xf numFmtId="164" fontId="45" fillId="0" borderId="0" xfId="332" applyNumberFormat="1" applyFont="1"/>
    <xf numFmtId="164" fontId="0" fillId="36" borderId="0" xfId="332" applyNumberFormat="1" applyFont="1" applyFill="1" applyBorder="1" applyAlignment="1">
      <alignment horizontal="right"/>
    </xf>
    <xf numFmtId="164" fontId="0" fillId="0" borderId="6" xfId="332" applyNumberFormat="1" applyFont="1" applyBorder="1" applyAlignment="1">
      <alignment horizontal="right"/>
    </xf>
    <xf numFmtId="164" fontId="0" fillId="0" borderId="24" xfId="332" applyNumberFormat="1" applyFont="1" applyBorder="1" applyAlignment="1">
      <alignment horizontal="right"/>
    </xf>
    <xf numFmtId="164" fontId="0" fillId="0" borderId="0" xfId="332" applyNumberFormat="1" applyFont="1" applyFill="1" applyBorder="1" applyAlignment="1"/>
    <xf numFmtId="43" fontId="0" fillId="0" borderId="0" xfId="332" applyNumberFormat="1" applyFont="1"/>
    <xf numFmtId="43" fontId="0" fillId="32" borderId="6" xfId="332" applyNumberFormat="1" applyFont="1" applyFill="1" applyBorder="1"/>
    <xf numFmtId="43" fontId="0" fillId="36" borderId="0" xfId="332" applyNumberFormat="1" applyFont="1" applyFill="1" applyBorder="1"/>
    <xf numFmtId="43" fontId="0" fillId="0" borderId="0" xfId="332" applyNumberFormat="1" applyFont="1" applyBorder="1"/>
    <xf numFmtId="43" fontId="0" fillId="0" borderId="6" xfId="332" applyNumberFormat="1" applyFont="1" applyBorder="1"/>
    <xf numFmtId="43" fontId="0" fillId="0" borderId="24" xfId="332" applyNumberFormat="1" applyFont="1" applyFill="1" applyBorder="1"/>
    <xf numFmtId="43" fontId="0" fillId="0" borderId="0" xfId="332" applyNumberFormat="1" applyFont="1" applyFill="1" applyBorder="1"/>
    <xf numFmtId="43" fontId="0" fillId="0" borderId="0" xfId="332" applyNumberFormat="1" applyFont="1" applyFill="1" applyBorder="1" applyAlignment="1"/>
    <xf numFmtId="173" fontId="0" fillId="0" borderId="0" xfId="0" applyNumberFormat="1" applyFont="1"/>
    <xf numFmtId="173" fontId="0" fillId="0" borderId="0" xfId="0" applyNumberFormat="1" applyFont="1" applyFill="1"/>
    <xf numFmtId="173" fontId="45" fillId="32" borderId="6" xfId="0" applyNumberFormat="1" applyFont="1" applyFill="1" applyBorder="1"/>
    <xf numFmtId="173" fontId="0" fillId="32" borderId="6" xfId="0" applyNumberFormat="1" applyFont="1" applyFill="1" applyBorder="1"/>
    <xf numFmtId="173" fontId="45" fillId="0" borderId="0" xfId="0" applyNumberFormat="1" applyFont="1"/>
    <xf numFmtId="173" fontId="0" fillId="36" borderId="0" xfId="332" applyNumberFormat="1" applyFont="1" applyFill="1" applyBorder="1"/>
    <xf numFmtId="173" fontId="0" fillId="36" borderId="0" xfId="0" applyNumberFormat="1" applyFont="1" applyFill="1" applyBorder="1"/>
    <xf numFmtId="173" fontId="0" fillId="0" borderId="0" xfId="1" applyNumberFormat="1" applyFont="1" applyBorder="1"/>
    <xf numFmtId="173" fontId="0" fillId="0" borderId="6" xfId="0" applyNumberFormat="1" applyFont="1" applyBorder="1"/>
    <xf numFmtId="173" fontId="0" fillId="0" borderId="6" xfId="1" applyNumberFormat="1" applyFont="1" applyBorder="1"/>
    <xf numFmtId="173" fontId="0" fillId="0" borderId="0" xfId="0" applyNumberFormat="1" applyFont="1" applyBorder="1"/>
    <xf numFmtId="173" fontId="0" fillId="0" borderId="24" xfId="0" applyNumberFormat="1" applyFont="1" applyBorder="1"/>
    <xf numFmtId="173" fontId="0" fillId="0" borderId="24" xfId="1" applyNumberFormat="1" applyFont="1" applyBorder="1"/>
    <xf numFmtId="173" fontId="0" fillId="0" borderId="0" xfId="1" applyNumberFormat="1" applyFont="1" applyFill="1" applyBorder="1"/>
    <xf numFmtId="173" fontId="0" fillId="0" borderId="0" xfId="0" applyNumberFormat="1"/>
    <xf numFmtId="173" fontId="0" fillId="39" borderId="0" xfId="0" applyNumberFormat="1" applyFont="1" applyFill="1"/>
    <xf numFmtId="0" fontId="60" fillId="39" borderId="37" xfId="0" applyFont="1" applyFill="1" applyBorder="1"/>
    <xf numFmtId="0" fontId="0" fillId="39" borderId="34" xfId="0" applyFont="1" applyFill="1" applyBorder="1"/>
    <xf numFmtId="0" fontId="0" fillId="39" borderId="33" xfId="0" applyFont="1" applyFill="1" applyBorder="1"/>
    <xf numFmtId="0" fontId="0" fillId="39" borderId="20" xfId="0" applyFont="1" applyFill="1" applyBorder="1"/>
    <xf numFmtId="43" fontId="48" fillId="39" borderId="0" xfId="4" quotePrefix="1" applyFont="1" applyFill="1" applyAlignment="1">
      <alignment horizontal="right"/>
    </xf>
    <xf numFmtId="43" fontId="61" fillId="39" borderId="0" xfId="4" applyFont="1" applyFill="1" applyBorder="1"/>
    <xf numFmtId="44" fontId="48" fillId="39" borderId="0" xfId="333" quotePrefix="1" applyFont="1" applyFill="1" applyAlignment="1">
      <alignment horizontal="right"/>
    </xf>
    <xf numFmtId="44" fontId="63" fillId="39" borderId="0" xfId="333" quotePrefix="1" applyFont="1" applyFill="1" applyBorder="1" applyAlignment="1">
      <alignment horizontal="right"/>
    </xf>
    <xf numFmtId="17" fontId="48" fillId="39" borderId="0" xfId="152" applyNumberFormat="1" applyFont="1" applyFill="1" applyAlignment="1">
      <alignment horizontal="left"/>
    </xf>
    <xf numFmtId="44" fontId="0" fillId="39" borderId="0" xfId="0" applyNumberFormat="1" applyFont="1" applyFill="1"/>
    <xf numFmtId="44" fontId="61" fillId="39" borderId="6" xfId="333" applyFont="1" applyFill="1" applyBorder="1" applyAlignment="1">
      <alignment horizontal="center"/>
    </xf>
    <xf numFmtId="43" fontId="0" fillId="39" borderId="0" xfId="0" applyNumberFormat="1" applyFont="1" applyFill="1" applyBorder="1"/>
    <xf numFmtId="43" fontId="61" fillId="39" borderId="31" xfId="4" applyFont="1" applyFill="1" applyBorder="1"/>
    <xf numFmtId="0" fontId="58" fillId="39" borderId="0" xfId="0" applyFont="1" applyFill="1"/>
    <xf numFmtId="0" fontId="59" fillId="39" borderId="32" xfId="0" applyFont="1" applyFill="1" applyBorder="1"/>
    <xf numFmtId="0" fontId="0" fillId="39" borderId="35" xfId="0" applyFont="1" applyFill="1" applyBorder="1"/>
    <xf numFmtId="0" fontId="0" fillId="39" borderId="36" xfId="0" applyFont="1" applyFill="1" applyBorder="1"/>
    <xf numFmtId="43" fontId="62" fillId="39" borderId="0" xfId="4" applyFont="1" applyFill="1" applyBorder="1"/>
    <xf numFmtId="44" fontId="62" fillId="39" borderId="0" xfId="333" applyFont="1" applyFill="1" applyBorder="1"/>
    <xf numFmtId="0" fontId="61" fillId="39" borderId="0" xfId="152" applyFont="1" applyFill="1"/>
    <xf numFmtId="3" fontId="0" fillId="0" borderId="0" xfId="0" applyNumberFormat="1" applyFont="1" applyFill="1" applyAlignment="1">
      <alignment horizontal="center"/>
    </xf>
    <xf numFmtId="44" fontId="48" fillId="39" borderId="0" xfId="333" applyFont="1" applyFill="1"/>
    <xf numFmtId="0" fontId="48" fillId="39" borderId="0" xfId="152" applyFont="1" applyFill="1"/>
    <xf numFmtId="43" fontId="48" fillId="39" borderId="0" xfId="4" applyFont="1" applyFill="1"/>
    <xf numFmtId="0" fontId="0" fillId="39" borderId="38" xfId="0" applyFont="1" applyFill="1" applyBorder="1"/>
    <xf numFmtId="43" fontId="61" fillId="39" borderId="6" xfId="4" applyFont="1" applyFill="1" applyBorder="1" applyAlignment="1">
      <alignment horizontal="center"/>
    </xf>
    <xf numFmtId="44" fontId="0" fillId="0" borderId="36" xfId="1" applyFont="1" applyFill="1" applyBorder="1"/>
    <xf numFmtId="43" fontId="63" fillId="39" borderId="0" xfId="4" quotePrefix="1" applyFont="1" applyFill="1" applyBorder="1" applyAlignment="1">
      <alignment horizontal="right"/>
    </xf>
    <xf numFmtId="43" fontId="0" fillId="39" borderId="6" xfId="0" applyNumberFormat="1" applyFont="1" applyFill="1" applyBorder="1"/>
    <xf numFmtId="10" fontId="0" fillId="39" borderId="0" xfId="2" applyNumberFormat="1" applyFont="1" applyFill="1" applyBorder="1"/>
    <xf numFmtId="0" fontId="0" fillId="0" borderId="24" xfId="0" applyFont="1" applyFill="1" applyBorder="1" applyAlignment="1">
      <alignment horizontal="center"/>
    </xf>
    <xf numFmtId="0" fontId="58" fillId="0" borderId="0" xfId="0" applyFont="1" applyBorder="1" applyAlignment="1"/>
    <xf numFmtId="0" fontId="45" fillId="0" borderId="0" xfId="0" applyFont="1" applyBorder="1"/>
    <xf numFmtId="0" fontId="0" fillId="33" borderId="0" xfId="0" applyFill="1"/>
    <xf numFmtId="43" fontId="0" fillId="0" borderId="0" xfId="332" applyFont="1"/>
    <xf numFmtId="0" fontId="0" fillId="0" borderId="0" xfId="0" applyFont="1"/>
    <xf numFmtId="10" fontId="0" fillId="0" borderId="0" xfId="2" applyNumberFormat="1" applyFont="1" applyBorder="1" applyAlignment="1">
      <alignment horizontal="right"/>
    </xf>
    <xf numFmtId="164" fontId="0" fillId="0" borderId="0" xfId="332" applyNumberFormat="1" applyFont="1" applyBorder="1" applyAlignment="1">
      <alignment horizontal="right"/>
    </xf>
    <xf numFmtId="164" fontId="0" fillId="0" borderId="0" xfId="332" applyNumberFormat="1" applyFont="1" applyBorder="1"/>
    <xf numFmtId="0" fontId="0" fillId="0" borderId="0" xfId="0" applyFont="1" applyBorder="1" applyAlignment="1">
      <alignment horizontal="center"/>
    </xf>
    <xf numFmtId="164" fontId="0" fillId="0" borderId="0" xfId="332" applyNumberFormat="1" applyFont="1" applyFill="1" applyBorder="1"/>
    <xf numFmtId="43" fontId="0" fillId="0" borderId="0" xfId="332" applyNumberFormat="1" applyFont="1" applyFill="1" applyBorder="1"/>
    <xf numFmtId="0" fontId="45" fillId="0" borderId="32" xfId="0" applyFont="1" applyBorder="1"/>
    <xf numFmtId="0" fontId="0" fillId="0" borderId="35" xfId="0" applyFont="1" applyBorder="1"/>
    <xf numFmtId="164" fontId="0" fillId="0" borderId="0" xfId="332" applyNumberFormat="1" applyFont="1" applyFill="1" applyBorder="1" applyAlignment="1">
      <alignment horizontal="right"/>
    </xf>
    <xf numFmtId="0" fontId="0" fillId="0" borderId="37" xfId="0" applyFont="1" applyBorder="1"/>
    <xf numFmtId="0" fontId="0" fillId="0" borderId="38" xfId="0" applyFont="1" applyBorder="1"/>
    <xf numFmtId="3" fontId="0" fillId="32" borderId="39" xfId="0" applyNumberFormat="1" applyFont="1" applyFill="1" applyBorder="1" applyAlignment="1">
      <alignment horizontal="center"/>
    </xf>
    <xf numFmtId="0" fontId="0" fillId="0" borderId="0" xfId="0" applyFont="1" applyFill="1"/>
    <xf numFmtId="43" fontId="45" fillId="32" borderId="0" xfId="332" applyFont="1" applyFill="1" applyBorder="1" applyAlignment="1">
      <alignment horizontal="center" wrapText="1"/>
    </xf>
    <xf numFmtId="0" fontId="45" fillId="39" borderId="6" xfId="0" applyFont="1" applyFill="1" applyBorder="1" applyAlignment="1">
      <alignment horizontal="center"/>
    </xf>
    <xf numFmtId="43" fontId="0" fillId="39" borderId="0" xfId="0" applyNumberFormat="1" applyFont="1" applyFill="1"/>
    <xf numFmtId="0" fontId="45" fillId="39" borderId="0" xfId="0" applyFont="1" applyFill="1" applyBorder="1"/>
    <xf numFmtId="0" fontId="0" fillId="39" borderId="0" xfId="0" applyFont="1" applyFill="1" applyBorder="1"/>
    <xf numFmtId="0" fontId="0" fillId="39" borderId="0" xfId="0" applyFont="1" applyFill="1"/>
    <xf numFmtId="0" fontId="0" fillId="0" borderId="0" xfId="0" applyFont="1" applyFill="1" applyBorder="1" applyAlignment="1">
      <alignment horizontal="center" vertical="center" textRotation="90"/>
    </xf>
    <xf numFmtId="0" fontId="64" fillId="39" borderId="0" xfId="3" applyFont="1" applyFill="1"/>
    <xf numFmtId="164" fontId="0" fillId="39" borderId="0" xfId="4" applyNumberFormat="1" applyFont="1" applyFill="1"/>
    <xf numFmtId="0" fontId="65" fillId="39" borderId="0" xfId="3" applyFont="1" applyFill="1"/>
    <xf numFmtId="0" fontId="64" fillId="39" borderId="0" xfId="3" applyFont="1" applyFill="1" applyAlignment="1">
      <alignment horizontal="center"/>
    </xf>
    <xf numFmtId="2" fontId="64" fillId="39" borderId="0" xfId="3" applyNumberFormat="1" applyFont="1" applyFill="1"/>
    <xf numFmtId="0" fontId="65" fillId="39" borderId="0" xfId="3" applyFont="1" applyFill="1" applyAlignment="1">
      <alignment horizontal="center" wrapText="1"/>
    </xf>
    <xf numFmtId="0" fontId="65" fillId="39" borderId="0" xfId="3" applyFont="1" applyFill="1" applyAlignment="1">
      <alignment horizontal="center"/>
    </xf>
    <xf numFmtId="17" fontId="65" fillId="39" borderId="0" xfId="3" applyNumberFormat="1" applyFont="1" applyFill="1" applyAlignment="1">
      <alignment horizontal="center"/>
    </xf>
    <xf numFmtId="164" fontId="65" fillId="39" borderId="0" xfId="4" applyNumberFormat="1" applyFont="1" applyFill="1" applyAlignment="1">
      <alignment horizontal="center"/>
    </xf>
    <xf numFmtId="14" fontId="65" fillId="39" borderId="0" xfId="3" applyNumberFormat="1" applyFont="1" applyFill="1" applyAlignment="1">
      <alignment horizontal="center" wrapText="1"/>
    </xf>
    <xf numFmtId="164" fontId="65" fillId="39" borderId="0" xfId="4" applyNumberFormat="1" applyFont="1" applyFill="1" applyAlignment="1">
      <alignment horizontal="center" wrapText="1"/>
    </xf>
    <xf numFmtId="0" fontId="67" fillId="39" borderId="0" xfId="3" applyFont="1" applyFill="1" applyAlignment="1">
      <alignment horizontal="left"/>
    </xf>
    <xf numFmtId="0" fontId="66" fillId="39" borderId="0" xfId="3" applyFont="1" applyFill="1" applyAlignment="1">
      <alignment horizontal="center"/>
    </xf>
    <xf numFmtId="164" fontId="64" fillId="39" borderId="0" xfId="4" applyNumberFormat="1" applyFont="1" applyFill="1"/>
    <xf numFmtId="0" fontId="65" fillId="39" borderId="0" xfId="3" applyFont="1" applyFill="1" applyAlignment="1">
      <alignment horizontal="left"/>
    </xf>
    <xf numFmtId="43" fontId="64" fillId="39" borderId="0" xfId="4" applyFont="1" applyFill="1" applyAlignment="1">
      <alignment horizontal="center"/>
    </xf>
    <xf numFmtId="43" fontId="64" fillId="39" borderId="0" xfId="3" applyNumberFormat="1" applyFont="1" applyFill="1"/>
    <xf numFmtId="164" fontId="0" fillId="39" borderId="0" xfId="0" applyNumberFormat="1" applyFont="1" applyFill="1"/>
    <xf numFmtId="164" fontId="64" fillId="39" borderId="0" xfId="3" applyNumberFormat="1" applyFont="1" applyFill="1"/>
    <xf numFmtId="0" fontId="48" fillId="39" borderId="0" xfId="0" applyFont="1" applyFill="1"/>
    <xf numFmtId="0" fontId="64" fillId="39" borderId="0" xfId="3" applyFont="1" applyFill="1" applyBorder="1"/>
    <xf numFmtId="0" fontId="65" fillId="39" borderId="0" xfId="3" applyFont="1" applyFill="1" applyBorder="1" applyAlignment="1">
      <alignment horizontal="right"/>
    </xf>
    <xf numFmtId="44" fontId="61" fillId="39" borderId="1" xfId="333" applyFont="1" applyFill="1" applyBorder="1"/>
    <xf numFmtId="164" fontId="45" fillId="39" borderId="2" xfId="0" applyNumberFormat="1" applyFont="1" applyFill="1" applyBorder="1"/>
    <xf numFmtId="0" fontId="67" fillId="39" borderId="0" xfId="3" applyFont="1" applyFill="1" applyAlignment="1">
      <alignment horizontal="center"/>
    </xf>
    <xf numFmtId="43" fontId="64" fillId="39" borderId="0" xfId="4" applyFont="1" applyFill="1"/>
    <xf numFmtId="0" fontId="46" fillId="39" borderId="0" xfId="0" applyFont="1" applyFill="1" applyBorder="1"/>
    <xf numFmtId="164" fontId="65" fillId="39" borderId="2" xfId="3" applyNumberFormat="1" applyFont="1" applyFill="1" applyBorder="1"/>
    <xf numFmtId="43" fontId="68" fillId="39" borderId="0" xfId="4" applyFont="1" applyFill="1" applyAlignment="1">
      <alignment horizontal="center"/>
    </xf>
    <xf numFmtId="0" fontId="68" fillId="39" borderId="0" xfId="3" applyFont="1" applyFill="1"/>
    <xf numFmtId="0" fontId="64" fillId="39" borderId="0" xfId="0" applyFont="1" applyFill="1" applyAlignment="1">
      <alignment vertical="top"/>
    </xf>
    <xf numFmtId="0" fontId="65" fillId="39" borderId="0" xfId="3" applyFont="1" applyFill="1" applyAlignment="1">
      <alignment horizontal="right"/>
    </xf>
    <xf numFmtId="44" fontId="61" fillId="39" borderId="0" xfId="333" applyFont="1" applyFill="1" applyBorder="1"/>
    <xf numFmtId="0" fontId="65" fillId="39" borderId="0" xfId="3" applyFont="1" applyFill="1" applyBorder="1"/>
    <xf numFmtId="43" fontId="0" fillId="39" borderId="0" xfId="4" applyFont="1" applyFill="1"/>
    <xf numFmtId="44" fontId="0" fillId="0" borderId="0" xfId="1" applyFont="1" applyFill="1"/>
    <xf numFmtId="167" fontId="0" fillId="0" borderId="0" xfId="1" applyNumberFormat="1" applyFont="1" applyFill="1"/>
    <xf numFmtId="44" fontId="0" fillId="0" borderId="6" xfId="1" applyFont="1" applyFill="1" applyBorder="1"/>
    <xf numFmtId="167" fontId="0" fillId="0" borderId="6" xfId="1" applyNumberFormat="1" applyFont="1" applyFill="1" applyBorder="1"/>
    <xf numFmtId="169" fontId="0" fillId="0" borderId="0" xfId="1" applyNumberFormat="1" applyFont="1" applyFill="1"/>
    <xf numFmtId="43" fontId="0" fillId="0" borderId="0" xfId="332" applyNumberFormat="1" applyFont="1" applyFill="1"/>
    <xf numFmtId="0" fontId="0" fillId="0" borderId="0" xfId="0" applyFill="1"/>
    <xf numFmtId="10" fontId="0" fillId="0" borderId="0" xfId="2" applyNumberFormat="1" applyFont="1" applyFill="1" applyBorder="1"/>
    <xf numFmtId="44" fontId="0" fillId="0" borderId="0" xfId="0" applyNumberFormat="1" applyFont="1"/>
    <xf numFmtId="0" fontId="0" fillId="3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45" fillId="32" borderId="6" xfId="0" applyFont="1" applyFill="1" applyBorder="1" applyAlignment="1">
      <alignment horizontal="center"/>
    </xf>
    <xf numFmtId="0" fontId="0" fillId="3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0" borderId="24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center" textRotation="90" wrapText="1"/>
    </xf>
    <xf numFmtId="0" fontId="58" fillId="39" borderId="0" xfId="0" applyFont="1" applyFill="1" applyBorder="1" applyAlignment="1">
      <alignment horizontal="left" wrapText="1"/>
    </xf>
    <xf numFmtId="43" fontId="61" fillId="39" borderId="29" xfId="4" applyFont="1" applyFill="1" applyBorder="1" applyAlignment="1">
      <alignment horizontal="center"/>
    </xf>
    <xf numFmtId="43" fontId="61" fillId="39" borderId="1" xfId="4" applyFont="1" applyFill="1" applyBorder="1" applyAlignment="1">
      <alignment horizontal="center"/>
    </xf>
    <xf numFmtId="43" fontId="61" fillId="39" borderId="30" xfId="4" applyFont="1" applyFill="1" applyBorder="1" applyAlignment="1">
      <alignment horizontal="center"/>
    </xf>
    <xf numFmtId="0" fontId="61" fillId="39" borderId="29" xfId="152" applyFont="1" applyFill="1" applyBorder="1" applyAlignment="1">
      <alignment horizontal="center"/>
    </xf>
    <xf numFmtId="0" fontId="61" fillId="39" borderId="30" xfId="152" applyFont="1" applyFill="1" applyBorder="1" applyAlignment="1">
      <alignment horizontal="center"/>
    </xf>
    <xf numFmtId="43" fontId="71" fillId="39" borderId="0" xfId="4" applyFont="1" applyFill="1" applyAlignment="1">
      <alignment horizontal="center"/>
    </xf>
    <xf numFmtId="0" fontId="61" fillId="39" borderId="0" xfId="152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vertical="center" textRotation="90"/>
    </xf>
  </cellXfs>
  <cellStyles count="565">
    <cellStyle name="20% - Accent1 2" xfId="6"/>
    <cellStyle name="20% - Accent1 2 2" xfId="334"/>
    <cellStyle name="20% - Accent1 2 3" xfId="335"/>
    <cellStyle name="20% - Accent1 3" xfId="7"/>
    <cellStyle name="20% - Accent1 3 2" xfId="336"/>
    <cellStyle name="20% - Accent1 3 3" xfId="337"/>
    <cellStyle name="20% - Accent1 4" xfId="8"/>
    <cellStyle name="20% - Accent2 2" xfId="9"/>
    <cellStyle name="20% - Accent2 3" xfId="297"/>
    <cellStyle name="20% - Accent2 3 2" xfId="338"/>
    <cellStyle name="20% - Accent3 2" xfId="10"/>
    <cellStyle name="20% - Accent3 3" xfId="298"/>
    <cellStyle name="20% - Accent3 3 2" xfId="339"/>
    <cellStyle name="20% - Accent4 2" xfId="11"/>
    <cellStyle name="20% - Accent4 2 2" xfId="340"/>
    <cellStyle name="20% - Accent4 2 3" xfId="341"/>
    <cellStyle name="20% - Accent4 3" xfId="12"/>
    <cellStyle name="20% - Accent4 3 2" xfId="342"/>
    <cellStyle name="20% - Accent4 3 3" xfId="343"/>
    <cellStyle name="20% - Accent4 4" xfId="13"/>
    <cellStyle name="20% - Accent5 2" xfId="14"/>
    <cellStyle name="20% - Accent5 3" xfId="299"/>
    <cellStyle name="20% - Accent6 2" xfId="15"/>
    <cellStyle name="20% - Accent6 3" xfId="300"/>
    <cellStyle name="20% - Accent6 3 2" xfId="344"/>
    <cellStyle name="40% - Accent1 2" xfId="16"/>
    <cellStyle name="40% - Accent1 3" xfId="17"/>
    <cellStyle name="40% - Accent1 3 2" xfId="345"/>
    <cellStyle name="40% - Accent1 3 3" xfId="346"/>
    <cellStyle name="40% - Accent1 4" xfId="18"/>
    <cellStyle name="40% - Accent2 2" xfId="19"/>
    <cellStyle name="40% - Accent2 3" xfId="301"/>
    <cellStyle name="40% - Accent3 2" xfId="20"/>
    <cellStyle name="40% - Accent3 3" xfId="302"/>
    <cellStyle name="40% - Accent3 3 2" xfId="347"/>
    <cellStyle name="40% - Accent4 2" xfId="21"/>
    <cellStyle name="40% - Accent4 3" xfId="22"/>
    <cellStyle name="40% - Accent4 3 2" xfId="348"/>
    <cellStyle name="40% - Accent4 3 3" xfId="349"/>
    <cellStyle name="40% - Accent4 4" xfId="23"/>
    <cellStyle name="40% - Accent5 2" xfId="24"/>
    <cellStyle name="40% - Accent5 3" xfId="25"/>
    <cellStyle name="40% - Accent5 3 2" xfId="350"/>
    <cellStyle name="40% - Accent6 2" xfId="26"/>
    <cellStyle name="40% - Accent6 3" xfId="27"/>
    <cellStyle name="40% - Accent6 3 2" xfId="351"/>
    <cellStyle name="40% - Accent6 3 3" xfId="352"/>
    <cellStyle name="40% - Accent6 4" xfId="28"/>
    <cellStyle name="60% - Accent1 2" xfId="29"/>
    <cellStyle name="60% - Accent1 2 2" xfId="353"/>
    <cellStyle name="60% - Accent1 2 3" xfId="354"/>
    <cellStyle name="60% - Accent1 3" xfId="30"/>
    <cellStyle name="60% - Accent1 3 2" xfId="355"/>
    <cellStyle name="60% - Accent1 3 3" xfId="356"/>
    <cellStyle name="60% - Accent1 4" xfId="31"/>
    <cellStyle name="60% - Accent2 2" xfId="32"/>
    <cellStyle name="60% - Accent2 3" xfId="33"/>
    <cellStyle name="60% - Accent2 3 2" xfId="357"/>
    <cellStyle name="60% - Accent3 2" xfId="34"/>
    <cellStyle name="60% - Accent3 3" xfId="35"/>
    <cellStyle name="60% - Accent3 3 2" xfId="358"/>
    <cellStyle name="60% - Accent3 3 3" xfId="359"/>
    <cellStyle name="60% - Accent3 4" xfId="36"/>
    <cellStyle name="60% - Accent4 2" xfId="37"/>
    <cellStyle name="60% - Accent4 3" xfId="38"/>
    <cellStyle name="60% - Accent4 3 2" xfId="360"/>
    <cellStyle name="60% - Accent4 3 3" xfId="361"/>
    <cellStyle name="60% - Accent4 4" xfId="39"/>
    <cellStyle name="60% - Accent5 2" xfId="40"/>
    <cellStyle name="60% - Accent5 2 2" xfId="362"/>
    <cellStyle name="60% - Accent5 2 3" xfId="363"/>
    <cellStyle name="60% - Accent5 3" xfId="41"/>
    <cellStyle name="60% - Accent5 3 2" xfId="364"/>
    <cellStyle name="60% - Accent6 2" xfId="42"/>
    <cellStyle name="60% - Accent6 3" xfId="303"/>
    <cellStyle name="60% - Accent6 3 2" xfId="365"/>
    <cellStyle name="Accent1 2" xfId="43"/>
    <cellStyle name="Accent1 2 2" xfId="366"/>
    <cellStyle name="Accent1 2 3" xfId="367"/>
    <cellStyle name="Accent1 3" xfId="44"/>
    <cellStyle name="Accent1 3 2" xfId="368"/>
    <cellStyle name="Accent1 3 3" xfId="369"/>
    <cellStyle name="Accent1 4" xfId="45"/>
    <cellStyle name="Accent2 2" xfId="46"/>
    <cellStyle name="Accent2 3" xfId="47"/>
    <cellStyle name="Accent2 3 2" xfId="370"/>
    <cellStyle name="Accent3 2" xfId="48"/>
    <cellStyle name="Accent3 2 2" xfId="371"/>
    <cellStyle name="Accent3 2 3" xfId="372"/>
    <cellStyle name="Accent3 3" xfId="49"/>
    <cellStyle name="Accent3 3 2" xfId="373"/>
    <cellStyle name="Accent4 2" xfId="50"/>
    <cellStyle name="Accent4 3" xfId="51"/>
    <cellStyle name="Accent4 3 2" xfId="374"/>
    <cellStyle name="Accent5 2" xfId="52"/>
    <cellStyle name="Accent5 3" xfId="53"/>
    <cellStyle name="Accent6 2" xfId="54"/>
    <cellStyle name="Accent6 2 2" xfId="375"/>
    <cellStyle name="Accent6 2 3" xfId="376"/>
    <cellStyle name="Accent6 3" xfId="55"/>
    <cellStyle name="Accent6 3 2" xfId="377"/>
    <cellStyle name="Accounting" xfId="56"/>
    <cellStyle name="Accounting 2" xfId="57"/>
    <cellStyle name="Accounting 3" xfId="58"/>
    <cellStyle name="Accounting_2011-11" xfId="59"/>
    <cellStyle name="Bad 2" xfId="60"/>
    <cellStyle name="Bad 3" xfId="61"/>
    <cellStyle name="Bad 3 2" xfId="378"/>
    <cellStyle name="Budget" xfId="62"/>
    <cellStyle name="Budget 2" xfId="63"/>
    <cellStyle name="Budget 3" xfId="64"/>
    <cellStyle name="Budget_2011-11" xfId="65"/>
    <cellStyle name="Calculation 2" xfId="66"/>
    <cellStyle name="Calculation 2 2" xfId="379"/>
    <cellStyle name="Calculation 2 3" xfId="380"/>
    <cellStyle name="Calculation 3" xfId="67"/>
    <cellStyle name="Calculation 3 2" xfId="381"/>
    <cellStyle name="Calculation 3 3" xfId="382"/>
    <cellStyle name="Calculation 4" xfId="68"/>
    <cellStyle name="Check Cell 2" xfId="69"/>
    <cellStyle name="Check Cell 3" xfId="70"/>
    <cellStyle name="combo" xfId="71"/>
    <cellStyle name="Comma" xfId="332" builtinId="3"/>
    <cellStyle name="Comma 10" xfId="4"/>
    <cellStyle name="Comma 11" xfId="72"/>
    <cellStyle name="Comma 12" xfId="73"/>
    <cellStyle name="Comma 12 2" xfId="304"/>
    <cellStyle name="Comma 12 2 2" xfId="383"/>
    <cellStyle name="Comma 12 3" xfId="384"/>
    <cellStyle name="Comma 12 4" xfId="385"/>
    <cellStyle name="Comma 12 5" xfId="386"/>
    <cellStyle name="Comma 13" xfId="74"/>
    <cellStyle name="Comma 13 2" xfId="387"/>
    <cellStyle name="Comma 14" xfId="75"/>
    <cellStyle name="Comma 15" xfId="76"/>
    <cellStyle name="Comma 15 2" xfId="388"/>
    <cellStyle name="Comma 16" xfId="77"/>
    <cellStyle name="Comma 17" xfId="78"/>
    <cellStyle name="Comma 17 2" xfId="389"/>
    <cellStyle name="Comma 17 2 2" xfId="563"/>
    <cellStyle name="Comma 18" xfId="79"/>
    <cellStyle name="Comma 18 2" xfId="390"/>
    <cellStyle name="Comma 18 3" xfId="391"/>
    <cellStyle name="Comma 18 4" xfId="558"/>
    <cellStyle name="Comma 19" xfId="80"/>
    <cellStyle name="Comma 2" xfId="81"/>
    <cellStyle name="Comma 2 2" xfId="82"/>
    <cellStyle name="Comma 2 2 2" xfId="83"/>
    <cellStyle name="Comma 2 3" xfId="84"/>
    <cellStyle name="Comma 2 4" xfId="85"/>
    <cellStyle name="Comma 2 4 2" xfId="392"/>
    <cellStyle name="Comma 2 4 2 2" xfId="564"/>
    <cellStyle name="Comma 2 4 3" xfId="393"/>
    <cellStyle name="Comma 2 4 4" xfId="559"/>
    <cellStyle name="Comma 2 5" xfId="562"/>
    <cellStyle name="Comma 2 6" xfId="305"/>
    <cellStyle name="Comma 2 6 2" xfId="306"/>
    <cellStyle name="Comma 20" xfId="394"/>
    <cellStyle name="Comma 21" xfId="395"/>
    <cellStyle name="Comma 3" xfId="86"/>
    <cellStyle name="Comma 3 2" xfId="87"/>
    <cellStyle name="Comma 3 2 2" xfId="88"/>
    <cellStyle name="Comma 3 3" xfId="89"/>
    <cellStyle name="Comma 3 4" xfId="90"/>
    <cellStyle name="Comma 4" xfId="91"/>
    <cellStyle name="Comma 4 2" xfId="92"/>
    <cellStyle name="Comma 4 2 2" xfId="396"/>
    <cellStyle name="Comma 4 2 3" xfId="397"/>
    <cellStyle name="Comma 4 3" xfId="93"/>
    <cellStyle name="Comma 4 3 2" xfId="398"/>
    <cellStyle name="Comma 4 3 3" xfId="399"/>
    <cellStyle name="Comma 4 4" xfId="94"/>
    <cellStyle name="Comma 4 4 2" xfId="400"/>
    <cellStyle name="Comma 4 4 3" xfId="401"/>
    <cellStyle name="Comma 4 5" xfId="95"/>
    <cellStyle name="Comma 4 5 2" xfId="402"/>
    <cellStyle name="Comma 4 6" xfId="403"/>
    <cellStyle name="Comma 4 6 2" xfId="556"/>
    <cellStyle name="Comma 5" xfId="96"/>
    <cellStyle name="Comma 5 2" xfId="404"/>
    <cellStyle name="Comma 5 3" xfId="405"/>
    <cellStyle name="Comma 5 4" xfId="406"/>
    <cellStyle name="Comma 6" xfId="97"/>
    <cellStyle name="Comma 6 2" xfId="98"/>
    <cellStyle name="Comma 7" xfId="99"/>
    <cellStyle name="Comma 8" xfId="100"/>
    <cellStyle name="Comma 9" xfId="101"/>
    <cellStyle name="Comma(2)" xfId="102"/>
    <cellStyle name="Comma0" xfId="407"/>
    <cellStyle name="Comma0 - Style2" xfId="103"/>
    <cellStyle name="Comma1 - Style1" xfId="104"/>
    <cellStyle name="Comments" xfId="105"/>
    <cellStyle name="Currency" xfId="1" builtinId="4"/>
    <cellStyle name="Currency 10" xfId="106"/>
    <cellStyle name="Currency 11" xfId="333"/>
    <cellStyle name="Currency 12" xfId="408"/>
    <cellStyle name="Currency 13" xfId="409"/>
    <cellStyle name="Currency 2" xfId="107"/>
    <cellStyle name="Currency 2 2" xfId="108"/>
    <cellStyle name="Currency 2 2 2" xfId="307"/>
    <cellStyle name="Currency 2 2 3" xfId="410"/>
    <cellStyle name="Currency 2 3" xfId="109"/>
    <cellStyle name="Currency 2 3 2" xfId="411"/>
    <cellStyle name="Currency 2 3 3" xfId="412"/>
    <cellStyle name="Currency 2 4" xfId="413"/>
    <cellStyle name="Currency 2 6" xfId="308"/>
    <cellStyle name="Currency 2 6 2" xfId="309"/>
    <cellStyle name="Currency 3" xfId="110"/>
    <cellStyle name="Currency 3 2" xfId="5"/>
    <cellStyle name="Currency 3 3" xfId="111"/>
    <cellStyle name="Currency 3 3 2" xfId="414"/>
    <cellStyle name="Currency 3 3 3" xfId="555"/>
    <cellStyle name="Currency 3 4" xfId="415"/>
    <cellStyle name="Currency 3 5" xfId="416"/>
    <cellStyle name="Currency 4" xfId="112"/>
    <cellStyle name="Currency 4 2" xfId="310"/>
    <cellStyle name="Currency 4 3" xfId="417"/>
    <cellStyle name="Currency 4 4" xfId="418"/>
    <cellStyle name="Currency 5" xfId="113"/>
    <cellStyle name="Currency 5 2" xfId="311"/>
    <cellStyle name="Currency 5 3" xfId="419"/>
    <cellStyle name="Currency 6" xfId="114"/>
    <cellStyle name="Currency 7" xfId="115"/>
    <cellStyle name="Currency 8" xfId="116"/>
    <cellStyle name="Currency 8 2" xfId="420"/>
    <cellStyle name="Currency 8 3" xfId="560"/>
    <cellStyle name="Currency 9" xfId="117"/>
    <cellStyle name="Currency0" xfId="421"/>
    <cellStyle name="Data Enter" xfId="118"/>
    <cellStyle name="date" xfId="119"/>
    <cellStyle name="Explanatory Text 2" xfId="120"/>
    <cellStyle name="Explanatory Text 3" xfId="312"/>
    <cellStyle name="F9ReportControlStyle_ctpInquire" xfId="422"/>
    <cellStyle name="FactSheet" xfId="121"/>
    <cellStyle name="fish" xfId="122"/>
    <cellStyle name="Good 2" xfId="123"/>
    <cellStyle name="Good 3" xfId="124"/>
    <cellStyle name="Good 3 2" xfId="423"/>
    <cellStyle name="Good 4" xfId="424"/>
    <cellStyle name="Heading 1 2" xfId="125"/>
    <cellStyle name="Heading 1 2 2" xfId="425"/>
    <cellStyle name="Heading 1 2 3" xfId="426"/>
    <cellStyle name="Heading 1 3" xfId="126"/>
    <cellStyle name="Heading 1 3 2" xfId="427"/>
    <cellStyle name="Heading 1 3 3" xfId="428"/>
    <cellStyle name="Heading 1 4" xfId="127"/>
    <cellStyle name="Heading 2 2" xfId="128"/>
    <cellStyle name="Heading 2 2 2" xfId="429"/>
    <cellStyle name="Heading 2 2 3" xfId="430"/>
    <cellStyle name="Heading 2 3" xfId="129"/>
    <cellStyle name="Heading 2 3 2" xfId="431"/>
    <cellStyle name="Heading 2 3 3" xfId="432"/>
    <cellStyle name="Heading 2 4" xfId="130"/>
    <cellStyle name="Heading 3 2" xfId="131"/>
    <cellStyle name="Heading 3 2 2" xfId="433"/>
    <cellStyle name="Heading 3 2 3" xfId="434"/>
    <cellStyle name="Heading 3 3" xfId="132"/>
    <cellStyle name="Heading 3 3 2" xfId="435"/>
    <cellStyle name="Heading 3 3 3" xfId="436"/>
    <cellStyle name="Heading 3 4" xfId="133"/>
    <cellStyle name="Heading 4 2" xfId="134"/>
    <cellStyle name="Heading 4 3" xfId="135"/>
    <cellStyle name="Heading 4 3 2" xfId="437"/>
    <cellStyle name="Hyperlink 2" xfId="136"/>
    <cellStyle name="Hyperlink 3" xfId="137"/>
    <cellStyle name="Hyperlink 3 2" xfId="438"/>
    <cellStyle name="Input 2" xfId="138"/>
    <cellStyle name="Input 3" xfId="139"/>
    <cellStyle name="Input 3 2" xfId="439"/>
    <cellStyle name="input(0)" xfId="140"/>
    <cellStyle name="Input(2)" xfId="141"/>
    <cellStyle name="Linked Cell 2" xfId="142"/>
    <cellStyle name="Linked Cell 2 2" xfId="440"/>
    <cellStyle name="Linked Cell 2 3" xfId="441"/>
    <cellStyle name="Linked Cell 3" xfId="143"/>
    <cellStyle name="Linked Cell 3 2" xfId="442"/>
    <cellStyle name="Neutral 2" xfId="144"/>
    <cellStyle name="Neutral 2 2" xfId="443"/>
    <cellStyle name="Neutral 2 3" xfId="444"/>
    <cellStyle name="Neutral 3" xfId="145"/>
    <cellStyle name="Neutral 3 2" xfId="445"/>
    <cellStyle name="New_normal" xfId="146"/>
    <cellStyle name="Normal" xfId="0" builtinId="0"/>
    <cellStyle name="Normal - Style1" xfId="147"/>
    <cellStyle name="Normal - Style2" xfId="148"/>
    <cellStyle name="Normal - Style3" xfId="149"/>
    <cellStyle name="Normal - Style4" xfId="150"/>
    <cellStyle name="Normal - Style5" xfId="151"/>
    <cellStyle name="Normal 10" xfId="152"/>
    <cellStyle name="Normal 10 2" xfId="153"/>
    <cellStyle name="Normal 10 2 2" xfId="154"/>
    <cellStyle name="Normal 10 2 3" xfId="446"/>
    <cellStyle name="Normal 10 2 4" xfId="447"/>
    <cellStyle name="Normal 10 2 5" xfId="554"/>
    <cellStyle name="Normal 10 3" xfId="448"/>
    <cellStyle name="Normal 10_2112 DF Schedule" xfId="155"/>
    <cellStyle name="Normal 100" xfId="449"/>
    <cellStyle name="Normal 101" xfId="450"/>
    <cellStyle name="Normal 102" xfId="451"/>
    <cellStyle name="Normal 103" xfId="452"/>
    <cellStyle name="Normal 104" xfId="453"/>
    <cellStyle name="Normal 105" xfId="454"/>
    <cellStyle name="Normal 106" xfId="455"/>
    <cellStyle name="Normal 107" xfId="456"/>
    <cellStyle name="Normal 108" xfId="457"/>
    <cellStyle name="Normal 109" xfId="458"/>
    <cellStyle name="Normal 11" xfId="156"/>
    <cellStyle name="Normal 11 2" xfId="459"/>
    <cellStyle name="Normal 11 2 2" xfId="460"/>
    <cellStyle name="Normal 110" xfId="461"/>
    <cellStyle name="Normal 111" xfId="462"/>
    <cellStyle name="Normal 12" xfId="157"/>
    <cellStyle name="Normal 12 2" xfId="463"/>
    <cellStyle name="Normal 12 3" xfId="464"/>
    <cellStyle name="Normal 12 4" xfId="465"/>
    <cellStyle name="Normal 12 5" xfId="466"/>
    <cellStyle name="Normal 12_Sheet1" xfId="467"/>
    <cellStyle name="Normal 13" xfId="158"/>
    <cellStyle name="Normal 13 2" xfId="468"/>
    <cellStyle name="Normal 13 3" xfId="469"/>
    <cellStyle name="Normal 13 4" xfId="470"/>
    <cellStyle name="Normal 13 5" xfId="471"/>
    <cellStyle name="Normal 13_Sheet1" xfId="472"/>
    <cellStyle name="Normal 14" xfId="159"/>
    <cellStyle name="Normal 14 2" xfId="473"/>
    <cellStyle name="Normal 14 3" xfId="474"/>
    <cellStyle name="Normal 14 4" xfId="475"/>
    <cellStyle name="Normal 14_Sheet1" xfId="476"/>
    <cellStyle name="Normal 15" xfId="160"/>
    <cellStyle name="Normal 15 2" xfId="477"/>
    <cellStyle name="Normal 15 3" xfId="478"/>
    <cellStyle name="Normal 15 4" xfId="479"/>
    <cellStyle name="Normal 16" xfId="161"/>
    <cellStyle name="Normal 16 2" xfId="480"/>
    <cellStyle name="Normal 16 3" xfId="481"/>
    <cellStyle name="Normal 17" xfId="162"/>
    <cellStyle name="Normal 17 2" xfId="482"/>
    <cellStyle name="Normal 17 3" xfId="483"/>
    <cellStyle name="Normal 18" xfId="163"/>
    <cellStyle name="Normal 18 2" xfId="484"/>
    <cellStyle name="Normal 18 3" xfId="485"/>
    <cellStyle name="Normal 19" xfId="164"/>
    <cellStyle name="Normal 19 2" xfId="486"/>
    <cellStyle name="Normal 19 3" xfId="487"/>
    <cellStyle name="Normal 2" xfId="165"/>
    <cellStyle name="Normal 2 10" xfId="488"/>
    <cellStyle name="Normal 2 11" xfId="489"/>
    <cellStyle name="Normal 2 2" xfId="166"/>
    <cellStyle name="Normal 2 2 2" xfId="167"/>
    <cellStyle name="Normal 2 2 2 2" xfId="490"/>
    <cellStyle name="Normal 2 2 3" xfId="168"/>
    <cellStyle name="Normal 2 2 4" xfId="491"/>
    <cellStyle name="Normal 2 2_4MthProj2" xfId="492"/>
    <cellStyle name="Normal 2 3" xfId="169"/>
    <cellStyle name="Normal 2 3 2" xfId="170"/>
    <cellStyle name="Normal 2 3 3" xfId="171"/>
    <cellStyle name="Normal 2 3_4MthProj2" xfId="493"/>
    <cellStyle name="Normal 2 4" xfId="172"/>
    <cellStyle name="Normal 2 4 2" xfId="494"/>
    <cellStyle name="Normal 2 5" xfId="173"/>
    <cellStyle name="Normal 2 6" xfId="174"/>
    <cellStyle name="Normal 2 6 2" xfId="561"/>
    <cellStyle name="Normal 2 7" xfId="495"/>
    <cellStyle name="Normal 2 8" xfId="496"/>
    <cellStyle name="Normal 2 9" xfId="497"/>
    <cellStyle name="Normal 2_2009 Regulated Price Out" xfId="498"/>
    <cellStyle name="Normal 20" xfId="175"/>
    <cellStyle name="Normal 20 2" xfId="499"/>
    <cellStyle name="Normal 20 3" xfId="500"/>
    <cellStyle name="Normal 21" xfId="176"/>
    <cellStyle name="Normal 21 2" xfId="501"/>
    <cellStyle name="Normal 22" xfId="177"/>
    <cellStyle name="Normal 22 2" xfId="502"/>
    <cellStyle name="Normal 23" xfId="178"/>
    <cellStyle name="Normal 23 2" xfId="503"/>
    <cellStyle name="Normal 24" xfId="179"/>
    <cellStyle name="Normal 24 2" xfId="504"/>
    <cellStyle name="Normal 25" xfId="180"/>
    <cellStyle name="Normal 26" xfId="181"/>
    <cellStyle name="Normal 27" xfId="182"/>
    <cellStyle name="Normal 27 2" xfId="505"/>
    <cellStyle name="Normal 28" xfId="183"/>
    <cellStyle name="Normal 29" xfId="184"/>
    <cellStyle name="Normal 3" xfId="185"/>
    <cellStyle name="Normal 3 2" xfId="186"/>
    <cellStyle name="Normal 3 2 2" xfId="506"/>
    <cellStyle name="Normal 3 3" xfId="187"/>
    <cellStyle name="Normal 3 3 2" xfId="507"/>
    <cellStyle name="Normal 3 4" xfId="508"/>
    <cellStyle name="Normal 3 4 2" xfId="557"/>
    <cellStyle name="Normal 3_2012 PR" xfId="188"/>
    <cellStyle name="Normal 30" xfId="189"/>
    <cellStyle name="Normal 31" xfId="190"/>
    <cellStyle name="Normal 31 2" xfId="509"/>
    <cellStyle name="Normal 32" xfId="191"/>
    <cellStyle name="Normal 33" xfId="192"/>
    <cellStyle name="Normal 34" xfId="193"/>
    <cellStyle name="Normal 35" xfId="194"/>
    <cellStyle name="Normal 36" xfId="195"/>
    <cellStyle name="Normal 37" xfId="196"/>
    <cellStyle name="Normal 38" xfId="197"/>
    <cellStyle name="Normal 39" xfId="198"/>
    <cellStyle name="Normal 4" xfId="199"/>
    <cellStyle name="Normal 4 2" xfId="200"/>
    <cellStyle name="Normal 4 2 2" xfId="510"/>
    <cellStyle name="Normal 4 3" xfId="511"/>
    <cellStyle name="Normal 4 3 2" xfId="512"/>
    <cellStyle name="Normal 4_Consolidated IS" xfId="513"/>
    <cellStyle name="Normal 40" xfId="201"/>
    <cellStyle name="Normal 41" xfId="202"/>
    <cellStyle name="Normal 42" xfId="203"/>
    <cellStyle name="Normal 43" xfId="204"/>
    <cellStyle name="Normal 44" xfId="205"/>
    <cellStyle name="Normal 45" xfId="206"/>
    <cellStyle name="Normal 46" xfId="207"/>
    <cellStyle name="Normal 47" xfId="208"/>
    <cellStyle name="Normal 48" xfId="209"/>
    <cellStyle name="Normal 49" xfId="210"/>
    <cellStyle name="Normal 5" xfId="211"/>
    <cellStyle name="Normal 5 2" xfId="212"/>
    <cellStyle name="Normal 5 3" xfId="514"/>
    <cellStyle name="Normal 5 4" xfId="515"/>
    <cellStyle name="Normal 5_2112 DF Schedule" xfId="213"/>
    <cellStyle name="Normal 50" xfId="214"/>
    <cellStyle name="Normal 51" xfId="215"/>
    <cellStyle name="Normal 52" xfId="216"/>
    <cellStyle name="Normal 53" xfId="217"/>
    <cellStyle name="Normal 54" xfId="218"/>
    <cellStyle name="Normal 55" xfId="219"/>
    <cellStyle name="Normal 56" xfId="220"/>
    <cellStyle name="Normal 57" xfId="221"/>
    <cellStyle name="Normal 58" xfId="222"/>
    <cellStyle name="Normal 59" xfId="223"/>
    <cellStyle name="Normal 6" xfId="224"/>
    <cellStyle name="Normal 6 2" xfId="313"/>
    <cellStyle name="Normal 6 2 2" xfId="516"/>
    <cellStyle name="Normal 6 3" xfId="517"/>
    <cellStyle name="Normal 60" xfId="225"/>
    <cellStyle name="Normal 61" xfId="226"/>
    <cellStyle name="Normal 62" xfId="227"/>
    <cellStyle name="Normal 63" xfId="228"/>
    <cellStyle name="Normal 64" xfId="229"/>
    <cellStyle name="Normal 65" xfId="230"/>
    <cellStyle name="Normal 66" xfId="231"/>
    <cellStyle name="Normal 67" xfId="232"/>
    <cellStyle name="Normal 68" xfId="233"/>
    <cellStyle name="Normal 69" xfId="234"/>
    <cellStyle name="Normal 7" xfId="235"/>
    <cellStyle name="Normal 7 2" xfId="236"/>
    <cellStyle name="Normal 7 2 2" xfId="518"/>
    <cellStyle name="Normal 70" xfId="237"/>
    <cellStyle name="Normal 71" xfId="238"/>
    <cellStyle name="Normal 72" xfId="239"/>
    <cellStyle name="Normal 73" xfId="240"/>
    <cellStyle name="Normal 74" xfId="241"/>
    <cellStyle name="Normal 75" xfId="242"/>
    <cellStyle name="Normal 76" xfId="243"/>
    <cellStyle name="Normal 77" xfId="244"/>
    <cellStyle name="Normal 78" xfId="245"/>
    <cellStyle name="Normal 79" xfId="246"/>
    <cellStyle name="Normal 8" xfId="247"/>
    <cellStyle name="Normal 8 2" xfId="519"/>
    <cellStyle name="Normal 8 2 2" xfId="520"/>
    <cellStyle name="Normal 80" xfId="248"/>
    <cellStyle name="Normal 81" xfId="249"/>
    <cellStyle name="Normal 82" xfId="250"/>
    <cellStyle name="Normal 83" xfId="251"/>
    <cellStyle name="Normal 84" xfId="252"/>
    <cellStyle name="Normal 84 2" xfId="314"/>
    <cellStyle name="Normal 84 3" xfId="521"/>
    <cellStyle name="Normal 85" xfId="253"/>
    <cellStyle name="Normal 85 2" xfId="522"/>
    <cellStyle name="Normal 85 3" xfId="523"/>
    <cellStyle name="Normal 86" xfId="315"/>
    <cellStyle name="Normal 87" xfId="316"/>
    <cellStyle name="Normal 88" xfId="317"/>
    <cellStyle name="Normal 89" xfId="318"/>
    <cellStyle name="Normal 9" xfId="254"/>
    <cellStyle name="Normal 9 2" xfId="524"/>
    <cellStyle name="Normal 9 2 2" xfId="525"/>
    <cellStyle name="Normal 90" xfId="319"/>
    <cellStyle name="Normal 91" xfId="320"/>
    <cellStyle name="Normal 92" xfId="526"/>
    <cellStyle name="Normal 93" xfId="527"/>
    <cellStyle name="Normal 94" xfId="528"/>
    <cellStyle name="Normal 95" xfId="529"/>
    <cellStyle name="Normal 96" xfId="530"/>
    <cellStyle name="Normal 97" xfId="531"/>
    <cellStyle name="Normal 98" xfId="532"/>
    <cellStyle name="Normal 99" xfId="533"/>
    <cellStyle name="Normal_Regulated Price Out 9-6-2011 Final HL" xfId="3"/>
    <cellStyle name="Note 2" xfId="255"/>
    <cellStyle name="Note 2 2" xfId="534"/>
    <cellStyle name="Note 2 3" xfId="535"/>
    <cellStyle name="Note 3" xfId="256"/>
    <cellStyle name="Note 3 2" xfId="536"/>
    <cellStyle name="Note 3 3" xfId="537"/>
    <cellStyle name="Note 4" xfId="257"/>
    <cellStyle name="Notes" xfId="258"/>
    <cellStyle name="Output 2" xfId="259"/>
    <cellStyle name="Output 3" xfId="260"/>
    <cellStyle name="Output 3 2" xfId="538"/>
    <cellStyle name="Percent" xfId="2" builtinId="5"/>
    <cellStyle name="Percent 10" xfId="539"/>
    <cellStyle name="Percent 2" xfId="261"/>
    <cellStyle name="Percent 2 2" xfId="262"/>
    <cellStyle name="Percent 2 2 2" xfId="321"/>
    <cellStyle name="Percent 2 2 3" xfId="540"/>
    <cellStyle name="Percent 2 3" xfId="263"/>
    <cellStyle name="Percent 2 4" xfId="541"/>
    <cellStyle name="Percent 2 6" xfId="322"/>
    <cellStyle name="Percent 3" xfId="264"/>
    <cellStyle name="Percent 3 2" xfId="323"/>
    <cellStyle name="Percent 3 2 2" xfId="542"/>
    <cellStyle name="Percent 4" xfId="265"/>
    <cellStyle name="Percent 4 2" xfId="266"/>
    <cellStyle name="Percent 4 3" xfId="543"/>
    <cellStyle name="Percent 4 4" xfId="544"/>
    <cellStyle name="Percent 5" xfId="267"/>
    <cellStyle name="Percent 5 2" xfId="545"/>
    <cellStyle name="Percent 6" xfId="268"/>
    <cellStyle name="Percent 6 2" xfId="546"/>
    <cellStyle name="Percent 7" xfId="269"/>
    <cellStyle name="Percent 7 2" xfId="324"/>
    <cellStyle name="Percent 7 3" xfId="547"/>
    <cellStyle name="Percent 8" xfId="270"/>
    <cellStyle name="Percent 9" xfId="548"/>
    <cellStyle name="Percent(1)" xfId="271"/>
    <cellStyle name="Percent(2)" xfId="272"/>
    <cellStyle name="PRM" xfId="273"/>
    <cellStyle name="PRM 2" xfId="274"/>
    <cellStyle name="PRM 3" xfId="275"/>
    <cellStyle name="PRM_2011-11" xfId="276"/>
    <cellStyle name="PS_Comma" xfId="325"/>
    <cellStyle name="PSChar" xfId="277"/>
    <cellStyle name="PSDate" xfId="326"/>
    <cellStyle name="PSDec" xfId="327"/>
    <cellStyle name="PSHeading" xfId="278"/>
    <cellStyle name="PSInt" xfId="328"/>
    <cellStyle name="PSSpacer" xfId="329"/>
    <cellStyle name="STYL0 - Style1" xfId="279"/>
    <cellStyle name="STYL1 - Style2" xfId="280"/>
    <cellStyle name="STYL2 - Style3" xfId="281"/>
    <cellStyle name="STYL3 - Style4" xfId="282"/>
    <cellStyle name="STYL4 - Style5" xfId="283"/>
    <cellStyle name="STYL5 - Style6" xfId="284"/>
    <cellStyle name="STYL6 - Style7" xfId="285"/>
    <cellStyle name="STYL7 - Style8" xfId="286"/>
    <cellStyle name="Style 1" xfId="287"/>
    <cellStyle name="Style 1 2" xfId="288"/>
    <cellStyle name="STYLE1" xfId="289"/>
    <cellStyle name="sub heading" xfId="290"/>
    <cellStyle name="Title 2" xfId="291"/>
    <cellStyle name="Title 3" xfId="292"/>
    <cellStyle name="Title 3 2" xfId="549"/>
    <cellStyle name="Total 2" xfId="293"/>
    <cellStyle name="Total 2 2" xfId="550"/>
    <cellStyle name="Total 2 3" xfId="551"/>
    <cellStyle name="Total 3" xfId="294"/>
    <cellStyle name="Total 3 2" xfId="552"/>
    <cellStyle name="Total 3 3" xfId="553"/>
    <cellStyle name="Total 4" xfId="295"/>
    <cellStyle name="Warning Text 2" xfId="296"/>
    <cellStyle name="Warning Text 3" xfId="330"/>
    <cellStyle name="WM_STANDARD" xfId="3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customXml" Target="../customXml/item2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customXml" Target="../customXml/item1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Filed%204-15-16/CRD%20Pro%20forma%203-31-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2/Vashon%20Pro%20Form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rmgardw\Local%20Settings\Temporary%20Internet%20Files\Content.Outlook\1ZKX32J2\Proforma%209-14-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Annual%20Reports\2180%20LeMay\2009\LeMay%20Annual%20Report%200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LeMay\Master%20Truck%20Schedule\South_LeMay%20Master%20Truck%20Schedule-Shar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Empire/Dump%20Fee/DF%20Incr%201-1-2015/Empire%20-%20Spokane%20DF%20Calculations%201-1-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SRC%20Reports\SRC%20Format\Bonus%20Schedule\PNWR%20SRC%20Bonus%20Schedule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3-1%20Pacific%20Disp,%20Butlers%20Cove/Filing%20Possibly%202012/Filing/Audit/Final%20Outcome%208-14-2012/Pro%20Forma%20Pacific%20Disposal_Sta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ason/Rate%20Increase%201-1-2013/1%20Filing%2011-14-2012/Revised%202-21-2013/staff%20Mason%20Proforma%209-30-2012-Linked%20Cust%20Count%20Fix%2012-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3080</v>
          </cell>
        </row>
      </sheetData>
      <sheetData sheetId="4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D6">
            <v>10000</v>
          </cell>
        </row>
        <row r="8">
          <cell r="H8" t="str">
            <v>2016-03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Consolidated BS"/>
      <sheetName val="IS-2120"/>
      <sheetName val="IS-2121"/>
      <sheetName val="Consolidated IS"/>
      <sheetName val="Proforma"/>
      <sheetName val="Restate-Regulated"/>
      <sheetName val="Restating Expl"/>
      <sheetName val="Pro forma Adj"/>
      <sheetName val="LG"/>
      <sheetName val="LG-Pckr Rts"/>
      <sheetName val="LG-RO"/>
      <sheetName val="LG-Recycl"/>
      <sheetName val="Price-out"/>
      <sheetName val="Rate Schedule"/>
      <sheetName val="2120 Depr Summary"/>
      <sheetName val="2120 Depr"/>
      <sheetName val="2121 Depr Summary"/>
      <sheetName val="2121 Depr"/>
      <sheetName val="2120 Fuel "/>
      <sheetName val="DF-Summary"/>
      <sheetName val="Whitman"/>
      <sheetName val="Spokane"/>
      <sheetName val="Lincoln"/>
      <sheetName val="Med Waste"/>
      <sheetName val="Payroll, 2120"/>
      <sheetName val="Contract-Rev,Cust Cnt"/>
      <sheetName val="Time Allocation"/>
    </sheetNames>
    <sheetDataSet>
      <sheetData sheetId="0"/>
      <sheetData sheetId="1"/>
      <sheetData sheetId="2"/>
      <sheetData sheetId="3"/>
      <sheetData sheetId="4">
        <row r="91">
          <cell r="C91">
            <v>8686.3100000000013</v>
          </cell>
        </row>
      </sheetData>
      <sheetData sheetId="5"/>
      <sheetData sheetId="6">
        <row r="19">
          <cell r="G19">
            <v>2099422.06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Staff Calcs "/>
      <sheetName val="Rate Schedule"/>
      <sheetName val="Co Provided Price Out"/>
    </sheetNames>
    <sheetDataSet>
      <sheetData sheetId="0">
        <row r="56">
          <cell r="G56">
            <v>0.98072499999999996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"/>
  <sheetViews>
    <sheetView tabSelected="1" zoomScale="85" zoomScaleNormal="85" workbookViewId="0"/>
  </sheetViews>
  <sheetFormatPr defaultRowHeight="15"/>
  <cols>
    <col min="1" max="1" width="36.28515625" style="1" bestFit="1" customWidth="1"/>
    <col min="2" max="2" width="19" style="1" bestFit="1" customWidth="1"/>
    <col min="3" max="3" width="16" style="1" bestFit="1" customWidth="1"/>
    <col min="4" max="4" width="13.140625" style="1" customWidth="1"/>
    <col min="5" max="5" width="7" style="1" bestFit="1" customWidth="1"/>
    <col min="6" max="6" width="11.42578125" style="1" bestFit="1" customWidth="1"/>
    <col min="7" max="7" width="10" style="1" bestFit="1" customWidth="1"/>
    <col min="8" max="8" width="8" style="1" bestFit="1" customWidth="1"/>
    <col min="9" max="9" width="15.85546875" style="1" bestFit="1" customWidth="1"/>
    <col min="10" max="10" width="12" style="1" bestFit="1" customWidth="1"/>
    <col min="11" max="16384" width="9.140625" style="1"/>
  </cols>
  <sheetData>
    <row r="1" spans="1:8">
      <c r="A1" s="72" t="s">
        <v>421</v>
      </c>
    </row>
    <row r="2" spans="1:8">
      <c r="A2" s="72" t="s">
        <v>463</v>
      </c>
    </row>
    <row r="4" spans="1:8">
      <c r="A4" s="219" t="s">
        <v>188</v>
      </c>
      <c r="B4" s="219"/>
      <c r="C4" s="219"/>
      <c r="D4" s="219"/>
      <c r="E4" s="219"/>
      <c r="F4" s="219"/>
      <c r="G4" s="219"/>
      <c r="H4" s="219"/>
    </row>
    <row r="5" spans="1:8">
      <c r="A5" s="1" t="s">
        <v>189</v>
      </c>
      <c r="B5" s="2" t="s">
        <v>190</v>
      </c>
      <c r="C5" s="2" t="s">
        <v>191</v>
      </c>
      <c r="D5" s="2" t="s">
        <v>192</v>
      </c>
      <c r="E5" s="3" t="s">
        <v>193</v>
      </c>
      <c r="F5" s="3" t="s">
        <v>194</v>
      </c>
      <c r="G5" s="3" t="s">
        <v>195</v>
      </c>
      <c r="H5" s="2" t="s">
        <v>196</v>
      </c>
    </row>
    <row r="6" spans="1:8">
      <c r="A6" s="1" t="s">
        <v>197</v>
      </c>
      <c r="B6" s="4">
        <f>52*5/12</f>
        <v>21.666666666666668</v>
      </c>
      <c r="C6" s="5">
        <f>$B$6*2</f>
        <v>43.333333333333336</v>
      </c>
      <c r="D6" s="5">
        <f>$B$6*3</f>
        <v>65</v>
      </c>
      <c r="E6" s="5">
        <f>$B$6*4</f>
        <v>86.666666666666671</v>
      </c>
      <c r="F6" s="5">
        <f>$B$6*5</f>
        <v>108.33333333333334</v>
      </c>
      <c r="G6" s="5">
        <f>$B$6*6</f>
        <v>130</v>
      </c>
      <c r="H6" s="5">
        <f>$B$6*7</f>
        <v>151.66666666666669</v>
      </c>
    </row>
    <row r="7" spans="1:8">
      <c r="A7" s="1" t="s">
        <v>198</v>
      </c>
      <c r="B7" s="4">
        <f>52*4/12</f>
        <v>17.333333333333332</v>
      </c>
      <c r="C7" s="5">
        <f>$B$7*2</f>
        <v>34.666666666666664</v>
      </c>
      <c r="D7" s="5">
        <f>$B$7*3</f>
        <v>52</v>
      </c>
      <c r="E7" s="5">
        <f>$B$7*4</f>
        <v>69.333333333333329</v>
      </c>
      <c r="F7" s="5">
        <f>$B$7*5</f>
        <v>86.666666666666657</v>
      </c>
      <c r="G7" s="5">
        <f>$B$7*6</f>
        <v>104</v>
      </c>
      <c r="H7" s="5">
        <f>$B$7*7</f>
        <v>121.33333333333333</v>
      </c>
    </row>
    <row r="8" spans="1:8">
      <c r="A8" s="1" t="s">
        <v>199</v>
      </c>
      <c r="B8" s="4">
        <f>52*3/12</f>
        <v>13</v>
      </c>
      <c r="C8" s="5">
        <f>$B$8*2</f>
        <v>26</v>
      </c>
      <c r="D8" s="5">
        <f>$B$8*3</f>
        <v>39</v>
      </c>
      <c r="E8" s="5">
        <f>$B$8*4</f>
        <v>52</v>
      </c>
      <c r="F8" s="5">
        <f>$B$8*5</f>
        <v>65</v>
      </c>
      <c r="G8" s="5">
        <f>$B$8*6</f>
        <v>78</v>
      </c>
      <c r="H8" s="5">
        <f>$B$8*7</f>
        <v>91</v>
      </c>
    </row>
    <row r="9" spans="1:8">
      <c r="A9" s="1" t="s">
        <v>200</v>
      </c>
      <c r="B9" s="4">
        <f>52*2/12</f>
        <v>8.6666666666666661</v>
      </c>
      <c r="C9" s="6">
        <f>$B$9*2</f>
        <v>17.333333333333332</v>
      </c>
      <c r="D9" s="6">
        <f>$B$9*3</f>
        <v>26</v>
      </c>
      <c r="E9" s="6">
        <f>$B$9*4</f>
        <v>34.666666666666664</v>
      </c>
      <c r="F9" s="6">
        <f>$B$9*5</f>
        <v>43.333333333333329</v>
      </c>
      <c r="G9" s="6">
        <f>$B$9*6</f>
        <v>52</v>
      </c>
      <c r="H9" s="6">
        <f>$B$9*7</f>
        <v>60.666666666666664</v>
      </c>
    </row>
    <row r="10" spans="1:8">
      <c r="A10" s="1" t="s">
        <v>201</v>
      </c>
      <c r="B10" s="4">
        <f>52/12</f>
        <v>4.333333333333333</v>
      </c>
      <c r="C10" s="6">
        <f>$B$10*2</f>
        <v>8.6666666666666661</v>
      </c>
      <c r="D10" s="6">
        <f>$B$10*3</f>
        <v>13</v>
      </c>
      <c r="E10" s="6">
        <f>$B$10*4</f>
        <v>17.333333333333332</v>
      </c>
      <c r="F10" s="6">
        <f>$B$10*5</f>
        <v>21.666666666666664</v>
      </c>
      <c r="G10" s="6">
        <f>$B$10*6</f>
        <v>26</v>
      </c>
      <c r="H10" s="6">
        <f>$B$10*7</f>
        <v>30.333333333333332</v>
      </c>
    </row>
    <row r="11" spans="1:8">
      <c r="A11" s="1" t="s">
        <v>202</v>
      </c>
      <c r="B11" s="4">
        <f>26/12</f>
        <v>2.1666666666666665</v>
      </c>
      <c r="C11" s="6">
        <f>$B$11*2</f>
        <v>4.333333333333333</v>
      </c>
      <c r="D11" s="6">
        <f>$B$11*3</f>
        <v>6.5</v>
      </c>
      <c r="E11" s="6">
        <f>$B$11*4</f>
        <v>8.6666666666666661</v>
      </c>
      <c r="F11" s="6">
        <f>$B$11*5</f>
        <v>10.833333333333332</v>
      </c>
      <c r="G11" s="6">
        <f>$B$11*6</f>
        <v>13</v>
      </c>
      <c r="H11" s="6">
        <f>$B$11*7</f>
        <v>15.166666666666666</v>
      </c>
    </row>
    <row r="12" spans="1:8">
      <c r="A12" s="1" t="s">
        <v>203</v>
      </c>
      <c r="B12" s="4">
        <f>12/12</f>
        <v>1</v>
      </c>
      <c r="C12" s="6">
        <f>$B$12*2</f>
        <v>2</v>
      </c>
      <c r="D12" s="6">
        <f>$B$12*3</f>
        <v>3</v>
      </c>
      <c r="E12" s="6">
        <f>$B$12*4</f>
        <v>4</v>
      </c>
      <c r="F12" s="6">
        <f>$B$12*5</f>
        <v>5</v>
      </c>
      <c r="G12" s="6">
        <f>$B$12*6</f>
        <v>6</v>
      </c>
      <c r="H12" s="6">
        <f>$B$12*7</f>
        <v>7</v>
      </c>
    </row>
    <row r="13" spans="1:8">
      <c r="B13" s="4"/>
      <c r="C13" s="6"/>
      <c r="D13" s="6"/>
      <c r="E13" s="6"/>
      <c r="F13" s="6"/>
      <c r="G13" s="6"/>
      <c r="H13" s="6"/>
    </row>
    <row r="14" spans="1:8">
      <c r="A14" s="219" t="s">
        <v>204</v>
      </c>
      <c r="B14" s="219"/>
      <c r="C14" s="6"/>
      <c r="D14" s="6"/>
      <c r="E14" s="6"/>
      <c r="F14" s="6"/>
      <c r="G14" s="6"/>
      <c r="H14" s="6"/>
    </row>
    <row r="15" spans="1:8">
      <c r="A15" s="7" t="s">
        <v>205</v>
      </c>
      <c r="B15" s="8" t="s">
        <v>206</v>
      </c>
      <c r="C15" s="6"/>
      <c r="D15" s="6"/>
      <c r="E15" s="6"/>
      <c r="F15" s="6"/>
      <c r="G15" s="6"/>
      <c r="H15" s="6"/>
    </row>
    <row r="16" spans="1:8">
      <c r="A16" s="9" t="s">
        <v>207</v>
      </c>
      <c r="B16" s="10">
        <v>20</v>
      </c>
      <c r="C16" s="6"/>
      <c r="D16" s="6"/>
      <c r="E16" s="6"/>
      <c r="F16" s="6"/>
      <c r="G16" s="6"/>
      <c r="H16" s="6"/>
    </row>
    <row r="17" spans="1:8">
      <c r="A17" s="9" t="s">
        <v>208</v>
      </c>
      <c r="B17" s="10">
        <v>34</v>
      </c>
      <c r="C17" s="6"/>
      <c r="D17" s="6"/>
      <c r="E17" s="6"/>
      <c r="F17" s="6"/>
      <c r="G17" s="6"/>
      <c r="H17" s="6"/>
    </row>
    <row r="18" spans="1:8">
      <c r="A18" s="9" t="s">
        <v>209</v>
      </c>
      <c r="B18" s="10">
        <v>51</v>
      </c>
      <c r="C18" s="6"/>
      <c r="D18" s="6"/>
      <c r="E18" s="6"/>
      <c r="F18" s="6"/>
      <c r="G18" s="6"/>
      <c r="H18" s="6"/>
    </row>
    <row r="19" spans="1:8">
      <c r="A19" s="9" t="s">
        <v>210</v>
      </c>
      <c r="B19" s="10">
        <v>77</v>
      </c>
      <c r="C19" s="6"/>
      <c r="D19" s="6"/>
      <c r="E19" s="6"/>
      <c r="F19" s="1" t="s">
        <v>211</v>
      </c>
      <c r="G19" s="10">
        <v>2000</v>
      </c>
      <c r="H19" s="6"/>
    </row>
    <row r="20" spans="1:8">
      <c r="A20" s="9" t="s">
        <v>212</v>
      </c>
      <c r="B20" s="10">
        <v>97</v>
      </c>
      <c r="C20" s="6"/>
      <c r="D20" s="6"/>
      <c r="E20" s="6"/>
      <c r="F20" s="1" t="s">
        <v>213</v>
      </c>
      <c r="G20" s="11" t="s">
        <v>214</v>
      </c>
      <c r="H20" s="6"/>
    </row>
    <row r="21" spans="1:8">
      <c r="A21" s="9" t="s">
        <v>215</v>
      </c>
      <c r="B21" s="10">
        <v>117</v>
      </c>
      <c r="C21" s="6"/>
      <c r="D21" s="6"/>
      <c r="E21" s="6"/>
      <c r="H21" s="6"/>
    </row>
    <row r="22" spans="1:8">
      <c r="A22" s="9" t="s">
        <v>216</v>
      </c>
      <c r="B22" s="10">
        <v>157</v>
      </c>
      <c r="C22" s="6"/>
      <c r="D22" s="6"/>
      <c r="E22" s="6"/>
      <c r="F22" s="12"/>
      <c r="G22" s="13"/>
      <c r="H22" s="6"/>
    </row>
    <row r="23" spans="1:8">
      <c r="A23" s="9" t="s">
        <v>217</v>
      </c>
      <c r="B23" s="10">
        <v>47</v>
      </c>
      <c r="C23" s="6"/>
      <c r="D23" s="6" t="s">
        <v>326</v>
      </c>
      <c r="E23" s="6"/>
      <c r="F23" s="6" t="s">
        <v>327</v>
      </c>
      <c r="G23" s="6"/>
      <c r="H23" s="6"/>
    </row>
    <row r="24" spans="1:8">
      <c r="A24" s="9" t="s">
        <v>218</v>
      </c>
      <c r="B24" s="10">
        <v>68</v>
      </c>
      <c r="C24" s="6"/>
      <c r="D24" s="38">
        <v>2</v>
      </c>
      <c r="E24" s="6"/>
      <c r="F24" s="38">
        <v>2</v>
      </c>
      <c r="G24" s="6"/>
      <c r="H24" s="6"/>
    </row>
    <row r="25" spans="1:8">
      <c r="A25" s="9" t="s">
        <v>219</v>
      </c>
      <c r="B25" s="10">
        <v>34</v>
      </c>
      <c r="C25" s="6"/>
      <c r="D25" s="38">
        <v>3</v>
      </c>
      <c r="E25" s="6"/>
      <c r="F25" s="38">
        <v>3</v>
      </c>
      <c r="G25" s="6"/>
      <c r="H25" s="6"/>
    </row>
    <row r="26" spans="1:8">
      <c r="A26" s="9" t="s">
        <v>220</v>
      </c>
      <c r="B26" s="10">
        <v>34</v>
      </c>
      <c r="C26" s="6"/>
      <c r="D26" s="38">
        <v>4</v>
      </c>
      <c r="E26" s="6"/>
      <c r="F26" s="38">
        <v>4</v>
      </c>
      <c r="G26" s="6"/>
      <c r="H26" s="6"/>
    </row>
    <row r="27" spans="1:8">
      <c r="A27" s="7" t="s">
        <v>221</v>
      </c>
      <c r="B27" s="10"/>
      <c r="C27" s="6"/>
      <c r="D27" s="38">
        <v>5</v>
      </c>
      <c r="E27" s="6"/>
      <c r="F27" s="38">
        <v>5</v>
      </c>
      <c r="G27" s="6"/>
      <c r="H27" s="6"/>
    </row>
    <row r="28" spans="1:8">
      <c r="A28" s="9" t="s">
        <v>222</v>
      </c>
      <c r="B28" s="10">
        <v>29</v>
      </c>
      <c r="C28" s="6"/>
      <c r="D28" s="6"/>
      <c r="E28" s="6"/>
      <c r="F28" s="6"/>
      <c r="G28" s="6"/>
      <c r="H28" s="6"/>
    </row>
    <row r="29" spans="1:8">
      <c r="A29" s="9" t="s">
        <v>223</v>
      </c>
      <c r="B29" s="10">
        <v>175</v>
      </c>
      <c r="C29" s="6"/>
      <c r="D29" s="6"/>
      <c r="E29" s="6"/>
      <c r="F29" s="6"/>
      <c r="G29" s="6"/>
      <c r="H29" s="6"/>
    </row>
    <row r="30" spans="1:8">
      <c r="A30" s="9" t="s">
        <v>224</v>
      </c>
      <c r="B30" s="10">
        <v>250</v>
      </c>
      <c r="C30" s="6"/>
      <c r="D30" s="6"/>
      <c r="E30" s="6"/>
      <c r="F30" s="6"/>
      <c r="G30" s="6"/>
      <c r="H30" s="6"/>
    </row>
    <row r="31" spans="1:8">
      <c r="A31" s="9" t="s">
        <v>225</v>
      </c>
      <c r="B31" s="10">
        <v>375</v>
      </c>
      <c r="C31" s="6" t="s">
        <v>226</v>
      </c>
      <c r="D31" s="6"/>
      <c r="E31" s="6"/>
      <c r="F31" s="6"/>
      <c r="G31" s="6"/>
      <c r="H31" s="6"/>
    </row>
    <row r="32" spans="1:8">
      <c r="A32" s="9" t="s">
        <v>227</v>
      </c>
      <c r="B32" s="10">
        <v>324</v>
      </c>
      <c r="C32" s="6"/>
      <c r="D32" s="6"/>
      <c r="E32" s="6"/>
      <c r="F32" s="6"/>
      <c r="G32" s="6"/>
      <c r="H32" s="6"/>
    </row>
    <row r="33" spans="1:8">
      <c r="A33" s="9" t="s">
        <v>228</v>
      </c>
      <c r="B33" s="10">
        <v>473</v>
      </c>
      <c r="C33" s="6"/>
      <c r="D33" s="6"/>
      <c r="E33" s="6"/>
      <c r="F33" s="6"/>
      <c r="G33" s="6"/>
      <c r="H33" s="6"/>
    </row>
    <row r="34" spans="1:8">
      <c r="A34" s="9" t="s">
        <v>229</v>
      </c>
      <c r="B34" s="10">
        <v>710</v>
      </c>
      <c r="C34" s="6" t="s">
        <v>226</v>
      </c>
      <c r="D34" s="6"/>
      <c r="E34" s="6"/>
      <c r="F34" s="6"/>
      <c r="G34" s="6"/>
      <c r="H34" s="6"/>
    </row>
    <row r="35" spans="1:8">
      <c r="A35" s="9" t="s">
        <v>230</v>
      </c>
      <c r="B35" s="10">
        <v>613</v>
      </c>
      <c r="C35" s="6"/>
      <c r="D35" s="6"/>
      <c r="E35" s="6"/>
      <c r="F35" s="6"/>
      <c r="G35" s="6"/>
      <c r="H35" s="6"/>
    </row>
    <row r="36" spans="1:8">
      <c r="A36" s="9" t="s">
        <v>231</v>
      </c>
      <c r="B36" s="10">
        <v>920</v>
      </c>
      <c r="C36" s="6" t="s">
        <v>226</v>
      </c>
      <c r="D36" s="6"/>
      <c r="E36" s="6"/>
      <c r="F36" s="6"/>
      <c r="G36" s="6"/>
      <c r="H36" s="6"/>
    </row>
    <row r="37" spans="1:8">
      <c r="A37" s="9" t="s">
        <v>232</v>
      </c>
      <c r="B37" s="10">
        <v>840</v>
      </c>
      <c r="C37" s="6"/>
      <c r="D37" s="6"/>
      <c r="E37" s="6"/>
      <c r="F37" s="6"/>
      <c r="G37" s="6"/>
      <c r="H37" s="6"/>
    </row>
    <row r="38" spans="1:8">
      <c r="A38" s="9" t="s">
        <v>233</v>
      </c>
      <c r="B38" s="10">
        <v>1260</v>
      </c>
      <c r="C38" s="6" t="s">
        <v>226</v>
      </c>
      <c r="D38" s="6"/>
      <c r="E38" s="6"/>
      <c r="F38" s="6"/>
      <c r="G38" s="6"/>
      <c r="H38" s="6"/>
    </row>
    <row r="39" spans="1:8">
      <c r="A39" s="9" t="s">
        <v>234</v>
      </c>
      <c r="B39" s="10">
        <v>980</v>
      </c>
      <c r="C39" s="6"/>
      <c r="D39" s="6"/>
      <c r="E39" s="6"/>
      <c r="F39" s="6"/>
      <c r="G39" s="6"/>
      <c r="H39" s="6"/>
    </row>
    <row r="40" spans="1:8">
      <c r="A40" s="9" t="s">
        <v>235</v>
      </c>
      <c r="B40" s="10">
        <v>482</v>
      </c>
      <c r="C40" s="6" t="s">
        <v>226</v>
      </c>
      <c r="D40" s="6"/>
      <c r="E40" s="6"/>
      <c r="F40" s="6"/>
      <c r="G40" s="6"/>
      <c r="H40" s="6"/>
    </row>
    <row r="41" spans="1:8">
      <c r="A41" s="9" t="s">
        <v>236</v>
      </c>
      <c r="B41" s="10">
        <v>689</v>
      </c>
      <c r="C41" s="6" t="s">
        <v>226</v>
      </c>
      <c r="D41" s="6"/>
      <c r="E41" s="6"/>
      <c r="F41" s="6"/>
      <c r="G41" s="6"/>
      <c r="H41" s="6"/>
    </row>
    <row r="42" spans="1:8">
      <c r="A42" s="9" t="s">
        <v>237</v>
      </c>
      <c r="B42" s="10">
        <v>892</v>
      </c>
      <c r="C42" s="6" t="s">
        <v>226</v>
      </c>
      <c r="D42" s="6"/>
      <c r="E42" s="6"/>
      <c r="F42" s="6"/>
      <c r="G42" s="6"/>
      <c r="H42" s="6"/>
    </row>
    <row r="43" spans="1:8">
      <c r="A43" s="9" t="s">
        <v>238</v>
      </c>
      <c r="B43" s="10">
        <v>1301</v>
      </c>
      <c r="C43" s="6"/>
      <c r="D43" s="6"/>
      <c r="E43" s="6"/>
      <c r="F43" s="6"/>
      <c r="G43" s="6"/>
      <c r="H43" s="6"/>
    </row>
    <row r="44" spans="1:8">
      <c r="A44" s="9" t="s">
        <v>239</v>
      </c>
      <c r="B44" s="10">
        <v>1686</v>
      </c>
      <c r="C44" s="6"/>
      <c r="D44" s="6"/>
      <c r="E44" s="6"/>
      <c r="F44" s="6"/>
      <c r="G44" s="6"/>
      <c r="H44" s="6"/>
    </row>
    <row r="45" spans="1:8">
      <c r="A45" s="9" t="s">
        <v>240</v>
      </c>
      <c r="B45" s="10">
        <v>2046</v>
      </c>
      <c r="C45" s="6"/>
      <c r="D45" s="6"/>
      <c r="E45" s="6"/>
      <c r="F45" s="6"/>
      <c r="G45" s="6"/>
      <c r="H45" s="6"/>
    </row>
    <row r="46" spans="1:8">
      <c r="A46" s="9" t="s">
        <v>241</v>
      </c>
      <c r="B46" s="10">
        <v>2310</v>
      </c>
      <c r="C46" s="6"/>
      <c r="D46" s="6"/>
      <c r="E46" s="6"/>
      <c r="F46" s="6"/>
      <c r="G46" s="6"/>
      <c r="H46" s="6"/>
    </row>
    <row r="47" spans="1:8">
      <c r="A47" s="9" t="s">
        <v>242</v>
      </c>
      <c r="B47" s="10">
        <v>2800</v>
      </c>
      <c r="C47" s="6" t="s">
        <v>226</v>
      </c>
      <c r="D47" s="6"/>
      <c r="E47" s="6"/>
      <c r="F47" s="6"/>
      <c r="G47" s="6"/>
      <c r="H47" s="6"/>
    </row>
    <row r="48" spans="1:8">
      <c r="A48" s="9" t="s">
        <v>243</v>
      </c>
      <c r="B48" s="10">
        <v>125</v>
      </c>
      <c r="C48" s="6"/>
      <c r="D48" s="6"/>
      <c r="E48" s="6"/>
      <c r="F48" s="6"/>
      <c r="G48" s="6"/>
      <c r="H48" s="6"/>
    </row>
    <row r="49" spans="1:12">
      <c r="B49" s="220" t="s">
        <v>244</v>
      </c>
      <c r="C49" s="220"/>
    </row>
    <row r="50" spans="1:12">
      <c r="A50" s="9" t="s">
        <v>266</v>
      </c>
      <c r="B50" s="22">
        <v>12</v>
      </c>
    </row>
    <row r="52" spans="1:12">
      <c r="A52" s="71" t="s">
        <v>267</v>
      </c>
      <c r="B52" s="14" t="s">
        <v>245</v>
      </c>
      <c r="C52" s="14" t="s">
        <v>246</v>
      </c>
      <c r="F52" s="221" t="s">
        <v>247</v>
      </c>
      <c r="G52" s="221"/>
    </row>
    <row r="53" spans="1:12">
      <c r="A53" s="54" t="s">
        <v>248</v>
      </c>
      <c r="B53" s="210">
        <v>102</v>
      </c>
      <c r="C53" s="211">
        <f>B53/2000</f>
        <v>5.0999999999999997E-2</v>
      </c>
      <c r="F53" s="1" t="s">
        <v>249</v>
      </c>
      <c r="G53" s="16">
        <f>0.015</f>
        <v>1.4999999999999999E-2</v>
      </c>
      <c r="I53" s="24"/>
      <c r="J53" s="27"/>
      <c r="K53" s="25"/>
      <c r="L53" s="25"/>
    </row>
    <row r="54" spans="1:12">
      <c r="A54" s="54" t="s">
        <v>250</v>
      </c>
      <c r="B54" s="212">
        <v>106</v>
      </c>
      <c r="C54" s="213">
        <f>B54/2000</f>
        <v>5.2999999999999999E-2</v>
      </c>
      <c r="F54" s="1" t="s">
        <v>251</v>
      </c>
      <c r="G54" s="17">
        <f>0.004275</f>
        <v>4.2750000000000002E-3</v>
      </c>
      <c r="I54" s="24"/>
      <c r="J54" s="27"/>
      <c r="K54" s="25"/>
      <c r="L54" s="25"/>
    </row>
    <row r="55" spans="1:12">
      <c r="A55" s="9" t="s">
        <v>252</v>
      </c>
      <c r="B55" s="210">
        <f>B54-B53</f>
        <v>4</v>
      </c>
      <c r="C55" s="214">
        <f>C54-C53</f>
        <v>2.0000000000000018E-3</v>
      </c>
      <c r="D55" s="65">
        <f>B55/B53</f>
        <v>3.9215686274509803E-2</v>
      </c>
      <c r="F55" s="1" t="s">
        <v>253</v>
      </c>
      <c r="G55" s="18"/>
      <c r="I55" s="24"/>
      <c r="J55" s="28"/>
      <c r="K55" s="25"/>
      <c r="L55" s="25"/>
    </row>
    <row r="56" spans="1:12">
      <c r="A56" s="23"/>
      <c r="B56" s="24"/>
      <c r="C56" s="27"/>
      <c r="F56" s="1" t="s">
        <v>0</v>
      </c>
      <c r="G56" s="19">
        <f>SUM(G53:G55)</f>
        <v>1.9275E-2</v>
      </c>
      <c r="I56" s="24"/>
      <c r="J56" s="27"/>
      <c r="K56" s="25"/>
      <c r="L56" s="25"/>
    </row>
    <row r="57" spans="1:12">
      <c r="A57" s="73"/>
      <c r="B57" s="74" t="s">
        <v>412</v>
      </c>
      <c r="C57" s="27"/>
      <c r="I57" s="24"/>
      <c r="J57" s="27"/>
      <c r="K57" s="25"/>
      <c r="L57" s="25"/>
    </row>
    <row r="58" spans="1:12">
      <c r="A58" s="25" t="s">
        <v>268</v>
      </c>
      <c r="B58" s="24">
        <f>B55</f>
        <v>4</v>
      </c>
      <c r="C58" s="27"/>
      <c r="F58" s="1" t="s">
        <v>254</v>
      </c>
      <c r="G58" s="20">
        <f>1-G56</f>
        <v>0.98072499999999996</v>
      </c>
      <c r="I58" s="24"/>
      <c r="J58" s="27"/>
      <c r="K58" s="25"/>
      <c r="L58" s="25"/>
    </row>
    <row r="59" spans="1:12">
      <c r="A59" s="75" t="s">
        <v>422</v>
      </c>
      <c r="B59" s="24">
        <f>B58/G58</f>
        <v>4.0786153101022204</v>
      </c>
      <c r="C59" s="31"/>
      <c r="I59" s="24"/>
      <c r="J59" s="28"/>
      <c r="K59" s="25"/>
      <c r="L59" s="25"/>
    </row>
    <row r="60" spans="1:12">
      <c r="A60" s="76" t="s">
        <v>423</v>
      </c>
      <c r="B60" s="31">
        <f>'Disposal Schedule'!D22*'Disposal Schedule'!C28</f>
        <v>5820.8468730345521</v>
      </c>
      <c r="I60" s="25"/>
      <c r="J60" s="25"/>
      <c r="K60" s="25"/>
      <c r="L60" s="25"/>
    </row>
    <row r="61" spans="1:12">
      <c r="A61" s="79" t="s">
        <v>424</v>
      </c>
      <c r="B61" s="67">
        <f>B60*B59</f>
        <v>23740.995174119362</v>
      </c>
      <c r="C61" s="25"/>
      <c r="D61" s="25"/>
      <c r="E61" s="25"/>
      <c r="I61" s="25"/>
      <c r="J61" s="25"/>
      <c r="K61" s="25"/>
      <c r="L61" s="25"/>
    </row>
    <row r="62" spans="1:12" s="76" customFormat="1">
      <c r="B62" s="78"/>
      <c r="C62" s="77"/>
      <c r="D62" s="77"/>
      <c r="E62" s="77"/>
      <c r="I62" s="77"/>
      <c r="J62" s="77"/>
      <c r="K62" s="77"/>
      <c r="L62" s="77"/>
    </row>
    <row r="63" spans="1:12" s="76" customFormat="1">
      <c r="B63" s="78"/>
      <c r="C63" s="77"/>
      <c r="D63" s="77"/>
      <c r="E63" s="77"/>
      <c r="I63" s="77"/>
      <c r="J63" s="77"/>
      <c r="K63" s="77"/>
      <c r="L63" s="77"/>
    </row>
    <row r="64" spans="1:12" s="76" customFormat="1" ht="15.75" thickBot="1">
      <c r="B64" s="78"/>
      <c r="C64" s="77"/>
      <c r="D64" s="77"/>
      <c r="E64" s="77"/>
      <c r="I64" s="77"/>
      <c r="J64" s="77"/>
      <c r="K64" s="77"/>
      <c r="L64" s="77"/>
    </row>
    <row r="65" spans="1:12" s="76" customFormat="1">
      <c r="A65" s="161" t="s">
        <v>425</v>
      </c>
      <c r="B65" s="166" t="s">
        <v>426</v>
      </c>
      <c r="C65" s="77"/>
      <c r="D65" s="77"/>
      <c r="E65" s="77"/>
      <c r="I65" s="77"/>
      <c r="J65" s="77"/>
      <c r="K65" s="77"/>
      <c r="L65" s="77"/>
    </row>
    <row r="66" spans="1:12" s="76" customFormat="1">
      <c r="A66" s="162" t="s">
        <v>427</v>
      </c>
      <c r="B66" s="145">
        <f>'Whitman DF Calc'!R80</f>
        <v>23740.705726436339</v>
      </c>
      <c r="C66" s="77"/>
      <c r="D66" s="77"/>
      <c r="E66" s="77"/>
      <c r="I66" s="77"/>
      <c r="J66" s="77"/>
      <c r="K66" s="77"/>
      <c r="L66" s="77"/>
    </row>
    <row r="67" spans="1:12" s="76" customFormat="1">
      <c r="A67" s="162" t="s">
        <v>428</v>
      </c>
      <c r="B67" s="145">
        <f>B66-B61</f>
        <v>-0.28944768302244483</v>
      </c>
      <c r="C67" s="217"/>
      <c r="D67" s="77"/>
      <c r="E67" s="77"/>
      <c r="I67" s="77"/>
      <c r="J67" s="77"/>
      <c r="K67" s="77"/>
      <c r="L67" s="77"/>
    </row>
    <row r="68" spans="1:12" s="76" customFormat="1" ht="15.75" thickBot="1">
      <c r="A68" s="164"/>
      <c r="B68" s="165"/>
      <c r="C68" s="77"/>
      <c r="D68" s="77"/>
      <c r="E68" s="77"/>
      <c r="I68" s="77"/>
      <c r="J68" s="77"/>
      <c r="K68" s="77"/>
      <c r="L68" s="77"/>
    </row>
    <row r="69" spans="1:12">
      <c r="A69" s="25"/>
      <c r="B69" s="36"/>
      <c r="C69" s="22"/>
      <c r="D69" s="25"/>
      <c r="E69" s="25"/>
      <c r="I69" s="22"/>
      <c r="J69" s="22"/>
      <c r="K69" s="25"/>
      <c r="L69" s="25"/>
    </row>
    <row r="70" spans="1:12">
      <c r="A70" s="25"/>
      <c r="B70" s="22"/>
      <c r="C70" s="30"/>
      <c r="D70" s="29"/>
      <c r="E70" s="25"/>
      <c r="I70" s="30"/>
      <c r="J70" s="30"/>
      <c r="K70" s="29"/>
      <c r="L70" s="25"/>
    </row>
    <row r="71" spans="1:12">
      <c r="A71" s="23"/>
      <c r="B71" s="30"/>
      <c r="C71" s="29"/>
      <c r="D71" s="29"/>
      <c r="E71" s="25"/>
      <c r="I71" s="25"/>
      <c r="J71" s="25"/>
      <c r="K71" s="25"/>
      <c r="L71" s="25"/>
    </row>
    <row r="72" spans="1:12">
      <c r="A72" s="25"/>
      <c r="B72" s="25"/>
      <c r="C72" s="25"/>
      <c r="D72" s="25"/>
      <c r="E72" s="25"/>
    </row>
    <row r="73" spans="1:12">
      <c r="A73" s="25"/>
      <c r="B73" s="25"/>
      <c r="C73" s="25"/>
      <c r="D73" s="25"/>
      <c r="E73" s="25"/>
    </row>
    <row r="74" spans="1:12">
      <c r="A74" s="25"/>
      <c r="B74" s="25"/>
      <c r="C74" s="25"/>
      <c r="D74" s="25"/>
      <c r="E74" s="25"/>
    </row>
    <row r="75" spans="1:12">
      <c r="A75" s="23"/>
      <c r="B75" s="32"/>
      <c r="C75" s="25"/>
      <c r="D75" s="25"/>
      <c r="E75" s="25"/>
    </row>
    <row r="76" spans="1:12">
      <c r="A76" s="25"/>
      <c r="B76" s="24"/>
      <c r="C76" s="25"/>
      <c r="D76" s="25"/>
      <c r="E76" s="25"/>
    </row>
    <row r="77" spans="1:12">
      <c r="A77" s="25"/>
      <c r="B77" s="24"/>
      <c r="C77" s="25"/>
      <c r="D77" s="25"/>
      <c r="E77" s="25"/>
    </row>
    <row r="78" spans="1:12">
      <c r="A78" s="25"/>
      <c r="B78" s="25"/>
      <c r="C78" s="25"/>
      <c r="D78" s="25"/>
      <c r="E78" s="25"/>
    </row>
    <row r="79" spans="1:12">
      <c r="A79" s="23"/>
      <c r="B79" s="32"/>
      <c r="C79" s="25"/>
      <c r="D79" s="25"/>
      <c r="E79" s="25"/>
    </row>
    <row r="80" spans="1:12">
      <c r="A80" s="25"/>
      <c r="B80" s="24"/>
      <c r="C80" s="25"/>
      <c r="D80" s="25"/>
      <c r="E80" s="25"/>
    </row>
    <row r="81" spans="1:5">
      <c r="A81" s="26"/>
      <c r="B81" s="24"/>
      <c r="C81" s="25"/>
      <c r="D81" s="25"/>
      <c r="E81" s="25"/>
    </row>
    <row r="82" spans="1:5">
      <c r="A82" s="25"/>
      <c r="B82" s="25"/>
      <c r="C82" s="25"/>
      <c r="D82" s="25"/>
      <c r="E82" s="25"/>
    </row>
    <row r="83" spans="1:5">
      <c r="A83" s="25"/>
      <c r="B83" s="25"/>
      <c r="C83" s="25"/>
      <c r="D83" s="25"/>
      <c r="E83" s="25"/>
    </row>
    <row r="84" spans="1:5">
      <c r="A84" s="25"/>
      <c r="B84" s="25"/>
      <c r="C84" s="25"/>
      <c r="D84" s="25"/>
      <c r="E84" s="25"/>
    </row>
    <row r="85" spans="1:5">
      <c r="A85" s="25"/>
      <c r="B85" s="25"/>
      <c r="C85" s="25"/>
      <c r="D85" s="25"/>
      <c r="E85" s="25"/>
    </row>
    <row r="86" spans="1:5">
      <c r="A86" s="25"/>
      <c r="B86" s="25"/>
      <c r="C86" s="25"/>
      <c r="D86" s="25"/>
      <c r="E86" s="25"/>
    </row>
    <row r="87" spans="1:5">
      <c r="A87" s="25"/>
      <c r="B87" s="25"/>
      <c r="C87" s="25"/>
      <c r="D87" s="25"/>
      <c r="E87" s="25"/>
    </row>
    <row r="88" spans="1:5">
      <c r="A88" s="25"/>
      <c r="B88" s="25"/>
      <c r="C88" s="25"/>
      <c r="D88" s="25"/>
      <c r="E88" s="25"/>
    </row>
    <row r="89" spans="1:5">
      <c r="A89" s="25"/>
      <c r="B89" s="25"/>
      <c r="C89" s="25"/>
      <c r="D89" s="25"/>
      <c r="E89" s="25"/>
    </row>
    <row r="90" spans="1:5">
      <c r="A90" s="25"/>
      <c r="B90" s="25"/>
      <c r="C90" s="25"/>
      <c r="D90" s="25"/>
      <c r="E90" s="25"/>
    </row>
    <row r="91" spans="1:5">
      <c r="A91" s="25"/>
      <c r="B91" s="25"/>
      <c r="C91" s="25"/>
      <c r="D91" s="25"/>
      <c r="E91" s="25"/>
    </row>
    <row r="92" spans="1:5">
      <c r="A92" s="25"/>
      <c r="B92" s="25"/>
      <c r="C92" s="25"/>
      <c r="D92" s="25"/>
      <c r="E92" s="25"/>
    </row>
    <row r="93" spans="1:5">
      <c r="A93" s="25"/>
      <c r="B93" s="25"/>
      <c r="C93" s="25"/>
      <c r="D93" s="25"/>
      <c r="E93" s="25"/>
    </row>
    <row r="94" spans="1:5">
      <c r="A94" s="25"/>
      <c r="B94" s="25"/>
      <c r="C94" s="25"/>
      <c r="D94" s="25"/>
      <c r="E94" s="25"/>
    </row>
    <row r="95" spans="1:5">
      <c r="A95" s="25"/>
      <c r="B95" s="25"/>
      <c r="C95" s="25"/>
      <c r="D95" s="25"/>
      <c r="E95" s="25"/>
    </row>
    <row r="96" spans="1:5">
      <c r="A96" s="25"/>
      <c r="B96" s="25"/>
      <c r="C96" s="25"/>
      <c r="D96" s="25"/>
      <c r="E96" s="25"/>
    </row>
    <row r="97" spans="1:5">
      <c r="A97" s="25"/>
      <c r="B97" s="25"/>
      <c r="C97" s="25"/>
      <c r="D97" s="25"/>
      <c r="E97" s="25"/>
    </row>
    <row r="98" spans="1:5">
      <c r="A98" s="25"/>
      <c r="B98" s="25"/>
      <c r="C98" s="25"/>
      <c r="D98" s="25"/>
      <c r="E98" s="25"/>
    </row>
    <row r="99" spans="1:5">
      <c r="A99" s="25"/>
      <c r="B99" s="25"/>
      <c r="C99" s="25"/>
      <c r="D99" s="25"/>
      <c r="E99" s="25"/>
    </row>
    <row r="100" spans="1:5">
      <c r="A100" s="25"/>
      <c r="B100" s="25"/>
      <c r="C100" s="25"/>
      <c r="D100" s="25"/>
      <c r="E100" s="25"/>
    </row>
    <row r="101" spans="1:5">
      <c r="A101" s="25"/>
      <c r="B101" s="25"/>
      <c r="C101" s="25"/>
      <c r="D101" s="25"/>
      <c r="E101" s="25"/>
    </row>
    <row r="102" spans="1:5">
      <c r="A102" s="25"/>
      <c r="B102" s="25"/>
      <c r="C102" s="25"/>
      <c r="D102" s="25"/>
      <c r="E102" s="25"/>
    </row>
    <row r="103" spans="1:5">
      <c r="A103" s="25"/>
      <c r="B103" s="25"/>
      <c r="C103" s="25"/>
      <c r="D103" s="25"/>
      <c r="E103" s="25"/>
    </row>
    <row r="104" spans="1:5">
      <c r="A104" s="25"/>
      <c r="B104" s="25"/>
      <c r="C104" s="25"/>
      <c r="D104" s="25"/>
      <c r="E104" s="25"/>
    </row>
    <row r="105" spans="1:5">
      <c r="A105" s="25"/>
      <c r="B105" s="25"/>
      <c r="C105" s="25"/>
      <c r="D105" s="25"/>
      <c r="E105" s="25"/>
    </row>
    <row r="106" spans="1:5">
      <c r="A106" s="25"/>
      <c r="B106" s="25"/>
      <c r="C106" s="25"/>
      <c r="D106" s="25"/>
      <c r="E106" s="25"/>
    </row>
    <row r="107" spans="1:5">
      <c r="A107" s="25"/>
      <c r="B107" s="25"/>
      <c r="C107" s="25"/>
      <c r="D107" s="25"/>
      <c r="E107" s="25"/>
    </row>
    <row r="108" spans="1:5">
      <c r="A108" s="25"/>
      <c r="B108" s="25"/>
      <c r="C108" s="25"/>
      <c r="D108" s="25"/>
      <c r="E108" s="25"/>
    </row>
    <row r="109" spans="1:5">
      <c r="A109" s="25"/>
      <c r="B109" s="25"/>
      <c r="C109" s="25"/>
      <c r="D109" s="25"/>
      <c r="E109" s="25"/>
    </row>
    <row r="110" spans="1:5">
      <c r="A110" s="25"/>
      <c r="B110" s="25"/>
      <c r="C110" s="25"/>
      <c r="D110" s="25"/>
      <c r="E110" s="25"/>
    </row>
    <row r="111" spans="1:5">
      <c r="A111" s="25"/>
      <c r="B111" s="25"/>
      <c r="C111" s="25"/>
      <c r="D111" s="25"/>
      <c r="E111" s="25"/>
    </row>
    <row r="112" spans="1:5">
      <c r="A112" s="25"/>
      <c r="B112" s="25"/>
      <c r="C112" s="25"/>
      <c r="D112" s="25"/>
      <c r="E112" s="25"/>
    </row>
    <row r="113" spans="1:5">
      <c r="A113" s="25"/>
      <c r="B113" s="25"/>
      <c r="C113" s="25"/>
      <c r="D113" s="25"/>
      <c r="E113" s="25"/>
    </row>
    <row r="114" spans="1:5">
      <c r="A114" s="25"/>
      <c r="B114" s="25"/>
      <c r="C114" s="25"/>
      <c r="D114" s="25"/>
      <c r="E114" s="25"/>
    </row>
    <row r="115" spans="1:5">
      <c r="A115" s="25"/>
      <c r="B115" s="25"/>
      <c r="C115" s="25"/>
      <c r="D115" s="25"/>
      <c r="E115" s="25"/>
    </row>
    <row r="116" spans="1:5">
      <c r="A116" s="25"/>
      <c r="B116" s="25"/>
      <c r="C116" s="25"/>
      <c r="D116" s="25"/>
      <c r="E116" s="25"/>
    </row>
    <row r="117" spans="1:5">
      <c r="A117" s="25"/>
      <c r="B117" s="25"/>
      <c r="C117" s="25"/>
      <c r="D117" s="25"/>
      <c r="E117" s="25"/>
    </row>
    <row r="118" spans="1:5">
      <c r="A118" s="25"/>
      <c r="B118" s="25"/>
      <c r="C118" s="25"/>
      <c r="D118" s="25"/>
      <c r="E118" s="25"/>
    </row>
    <row r="119" spans="1:5">
      <c r="A119" s="25"/>
      <c r="B119" s="25"/>
      <c r="C119" s="25"/>
      <c r="D119" s="25"/>
      <c r="E119" s="25"/>
    </row>
    <row r="120" spans="1:5">
      <c r="A120" s="25"/>
      <c r="B120" s="25"/>
      <c r="C120" s="25"/>
      <c r="D120" s="25"/>
      <c r="E120" s="25"/>
    </row>
    <row r="121" spans="1:5">
      <c r="A121" s="25"/>
      <c r="B121" s="25"/>
      <c r="C121" s="25"/>
      <c r="D121" s="25"/>
      <c r="E121" s="25"/>
    </row>
    <row r="122" spans="1:5">
      <c r="A122" s="25"/>
      <c r="B122" s="25"/>
      <c r="C122" s="25"/>
      <c r="D122" s="25"/>
      <c r="E122" s="25"/>
    </row>
    <row r="123" spans="1:5">
      <c r="A123" s="25"/>
      <c r="B123" s="25"/>
      <c r="C123" s="25"/>
      <c r="D123" s="25"/>
      <c r="E123" s="25"/>
    </row>
    <row r="124" spans="1:5">
      <c r="A124" s="25"/>
      <c r="B124" s="25"/>
      <c r="C124" s="25"/>
      <c r="D124" s="25"/>
      <c r="E124" s="25"/>
    </row>
    <row r="125" spans="1:5">
      <c r="A125" s="25"/>
      <c r="B125" s="25"/>
      <c r="C125" s="25"/>
      <c r="D125" s="25"/>
      <c r="E125" s="25"/>
    </row>
    <row r="126" spans="1:5">
      <c r="A126" s="25"/>
      <c r="B126" s="25"/>
      <c r="C126" s="25"/>
      <c r="D126" s="25"/>
      <c r="E126" s="25"/>
    </row>
    <row r="127" spans="1:5">
      <c r="A127" s="25"/>
      <c r="B127" s="25"/>
      <c r="C127" s="25"/>
      <c r="D127" s="25"/>
      <c r="E127" s="25"/>
    </row>
    <row r="128" spans="1:5">
      <c r="A128" s="25"/>
      <c r="B128" s="25"/>
      <c r="C128" s="25"/>
      <c r="D128" s="25"/>
      <c r="E128" s="25"/>
    </row>
    <row r="129" spans="1:5">
      <c r="A129" s="25"/>
      <c r="B129" s="25"/>
      <c r="C129" s="25"/>
      <c r="D129" s="25"/>
      <c r="E129" s="25"/>
    </row>
    <row r="130" spans="1:5">
      <c r="A130" s="25"/>
      <c r="B130" s="25"/>
      <c r="C130" s="25"/>
      <c r="D130" s="25"/>
      <c r="E130" s="25"/>
    </row>
    <row r="131" spans="1:5">
      <c r="A131" s="25"/>
      <c r="B131" s="25"/>
      <c r="C131" s="25"/>
      <c r="D131" s="25"/>
      <c r="E131" s="25"/>
    </row>
    <row r="132" spans="1:5">
      <c r="A132" s="25"/>
      <c r="B132" s="25"/>
      <c r="C132" s="25"/>
      <c r="D132" s="25"/>
      <c r="E132" s="25"/>
    </row>
    <row r="133" spans="1:5">
      <c r="A133" s="25"/>
      <c r="B133" s="25"/>
      <c r="C133" s="25"/>
      <c r="D133" s="25"/>
      <c r="E133" s="25"/>
    </row>
    <row r="134" spans="1:5">
      <c r="A134" s="25"/>
      <c r="B134" s="25"/>
      <c r="C134" s="25"/>
      <c r="D134" s="25"/>
      <c r="E134" s="25"/>
    </row>
    <row r="135" spans="1:5">
      <c r="A135" s="25"/>
      <c r="B135" s="25"/>
      <c r="C135" s="25"/>
      <c r="D135" s="25"/>
      <c r="E135" s="25"/>
    </row>
    <row r="136" spans="1:5">
      <c r="A136" s="25"/>
      <c r="B136" s="25"/>
      <c r="C136" s="25"/>
      <c r="D136" s="25"/>
      <c r="E136" s="25"/>
    </row>
    <row r="137" spans="1:5">
      <c r="A137" s="25"/>
      <c r="B137" s="25"/>
      <c r="C137" s="25"/>
      <c r="D137" s="25"/>
      <c r="E137" s="25"/>
    </row>
    <row r="138" spans="1:5">
      <c r="A138" s="25"/>
      <c r="B138" s="25"/>
      <c r="C138" s="25"/>
      <c r="D138" s="25"/>
      <c r="E138" s="25"/>
    </row>
    <row r="139" spans="1:5">
      <c r="A139" s="25"/>
      <c r="B139" s="25"/>
      <c r="C139" s="25"/>
      <c r="D139" s="25"/>
      <c r="E139" s="25"/>
    </row>
    <row r="140" spans="1:5">
      <c r="A140" s="25"/>
      <c r="B140" s="25"/>
      <c r="C140" s="25"/>
      <c r="D140" s="25"/>
      <c r="E140" s="25"/>
    </row>
    <row r="141" spans="1:5">
      <c r="A141" s="25"/>
      <c r="B141" s="25"/>
      <c r="C141" s="25"/>
      <c r="D141" s="25"/>
      <c r="E141" s="25"/>
    </row>
    <row r="142" spans="1:5">
      <c r="A142" s="25"/>
      <c r="B142" s="25"/>
      <c r="C142" s="25"/>
      <c r="D142" s="25"/>
      <c r="E142" s="25"/>
    </row>
    <row r="143" spans="1:5">
      <c r="A143" s="25"/>
      <c r="B143" s="25"/>
      <c r="C143" s="25"/>
      <c r="D143" s="25"/>
      <c r="E143" s="25"/>
    </row>
    <row r="144" spans="1:5">
      <c r="A144" s="25"/>
      <c r="B144" s="25"/>
      <c r="C144" s="25"/>
      <c r="D144" s="25"/>
      <c r="E144" s="25"/>
    </row>
    <row r="145" spans="1:5">
      <c r="A145" s="25"/>
      <c r="B145" s="25"/>
      <c r="C145" s="25"/>
      <c r="D145" s="25"/>
      <c r="E145" s="25"/>
    </row>
    <row r="146" spans="1:5">
      <c r="A146" s="25"/>
      <c r="B146" s="25"/>
      <c r="C146" s="25"/>
      <c r="D146" s="25"/>
      <c r="E146" s="25"/>
    </row>
    <row r="147" spans="1:5">
      <c r="A147" s="25"/>
      <c r="B147" s="25"/>
      <c r="C147" s="25"/>
      <c r="D147" s="25"/>
      <c r="E147" s="25"/>
    </row>
    <row r="148" spans="1:5">
      <c r="A148" s="25"/>
      <c r="B148" s="25"/>
    </row>
  </sheetData>
  <mergeCells count="4">
    <mergeCell ref="A4:H4"/>
    <mergeCell ref="A14:B14"/>
    <mergeCell ref="B49:C49"/>
    <mergeCell ref="F52:G52"/>
  </mergeCells>
  <printOptions horizontalCentered="1" verticalCentered="1"/>
  <pageMargins left="0.7" right="0.7" top="0.75" bottom="0.75" header="0.3" footer="0.3"/>
  <pageSetup scale="69" orientation="portrait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99"/>
  <sheetViews>
    <sheetView zoomScale="85" zoomScaleNormal="85" workbookViewId="0"/>
  </sheetViews>
  <sheetFormatPr defaultRowHeight="15"/>
  <cols>
    <col min="1" max="1" width="4.140625" style="1" customWidth="1"/>
    <col min="2" max="2" width="7.7109375" style="58" customWidth="1"/>
    <col min="3" max="3" width="26.140625" style="1" customWidth="1"/>
    <col min="4" max="4" width="12.42578125" style="86" customWidth="1"/>
    <col min="5" max="5" width="10.7109375" style="95" customWidth="1"/>
    <col min="6" max="6" width="10.140625" style="86" customWidth="1"/>
    <col min="7" max="7" width="8.5703125" style="86" bestFit="1" customWidth="1"/>
    <col min="8" max="9" width="12" style="86" customWidth="1"/>
    <col min="10" max="11" width="11.140625" style="103" bestFit="1" customWidth="1"/>
    <col min="12" max="12" width="10.28515625" style="103" bestFit="1" customWidth="1"/>
    <col min="13" max="13" width="12.42578125" style="103" bestFit="1" customWidth="1"/>
    <col min="14" max="15" width="10.85546875" style="103" customWidth="1"/>
    <col min="16" max="17" width="15.42578125" style="103" customWidth="1"/>
    <col min="18" max="18" width="13.42578125" style="103" customWidth="1"/>
    <col min="19" max="19" width="15.140625" style="103" customWidth="1"/>
    <col min="20" max="20" width="11.28515625" style="103" bestFit="1" customWidth="1"/>
    <col min="21" max="21" width="9.28515625" style="103" bestFit="1" customWidth="1"/>
    <col min="22" max="22" width="14.7109375" style="103" customWidth="1"/>
    <col min="23" max="23" width="12.140625" style="103" customWidth="1"/>
    <col min="24" max="24" width="12.140625" style="1" bestFit="1" customWidth="1"/>
    <col min="25" max="25" width="11.7109375" style="1" customWidth="1"/>
    <col min="26" max="26" width="9.140625" style="1"/>
    <col min="32" max="16384" width="9.140625" style="1"/>
  </cols>
  <sheetData>
    <row r="1" spans="1:31" s="80" customFormat="1">
      <c r="A1" s="83" t="s">
        <v>421</v>
      </c>
      <c r="B1" s="58"/>
      <c r="D1" s="86"/>
      <c r="E1" s="95"/>
      <c r="F1" s="86"/>
      <c r="G1" s="86"/>
      <c r="H1" s="86"/>
      <c r="I1" s="86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AA1"/>
      <c r="AB1"/>
      <c r="AC1"/>
      <c r="AD1"/>
      <c r="AE1"/>
    </row>
    <row r="2" spans="1:31" s="80" customFormat="1">
      <c r="A2" s="81" t="s">
        <v>429</v>
      </c>
      <c r="B2" s="58"/>
      <c r="D2" s="86"/>
      <c r="E2" s="95"/>
      <c r="F2" s="86"/>
      <c r="G2" s="86"/>
      <c r="H2" s="86"/>
      <c r="I2" s="86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AA2"/>
      <c r="AB2"/>
      <c r="AC2"/>
      <c r="AD2"/>
      <c r="AE2"/>
    </row>
    <row r="3" spans="1:31" s="80" customFormat="1">
      <c r="A3" s="81" t="s">
        <v>430</v>
      </c>
      <c r="B3" s="58"/>
      <c r="D3" s="86"/>
      <c r="E3" s="95"/>
      <c r="F3" s="86"/>
      <c r="G3" s="86"/>
      <c r="H3" s="86"/>
      <c r="I3" s="86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AA3"/>
      <c r="AB3"/>
      <c r="AC3"/>
      <c r="AD3"/>
      <c r="AE3"/>
    </row>
    <row r="4" spans="1:31" s="80" customFormat="1">
      <c r="A4" s="150" t="s">
        <v>442</v>
      </c>
      <c r="B4" s="58"/>
      <c r="D4" s="86"/>
      <c r="E4" s="95"/>
      <c r="F4" s="86"/>
      <c r="G4" s="86"/>
      <c r="H4" s="86"/>
      <c r="I4" s="86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AA4"/>
      <c r="AB4"/>
      <c r="AC4"/>
      <c r="AD4"/>
      <c r="AE4"/>
    </row>
    <row r="5" spans="1:31" ht="45" customHeight="1">
      <c r="A5" s="82"/>
      <c r="B5" s="82" t="s">
        <v>431</v>
      </c>
      <c r="C5" s="82" t="s">
        <v>432</v>
      </c>
      <c r="D5" s="82" t="s">
        <v>257</v>
      </c>
      <c r="E5" s="82" t="s">
        <v>258</v>
      </c>
      <c r="F5" s="82" t="s">
        <v>259</v>
      </c>
      <c r="G5" s="82" t="s">
        <v>204</v>
      </c>
      <c r="H5" s="82" t="s">
        <v>260</v>
      </c>
      <c r="I5" s="82" t="s">
        <v>261</v>
      </c>
      <c r="J5" s="82" t="s">
        <v>252</v>
      </c>
      <c r="K5" s="82" t="s">
        <v>262</v>
      </c>
      <c r="L5" s="82" t="s">
        <v>433</v>
      </c>
      <c r="M5" s="82" t="s">
        <v>263</v>
      </c>
      <c r="N5" s="82" t="s">
        <v>434</v>
      </c>
      <c r="O5" s="82" t="s">
        <v>264</v>
      </c>
      <c r="P5" s="82" t="s">
        <v>265</v>
      </c>
      <c r="Q5" s="82" t="s">
        <v>328</v>
      </c>
      <c r="R5" s="82" t="s">
        <v>435</v>
      </c>
      <c r="S5" s="82" t="s">
        <v>436</v>
      </c>
      <c r="T5" s="82" t="s">
        <v>440</v>
      </c>
      <c r="U5" s="82" t="s">
        <v>437</v>
      </c>
      <c r="V5" s="82" t="s">
        <v>438</v>
      </c>
      <c r="W5" s="82" t="s">
        <v>439</v>
      </c>
    </row>
    <row r="6" spans="1:31" ht="15" customHeight="1">
      <c r="A6" s="225" t="s">
        <v>255</v>
      </c>
      <c r="B6" s="139">
        <v>26</v>
      </c>
      <c r="C6" s="1" t="s">
        <v>9</v>
      </c>
      <c r="D6" s="86">
        <f>+'Regulated Co Provided Priceout'!K11</f>
        <v>12.479275254405559</v>
      </c>
      <c r="E6" s="95">
        <f>+References!B10</f>
        <v>4.333333333333333</v>
      </c>
      <c r="F6" s="86">
        <f>D6*E6*References!$B$50</f>
        <v>648.92231322908901</v>
      </c>
      <c r="G6" s="86">
        <f>+References!B16</f>
        <v>20</v>
      </c>
      <c r="H6" s="86">
        <f>F6*G6</f>
        <v>12978.44626458178</v>
      </c>
      <c r="I6" s="86">
        <f t="shared" ref="I6:I23" si="0">H6*$D$99</f>
        <v>8338.4618813681682</v>
      </c>
      <c r="J6" s="103">
        <f>I6*References!$C$55</f>
        <v>16.676923762736351</v>
      </c>
      <c r="K6" s="103">
        <f>J6/References!$G$58</f>
        <v>17.004689146026003</v>
      </c>
      <c r="L6" s="103">
        <f>K6/F6*E6</f>
        <v>0.11355286264202213</v>
      </c>
      <c r="M6" s="103">
        <f>+'Proposed Rates'!B10</f>
        <v>14.16</v>
      </c>
      <c r="N6" s="103">
        <f>L6+M6</f>
        <v>14.273552862642022</v>
      </c>
      <c r="O6" s="103">
        <f>+'Proposed Rates'!D10</f>
        <v>14.273552862642022</v>
      </c>
      <c r="P6" s="103">
        <f>D6*M6*References!$B$50</f>
        <v>2120.4784512285928</v>
      </c>
      <c r="Q6" s="103">
        <f>D6*O6*References!$B$50</f>
        <v>2137.4831403746189</v>
      </c>
      <c r="R6" s="103">
        <f>Q6-P6</f>
        <v>17.004689146026067</v>
      </c>
      <c r="S6" s="103">
        <f>D6*N6*References!$B$50</f>
        <v>2137.4831403746189</v>
      </c>
      <c r="T6" s="103">
        <f>Q6-S6</f>
        <v>0</v>
      </c>
      <c r="U6" s="118">
        <f>N6</f>
        <v>14.273552862642022</v>
      </c>
      <c r="V6" s="118">
        <f>D6*U6*References!$B$50</f>
        <v>2137.4831403746189</v>
      </c>
      <c r="W6" s="118">
        <f>V6-P6</f>
        <v>17.004689146026067</v>
      </c>
      <c r="X6" s="218">
        <f>I6*(References!$C$55/References!$G$58)</f>
        <v>17.004689146026003</v>
      </c>
      <c r="Y6" s="103">
        <f>W6-X6</f>
        <v>6.3948846218409017E-14</v>
      </c>
    </row>
    <row r="7" spans="1:31">
      <c r="A7" s="226"/>
      <c r="B7" s="139">
        <v>26</v>
      </c>
      <c r="C7" s="1" t="s">
        <v>11</v>
      </c>
      <c r="D7" s="86">
        <f>+'Regulated Co Provided Priceout'!K12</f>
        <v>41.166666666666671</v>
      </c>
      <c r="E7" s="95">
        <f>+References!B12</f>
        <v>1</v>
      </c>
      <c r="F7" s="86">
        <f>D7*E7*References!$B$50</f>
        <v>494.00000000000006</v>
      </c>
      <c r="G7" s="86">
        <f>+References!B17</f>
        <v>34</v>
      </c>
      <c r="H7" s="86">
        <f t="shared" ref="H7:H23" si="1">F7*G7</f>
        <v>16796.000000000004</v>
      </c>
      <c r="I7" s="86">
        <f t="shared" si="0"/>
        <v>10791.184314694459</v>
      </c>
      <c r="J7" s="103">
        <f>I7*References!$C$55</f>
        <v>21.582368629388938</v>
      </c>
      <c r="K7" s="103">
        <f>J7/References!$G$58</f>
        <v>22.006544780023901</v>
      </c>
      <c r="L7" s="103">
        <f t="shared" ref="L7:L23" si="2">K7/F7*E7</f>
        <v>4.454766149802409E-2</v>
      </c>
      <c r="M7" s="103">
        <f>+'Proposed Rates'!B19</f>
        <v>11.42</v>
      </c>
      <c r="N7" s="103">
        <f t="shared" ref="N7:N23" si="3">L7+M7</f>
        <v>11.464547661498024</v>
      </c>
      <c r="O7" s="103">
        <f>+'Proposed Rates'!D19</f>
        <v>11.464547661498024</v>
      </c>
      <c r="P7" s="103">
        <f>D7*M7*References!$B$50</f>
        <v>5641.4800000000005</v>
      </c>
      <c r="Q7" s="103">
        <f>D7*O7*References!$B$50</f>
        <v>5663.4865447800248</v>
      </c>
      <c r="R7" s="103">
        <f t="shared" ref="R7:R23" si="4">Q7-P7</f>
        <v>22.006544780024342</v>
      </c>
      <c r="S7" s="103">
        <f>D7*N7*References!$B$50</f>
        <v>5663.4865447800248</v>
      </c>
      <c r="T7" s="103">
        <f t="shared" ref="T7:T24" si="5">Q7-S7</f>
        <v>0</v>
      </c>
      <c r="U7" s="118">
        <f t="shared" ref="U7:U23" si="6">N7</f>
        <v>11.464547661498024</v>
      </c>
      <c r="V7" s="118">
        <f>D7*U7*References!$B$50</f>
        <v>5663.4865447800248</v>
      </c>
      <c r="W7" s="118">
        <f t="shared" ref="W7:W23" si="7">V7-P7</f>
        <v>22.006544780024342</v>
      </c>
      <c r="X7" s="218">
        <f>I7*(References!$C$55/References!$G$58)</f>
        <v>22.006544780023898</v>
      </c>
      <c r="Y7" s="103">
        <f t="shared" ref="Y7:Y23" si="8">W7-X7</f>
        <v>4.4408920985006262E-13</v>
      </c>
    </row>
    <row r="8" spans="1:31">
      <c r="A8" s="226"/>
      <c r="B8" s="139">
        <v>26</v>
      </c>
      <c r="C8" s="1" t="s">
        <v>13</v>
      </c>
      <c r="D8" s="86">
        <f>+'Regulated Co Provided Priceout'!K13</f>
        <v>1023.6584699453553</v>
      </c>
      <c r="E8" s="95">
        <f>+References!B10</f>
        <v>4.333333333333333</v>
      </c>
      <c r="F8" s="86">
        <f>D8*E8*References!$B$50</f>
        <v>53230.240437158471</v>
      </c>
      <c r="G8" s="86">
        <f>+References!B17</f>
        <v>34</v>
      </c>
      <c r="H8" s="86">
        <f t="shared" si="1"/>
        <v>1809828.1748633881</v>
      </c>
      <c r="I8" s="86">
        <f t="shared" si="0"/>
        <v>1162788.1288924678</v>
      </c>
      <c r="J8" s="103">
        <f>I8*References!$C$55</f>
        <v>2325.5762577849378</v>
      </c>
      <c r="K8" s="103">
        <f>J8/References!$G$58</f>
        <v>2371.282732452969</v>
      </c>
      <c r="L8" s="103">
        <f t="shared" si="2"/>
        <v>0.19303986649143767</v>
      </c>
      <c r="M8" s="103">
        <f>+'Proposed Rates'!B11</f>
        <v>18.010000000000002</v>
      </c>
      <c r="N8" s="103">
        <f t="shared" si="3"/>
        <v>18.203039866491441</v>
      </c>
      <c r="O8" s="103">
        <f>+'Proposed Rates'!D11</f>
        <v>18.203039866491441</v>
      </c>
      <c r="P8" s="103">
        <f>D8*M8*References!$B$50</f>
        <v>221233.06852459017</v>
      </c>
      <c r="Q8" s="103">
        <f>D8*O8*References!$B$50</f>
        <v>223604.35125704316</v>
      </c>
      <c r="R8" s="103">
        <f t="shared" si="4"/>
        <v>2371.2827324529935</v>
      </c>
      <c r="S8" s="103">
        <f>D8*N8*References!$B$50</f>
        <v>223604.35125704316</v>
      </c>
      <c r="T8" s="103">
        <f t="shared" si="5"/>
        <v>0</v>
      </c>
      <c r="U8" s="118">
        <f t="shared" si="6"/>
        <v>18.203039866491441</v>
      </c>
      <c r="V8" s="118">
        <f>D8*U8*References!$B$50</f>
        <v>223604.35125704316</v>
      </c>
      <c r="W8" s="118">
        <f t="shared" si="7"/>
        <v>2371.2827324529935</v>
      </c>
      <c r="X8" s="218">
        <f>I8*(References!$C$55/References!$G$58)</f>
        <v>2371.282732452969</v>
      </c>
      <c r="Y8" s="103">
        <f t="shared" si="8"/>
        <v>2.4556356947869062E-11</v>
      </c>
    </row>
    <row r="9" spans="1:31">
      <c r="A9" s="226"/>
      <c r="B9" s="139">
        <v>26</v>
      </c>
      <c r="C9" s="1" t="s">
        <v>15</v>
      </c>
      <c r="D9" s="86">
        <f>+'Regulated Co Provided Priceout'!K14</f>
        <v>182.23965225702102</v>
      </c>
      <c r="E9" s="95">
        <f>+References!B10</f>
        <v>4.333333333333333</v>
      </c>
      <c r="F9" s="86">
        <f>D9*E9*References!$B$50</f>
        <v>9476.4619173650935</v>
      </c>
      <c r="G9" s="86">
        <f>+References!B18</f>
        <v>51</v>
      </c>
      <c r="H9" s="86">
        <f t="shared" si="1"/>
        <v>483299.55778561975</v>
      </c>
      <c r="I9" s="86">
        <f t="shared" si="0"/>
        <v>310512.8963607375</v>
      </c>
      <c r="J9" s="103">
        <f>I9*References!$C$55</f>
        <v>621.02579272147557</v>
      </c>
      <c r="K9" s="103">
        <f>J9/References!$G$58</f>
        <v>633.23132654054461</v>
      </c>
      <c r="L9" s="103">
        <f t="shared" si="2"/>
        <v>0.28955979973715651</v>
      </c>
      <c r="M9" s="103">
        <f>+'Proposed Rates'!B12</f>
        <v>23.9</v>
      </c>
      <c r="N9" s="103">
        <f t="shared" si="3"/>
        <v>24.189559799737154</v>
      </c>
      <c r="O9" s="103">
        <f>+'Proposed Rates'!D12</f>
        <v>24.189559799737154</v>
      </c>
      <c r="P9" s="103">
        <f>D9*M9*References!$B$50</f>
        <v>52266.332267313628</v>
      </c>
      <c r="Q9" s="103">
        <f>D9*O9*References!$B$50</f>
        <v>52899.563593854167</v>
      </c>
      <c r="R9" s="103">
        <f t="shared" si="4"/>
        <v>633.23132654053916</v>
      </c>
      <c r="S9" s="103">
        <f>D9*N9*References!$B$50</f>
        <v>52899.563593854167</v>
      </c>
      <c r="T9" s="103">
        <f t="shared" si="5"/>
        <v>0</v>
      </c>
      <c r="U9" s="118">
        <f t="shared" si="6"/>
        <v>24.189559799737154</v>
      </c>
      <c r="V9" s="118">
        <f>D9*U9*References!$B$50</f>
        <v>52899.563593854167</v>
      </c>
      <c r="W9" s="118">
        <f t="shared" si="7"/>
        <v>633.23132654053916</v>
      </c>
      <c r="X9" s="218">
        <f>I9*(References!$C$55/References!$G$58)</f>
        <v>633.23132654054461</v>
      </c>
      <c r="Y9" s="103">
        <f t="shared" si="8"/>
        <v>-5.4569682106375694E-12</v>
      </c>
    </row>
    <row r="10" spans="1:31">
      <c r="A10" s="226"/>
      <c r="B10" s="139">
        <v>26</v>
      </c>
      <c r="C10" s="1" t="s">
        <v>17</v>
      </c>
      <c r="D10" s="86">
        <f>+'Regulated Co Provided Priceout'!K15</f>
        <v>9.2916666666666661</v>
      </c>
      <c r="E10" s="95">
        <f>+References!B10</f>
        <v>4.333333333333333</v>
      </c>
      <c r="F10" s="86">
        <f>D10*E10*References!$B$50</f>
        <v>483.16666666666663</v>
      </c>
      <c r="G10" s="86">
        <f>+References!B19</f>
        <v>77</v>
      </c>
      <c r="H10" s="86">
        <f t="shared" si="1"/>
        <v>37203.833333333328</v>
      </c>
      <c r="I10" s="86">
        <f t="shared" si="0"/>
        <v>23902.918713573075</v>
      </c>
      <c r="J10" s="103">
        <f>I10*References!$C$55</f>
        <v>47.805837427146194</v>
      </c>
      <c r="K10" s="103">
        <f>J10/References!$G$58</f>
        <v>48.745405110654055</v>
      </c>
      <c r="L10" s="103">
        <f t="shared" si="2"/>
        <v>0.43717852117178529</v>
      </c>
      <c r="M10" s="103">
        <f>+'Proposed Rates'!B13</f>
        <v>31.67</v>
      </c>
      <c r="N10" s="103">
        <f t="shared" si="3"/>
        <v>32.107178521171789</v>
      </c>
      <c r="O10" s="103">
        <f>+'Proposed Rates'!D13</f>
        <v>32.107178521171789</v>
      </c>
      <c r="P10" s="103">
        <f>D10*M10*References!$B$50</f>
        <v>3531.2049999999999</v>
      </c>
      <c r="Q10" s="103">
        <f>D10*O10*References!$B$50</f>
        <v>3579.9504051106542</v>
      </c>
      <c r="R10" s="103">
        <f t="shared" si="4"/>
        <v>48.745405110654247</v>
      </c>
      <c r="S10" s="103">
        <f>D10*N10*References!$B$50</f>
        <v>3579.9504051106542</v>
      </c>
      <c r="T10" s="103">
        <f t="shared" si="5"/>
        <v>0</v>
      </c>
      <c r="U10" s="118">
        <f t="shared" si="6"/>
        <v>32.107178521171789</v>
      </c>
      <c r="V10" s="118">
        <f>D10*U10*References!$B$50</f>
        <v>3579.9504051106542</v>
      </c>
      <c r="W10" s="118">
        <f t="shared" si="7"/>
        <v>48.745405110654247</v>
      </c>
      <c r="X10" s="218">
        <f>I10*(References!$C$55/References!$G$58)</f>
        <v>48.745405110654055</v>
      </c>
      <c r="Y10" s="103">
        <f t="shared" si="8"/>
        <v>1.9184653865522705E-13</v>
      </c>
    </row>
    <row r="11" spans="1:31">
      <c r="A11" s="226"/>
      <c r="B11" s="139">
        <v>26</v>
      </c>
      <c r="C11" s="1" t="s">
        <v>19</v>
      </c>
      <c r="D11" s="86">
        <f>+'Regulated Co Provided Priceout'!K16</f>
        <v>1</v>
      </c>
      <c r="E11" s="95">
        <f>+References!B10</f>
        <v>4.333333333333333</v>
      </c>
      <c r="F11" s="86">
        <f>D11*E11*References!$B$50</f>
        <v>52</v>
      </c>
      <c r="G11" s="86">
        <f>+References!B20</f>
        <v>97</v>
      </c>
      <c r="H11" s="86">
        <f t="shared" si="1"/>
        <v>5044</v>
      </c>
      <c r="I11" s="86">
        <f t="shared" si="0"/>
        <v>3240.6962183447749</v>
      </c>
      <c r="J11" s="103">
        <f>I11*References!$C$55</f>
        <v>6.4813924366895552</v>
      </c>
      <c r="K11" s="103">
        <f>J11/References!$G$58</f>
        <v>6.6087766057656889</v>
      </c>
      <c r="L11" s="103">
        <f t="shared" si="2"/>
        <v>0.55073138381380737</v>
      </c>
      <c r="M11" s="103">
        <f>+'Proposed Rates'!B14</f>
        <v>41.38</v>
      </c>
      <c r="N11" s="103">
        <f t="shared" si="3"/>
        <v>41.930731383813807</v>
      </c>
      <c r="O11" s="103">
        <f>+'Proposed Rates'!D14</f>
        <v>41.930731383813807</v>
      </c>
      <c r="P11" s="103">
        <f>D11*M11*References!$B$50</f>
        <v>496.56000000000006</v>
      </c>
      <c r="Q11" s="103">
        <f>D11*O11*References!$B$50</f>
        <v>503.16877660576569</v>
      </c>
      <c r="R11" s="103">
        <f t="shared" si="4"/>
        <v>6.6087766057656268</v>
      </c>
      <c r="S11" s="103">
        <f>D11*N11*References!$B$50</f>
        <v>503.16877660576569</v>
      </c>
      <c r="T11" s="103">
        <f t="shared" si="5"/>
        <v>0</v>
      </c>
      <c r="U11" s="118">
        <f t="shared" si="6"/>
        <v>41.930731383813807</v>
      </c>
      <c r="V11" s="118">
        <f>D11*U11*References!$B$50</f>
        <v>503.16877660576569</v>
      </c>
      <c r="W11" s="118">
        <f t="shared" si="7"/>
        <v>6.6087766057656268</v>
      </c>
      <c r="X11" s="218">
        <f>I11*(References!$C$55/References!$G$58)</f>
        <v>6.6087766057656898</v>
      </c>
      <c r="Y11" s="103">
        <f t="shared" si="8"/>
        <v>-6.3060667798708891E-14</v>
      </c>
    </row>
    <row r="12" spans="1:31">
      <c r="A12" s="226"/>
      <c r="B12" s="139">
        <v>26</v>
      </c>
      <c r="C12" s="1" t="s">
        <v>21</v>
      </c>
      <c r="D12" s="86">
        <f>+'Regulated Co Provided Priceout'!K17</f>
        <v>711.2364309210526</v>
      </c>
      <c r="E12" s="95">
        <f>+References!$B$10</f>
        <v>4.333333333333333</v>
      </c>
      <c r="F12" s="86">
        <f>D12*E12*References!$B$50</f>
        <v>36984.294407894733</v>
      </c>
      <c r="G12" s="86">
        <f>+References!B23</f>
        <v>47</v>
      </c>
      <c r="H12" s="86">
        <f t="shared" si="1"/>
        <v>1738261.8371710523</v>
      </c>
      <c r="I12" s="86">
        <f t="shared" si="0"/>
        <v>1116807.8037694825</v>
      </c>
      <c r="J12" s="103">
        <f>I12*References!$C$55</f>
        <v>2233.6156075389672</v>
      </c>
      <c r="K12" s="103">
        <f>J12/References!$G$58</f>
        <v>2277.514703447926</v>
      </c>
      <c r="L12" s="103">
        <f t="shared" si="2"/>
        <v>0.26684922720875204</v>
      </c>
      <c r="M12" s="103">
        <f>+'Proposed Rates'!B17</f>
        <v>25.64</v>
      </c>
      <c r="N12" s="103">
        <f t="shared" si="3"/>
        <v>25.906849227208752</v>
      </c>
      <c r="O12" s="103">
        <f>+'Proposed Rates'!D17</f>
        <v>25.906849227208752</v>
      </c>
      <c r="P12" s="103">
        <f>D12*M12*References!$B$50</f>
        <v>218833.22506578948</v>
      </c>
      <c r="Q12" s="103">
        <f>D12*O12*References!$B$50</f>
        <v>221110.73976923741</v>
      </c>
      <c r="R12" s="103">
        <f t="shared" si="4"/>
        <v>2277.5147034479305</v>
      </c>
      <c r="S12" s="103">
        <f>D12*N12*References!$B$50</f>
        <v>221110.73976923741</v>
      </c>
      <c r="T12" s="103">
        <f t="shared" si="5"/>
        <v>0</v>
      </c>
      <c r="U12" s="118">
        <f t="shared" si="6"/>
        <v>25.906849227208752</v>
      </c>
      <c r="V12" s="118">
        <f>D12*U12*References!$B$50</f>
        <v>221110.73976923741</v>
      </c>
      <c r="W12" s="118">
        <f t="shared" si="7"/>
        <v>2277.5147034479305</v>
      </c>
      <c r="X12" s="218">
        <f>I12*(References!$C$55/References!$G$58)</f>
        <v>2277.514703447926</v>
      </c>
      <c r="Y12" s="103">
        <f t="shared" si="8"/>
        <v>4.5474735088646412E-12</v>
      </c>
    </row>
    <row r="13" spans="1:31" s="80" customFormat="1">
      <c r="A13" s="226"/>
      <c r="B13" s="139">
        <v>26</v>
      </c>
      <c r="C13" s="80" t="s">
        <v>343</v>
      </c>
      <c r="D13" s="86">
        <f>+'Regulated Co Provided Priceout'!K18</f>
        <v>0.35416666666666657</v>
      </c>
      <c r="E13" s="215">
        <f>+References!$B$10</f>
        <v>4.333333333333333</v>
      </c>
      <c r="F13" s="89">
        <f>D13*E13*References!$B$50</f>
        <v>18.416666666666661</v>
      </c>
      <c r="G13" s="89">
        <f>+References!B23*2</f>
        <v>94</v>
      </c>
      <c r="H13" s="86">
        <f t="shared" ref="H13" si="9">F13*G13</f>
        <v>1731.1666666666661</v>
      </c>
      <c r="I13" s="86">
        <f t="shared" si="0"/>
        <v>1112.2492605057878</v>
      </c>
      <c r="J13" s="103">
        <f>I13*References!$C$55</f>
        <v>2.2244985210115775</v>
      </c>
      <c r="K13" s="103">
        <f>J13/References!$G$58</f>
        <v>2.2682184312743914</v>
      </c>
      <c r="L13" s="103">
        <f t="shared" si="2"/>
        <v>0.53369845441750396</v>
      </c>
      <c r="M13" s="103">
        <f>+'Proposed Rates'!B17*2</f>
        <v>51.28</v>
      </c>
      <c r="N13" s="103">
        <f>L13+M13</f>
        <v>51.813698454417505</v>
      </c>
      <c r="O13" s="103">
        <f>+'Proposed Rates'!D17*2</f>
        <v>51.813698454417505</v>
      </c>
      <c r="P13" s="103">
        <f>D13*M13*References!$B$50</f>
        <v>217.93999999999994</v>
      </c>
      <c r="Q13" s="103">
        <f>D13*O13*References!$B$50</f>
        <v>220.20821843127433</v>
      </c>
      <c r="R13" s="103">
        <f t="shared" si="4"/>
        <v>2.2682184312743914</v>
      </c>
      <c r="S13" s="103">
        <f>D13*N13*References!$B$50</f>
        <v>220.20821843127433</v>
      </c>
      <c r="T13" s="103">
        <f t="shared" si="5"/>
        <v>0</v>
      </c>
      <c r="U13" s="118">
        <f t="shared" si="6"/>
        <v>51.813698454417505</v>
      </c>
      <c r="V13" s="118">
        <f>D13*U13*References!$B$50</f>
        <v>220.20821843127433</v>
      </c>
      <c r="W13" s="118">
        <f t="shared" si="7"/>
        <v>2.2682184312743914</v>
      </c>
      <c r="X13" s="218">
        <f>I13*(References!$C$55/References!$G$58)</f>
        <v>2.2682184312743914</v>
      </c>
      <c r="Y13" s="103">
        <f t="shared" si="8"/>
        <v>0</v>
      </c>
      <c r="AA13"/>
      <c r="AB13"/>
      <c r="AC13"/>
      <c r="AD13"/>
      <c r="AE13"/>
    </row>
    <row r="14" spans="1:31">
      <c r="A14" s="226"/>
      <c r="B14" s="139">
        <v>26</v>
      </c>
      <c r="C14" s="1" t="s">
        <v>23</v>
      </c>
      <c r="D14" s="86">
        <f>+'Regulated Co Provided Priceout'!K19</f>
        <v>1.4791666666666663</v>
      </c>
      <c r="E14" s="215">
        <f>+References!$B$10</f>
        <v>4.333333333333333</v>
      </c>
      <c r="F14" s="89">
        <f>D14*E14*References!$B$50</f>
        <v>76.916666666666643</v>
      </c>
      <c r="G14" s="89">
        <f>+References!B23*3</f>
        <v>141</v>
      </c>
      <c r="H14" s="86">
        <f t="shared" si="1"/>
        <v>10845.249999999996</v>
      </c>
      <c r="I14" s="86">
        <f t="shared" si="0"/>
        <v>6967.9144849333179</v>
      </c>
      <c r="J14" s="103">
        <f>I14*References!$C$55</f>
        <v>13.935828969866648</v>
      </c>
      <c r="K14" s="103">
        <f>J14/References!$G$58</f>
        <v>14.209721348866042</v>
      </c>
      <c r="L14" s="103">
        <f t="shared" si="2"/>
        <v>0.800547681626256</v>
      </c>
      <c r="M14" s="103">
        <f>+'Proposed Rates'!B17*3</f>
        <v>76.92</v>
      </c>
      <c r="N14" s="103">
        <f t="shared" si="3"/>
        <v>77.720547681626257</v>
      </c>
      <c r="O14" s="103">
        <f>+'Proposed Rates'!D17*3</f>
        <v>77.720547681626257</v>
      </c>
      <c r="P14" s="103">
        <f>D14*M14*References!$B$50</f>
        <v>1365.3299999999997</v>
      </c>
      <c r="Q14" s="103">
        <f>D14*O14*References!$B$50</f>
        <v>1379.5397213488659</v>
      </c>
      <c r="R14" s="103">
        <f t="shared" si="4"/>
        <v>14.209721348866196</v>
      </c>
      <c r="S14" s="103">
        <f>D14*N14*References!$B$50</f>
        <v>1379.5397213488659</v>
      </c>
      <c r="T14" s="103">
        <f t="shared" si="5"/>
        <v>0</v>
      </c>
      <c r="U14" s="118">
        <f t="shared" si="6"/>
        <v>77.720547681626257</v>
      </c>
      <c r="V14" s="118">
        <f>D14*U14*References!$B$50</f>
        <v>1379.5397213488659</v>
      </c>
      <c r="W14" s="118">
        <f t="shared" si="7"/>
        <v>14.209721348866196</v>
      </c>
      <c r="X14" s="218">
        <f>I14*(References!$C$55/References!$G$58)</f>
        <v>14.209721348866042</v>
      </c>
      <c r="Y14" s="103">
        <f t="shared" si="8"/>
        <v>1.5454304502782179E-13</v>
      </c>
    </row>
    <row r="15" spans="1:31">
      <c r="A15" s="226"/>
      <c r="B15" s="139">
        <v>26</v>
      </c>
      <c r="C15" s="1" t="s">
        <v>25</v>
      </c>
      <c r="D15" s="86">
        <f>+'Regulated Co Provided Priceout'!K20</f>
        <v>1305.8896332667553</v>
      </c>
      <c r="E15" s="95">
        <f>+References!B10</f>
        <v>4.333333333333333</v>
      </c>
      <c r="F15" s="86">
        <f>D15*E15*References!$B$50</f>
        <v>67906.260929871263</v>
      </c>
      <c r="G15" s="86">
        <f>+References!B24</f>
        <v>68</v>
      </c>
      <c r="H15" s="86">
        <f t="shared" si="1"/>
        <v>4617625.7432312462</v>
      </c>
      <c r="I15" s="86">
        <f t="shared" si="0"/>
        <v>2966756.9952063798</v>
      </c>
      <c r="J15" s="103">
        <f>I15*References!$C$55</f>
        <v>5933.5139904127645</v>
      </c>
      <c r="K15" s="103">
        <f>J15/References!$G$58</f>
        <v>6050.1302510008054</v>
      </c>
      <c r="L15" s="103">
        <f t="shared" si="2"/>
        <v>0.38607973298287529</v>
      </c>
      <c r="M15" s="103">
        <f>+'Proposed Rates'!B18</f>
        <v>31.67</v>
      </c>
      <c r="N15" s="103">
        <f t="shared" si="3"/>
        <v>32.05607973298288</v>
      </c>
      <c r="O15" s="103">
        <f>+'Proposed Rates'!D18</f>
        <v>32.05607973298288</v>
      </c>
      <c r="P15" s="103">
        <f>D15*M15*References!$B$50</f>
        <v>496290.29622669774</v>
      </c>
      <c r="Q15" s="103">
        <f>D15*O15*References!$B$50</f>
        <v>502340.42647769861</v>
      </c>
      <c r="R15" s="103">
        <f t="shared" si="4"/>
        <v>6050.1302510008682</v>
      </c>
      <c r="S15" s="103">
        <f>D15*N15*References!$B$50</f>
        <v>502340.42647769861</v>
      </c>
      <c r="T15" s="103">
        <f t="shared" si="5"/>
        <v>0</v>
      </c>
      <c r="U15" s="118">
        <f t="shared" si="6"/>
        <v>32.05607973298288</v>
      </c>
      <c r="V15" s="118">
        <f>D15*U15*References!$B$50</f>
        <v>502340.42647769861</v>
      </c>
      <c r="W15" s="118">
        <f t="shared" si="7"/>
        <v>6050.1302510008682</v>
      </c>
      <c r="X15" s="218">
        <f>I15*(References!$C$55/References!$G$58)</f>
        <v>6050.1302510008054</v>
      </c>
      <c r="Y15" s="103">
        <f t="shared" si="8"/>
        <v>6.2755134422332048E-11</v>
      </c>
    </row>
    <row r="16" spans="1:31">
      <c r="A16" s="226"/>
      <c r="B16" s="139">
        <v>26</v>
      </c>
      <c r="C16" s="1" t="s">
        <v>27</v>
      </c>
      <c r="D16" s="86">
        <f>+'Regulated Co Provided Priceout'!K21</f>
        <v>11.291416999556148</v>
      </c>
      <c r="E16" s="215">
        <f>+References!$B$10</f>
        <v>4.333333333333333</v>
      </c>
      <c r="F16" s="86">
        <f>D16*E16*References!$B$50</f>
        <v>587.15368397691964</v>
      </c>
      <c r="G16" s="89">
        <f>+References!B24*2</f>
        <v>136</v>
      </c>
      <c r="H16" s="86">
        <f t="shared" si="1"/>
        <v>79852.901020861071</v>
      </c>
      <c r="I16" s="86">
        <f t="shared" si="0"/>
        <v>51304.32084896195</v>
      </c>
      <c r="J16" s="103">
        <f>I16*References!$C$55</f>
        <v>102.60864169792399</v>
      </c>
      <c r="K16" s="103">
        <f>J16/References!$G$58</f>
        <v>104.62529424448647</v>
      </c>
      <c r="L16" s="103">
        <f t="shared" si="2"/>
        <v>0.77215946596575058</v>
      </c>
      <c r="M16" s="103">
        <f>+'Proposed Rates'!B18*2</f>
        <v>63.34</v>
      </c>
      <c r="N16" s="103">
        <f t="shared" si="3"/>
        <v>64.11215946596576</v>
      </c>
      <c r="O16" s="103">
        <f>+'Proposed Rates'!D18*2</f>
        <v>64.11215946596576</v>
      </c>
      <c r="P16" s="103">
        <f>D16*M16*References!$B$50</f>
        <v>8582.3802330226372</v>
      </c>
      <c r="Q16" s="103">
        <f>D16*O16*References!$B$50</f>
        <v>8687.0055272671234</v>
      </c>
      <c r="R16" s="103">
        <f t="shared" si="4"/>
        <v>104.62529424448621</v>
      </c>
      <c r="S16" s="103">
        <f>D16*N16*References!$B$50</f>
        <v>8687.0055272671234</v>
      </c>
      <c r="T16" s="103">
        <f>Q16-S16</f>
        <v>0</v>
      </c>
      <c r="U16" s="118">
        <f t="shared" si="6"/>
        <v>64.11215946596576</v>
      </c>
      <c r="V16" s="118">
        <f>D16*U16*References!$B$50</f>
        <v>8687.0055272671234</v>
      </c>
      <c r="W16" s="118">
        <f t="shared" si="7"/>
        <v>104.62529424448621</v>
      </c>
      <c r="X16" s="218">
        <f>I16*(References!$C$55/References!$G$58)</f>
        <v>104.62529424448647</v>
      </c>
      <c r="Y16" s="103">
        <f t="shared" si="8"/>
        <v>-2.5579538487363607E-13</v>
      </c>
    </row>
    <row r="17" spans="1:31">
      <c r="A17" s="226"/>
      <c r="B17" s="139">
        <v>27</v>
      </c>
      <c r="C17" s="1" t="s">
        <v>29</v>
      </c>
      <c r="D17" s="86">
        <f>+'Regulated Co Provided Priceout'!K22</f>
        <v>2.5757130872483218</v>
      </c>
      <c r="E17" s="95">
        <f>+References!$B$12</f>
        <v>1</v>
      </c>
      <c r="F17" s="86">
        <f>D17*E17*References!$B$50</f>
        <v>30.908557046979862</v>
      </c>
      <c r="G17" s="86">
        <f>+References!B17</f>
        <v>34</v>
      </c>
      <c r="H17" s="86">
        <f t="shared" si="1"/>
        <v>1050.8909395973153</v>
      </c>
      <c r="I17" s="86">
        <f t="shared" si="0"/>
        <v>675.18205667046129</v>
      </c>
      <c r="J17" s="103">
        <f>I17*References!$C$55</f>
        <v>1.3503641133409239</v>
      </c>
      <c r="K17" s="103">
        <f>J17/References!$G$58</f>
        <v>1.3769039367212255</v>
      </c>
      <c r="L17" s="103">
        <f t="shared" si="2"/>
        <v>4.4547661498024076E-2</v>
      </c>
      <c r="M17" s="103">
        <f>+'Proposed Rates'!B24</f>
        <v>12.57</v>
      </c>
      <c r="N17" s="103">
        <f t="shared" si="3"/>
        <v>12.614547661498024</v>
      </c>
      <c r="O17" s="103">
        <f>+'Proposed Rates'!D24</f>
        <v>12.614547661498024</v>
      </c>
      <c r="P17" s="103">
        <f>F17*M17</f>
        <v>388.52056208053688</v>
      </c>
      <c r="Q17" s="103">
        <f>F17*O17</f>
        <v>389.89746601725807</v>
      </c>
      <c r="R17" s="103">
        <f t="shared" si="4"/>
        <v>1.3769039367211917</v>
      </c>
      <c r="S17" s="103">
        <f>F17*N17</f>
        <v>389.89746601725807</v>
      </c>
      <c r="T17" s="103">
        <f t="shared" si="5"/>
        <v>0</v>
      </c>
      <c r="U17" s="118">
        <f t="shared" si="6"/>
        <v>12.614547661498024</v>
      </c>
      <c r="V17" s="118">
        <f>F17*U17</f>
        <v>389.89746601725807</v>
      </c>
      <c r="W17" s="118">
        <f t="shared" si="7"/>
        <v>1.3769039367211917</v>
      </c>
      <c r="X17" s="218">
        <f>I17*(References!$C$55/References!$G$58)</f>
        <v>1.3769039367212255</v>
      </c>
      <c r="Y17" s="103">
        <f t="shared" si="8"/>
        <v>-3.3750779948604759E-14</v>
      </c>
    </row>
    <row r="18" spans="1:31" s="167" customFormat="1">
      <c r="A18" s="226"/>
      <c r="B18" s="139">
        <v>27</v>
      </c>
      <c r="C18" s="167" t="s">
        <v>31</v>
      </c>
      <c r="D18" s="89">
        <f>+'Regulated Co Provided Priceout'!K23</f>
        <v>0.54145693512304249</v>
      </c>
      <c r="E18" s="215">
        <f>+References!$B$12</f>
        <v>1</v>
      </c>
      <c r="F18" s="89">
        <f>D18*E18*References!$B$50</f>
        <v>6.4974832214765099</v>
      </c>
      <c r="G18" s="89">
        <f>+References!B24</f>
        <v>68</v>
      </c>
      <c r="H18" s="89">
        <f t="shared" si="1"/>
        <v>441.82885906040269</v>
      </c>
      <c r="I18" s="89">
        <f t="shared" si="0"/>
        <v>283.86857904691385</v>
      </c>
      <c r="J18" s="104">
        <f>I18*References!$C$55</f>
        <v>0.56773715809382819</v>
      </c>
      <c r="K18" s="104">
        <f>J18/References!$G$58</f>
        <v>0.57889536627885307</v>
      </c>
      <c r="L18" s="104">
        <f t="shared" si="2"/>
        <v>8.9095322996048151E-2</v>
      </c>
      <c r="M18" s="104">
        <f>+'Proposed Rates'!B24</f>
        <v>12.57</v>
      </c>
      <c r="N18" s="104">
        <f t="shared" si="3"/>
        <v>12.659095322996048</v>
      </c>
      <c r="O18" s="104">
        <f>+'Proposed Rates'!D24</f>
        <v>12.614547661498024</v>
      </c>
      <c r="P18" s="104">
        <f t="shared" ref="P18:P23" si="10">F18*M18</f>
        <v>81.673364093959734</v>
      </c>
      <c r="Q18" s="104">
        <f t="shared" ref="Q18:Q23" si="11">F18*O18</f>
        <v>81.962811777099162</v>
      </c>
      <c r="R18" s="104">
        <f t="shared" si="4"/>
        <v>0.28944768313942859</v>
      </c>
      <c r="S18" s="104">
        <f>F18*O18</f>
        <v>81.962811777099162</v>
      </c>
      <c r="T18" s="104">
        <f t="shared" si="5"/>
        <v>0</v>
      </c>
      <c r="U18" s="118">
        <f t="shared" si="6"/>
        <v>12.659095322996048</v>
      </c>
      <c r="V18" s="118">
        <f t="shared" ref="V18:V23" si="12">F18*U18</f>
        <v>82.252259460238591</v>
      </c>
      <c r="W18" s="118">
        <f t="shared" si="7"/>
        <v>0.57889536627885718</v>
      </c>
      <c r="X18" s="218">
        <f>I18*(References!$C$55/References!$G$58)</f>
        <v>0.57889536627885307</v>
      </c>
      <c r="Y18" s="103">
        <f t="shared" si="8"/>
        <v>4.1078251911130792E-15</v>
      </c>
      <c r="AA18" s="216"/>
      <c r="AB18" s="216"/>
      <c r="AC18" s="216"/>
      <c r="AD18" s="216"/>
      <c r="AE18" s="216"/>
    </row>
    <row r="19" spans="1:31">
      <c r="A19" s="226"/>
      <c r="B19" s="139">
        <v>27</v>
      </c>
      <c r="C19" s="1" t="s">
        <v>33</v>
      </c>
      <c r="D19" s="86">
        <f>+'Regulated Co Provided Priceout'!K24</f>
        <v>331.83972719522586</v>
      </c>
      <c r="E19" s="95">
        <f>+References!$B$12</f>
        <v>1</v>
      </c>
      <c r="F19" s="86">
        <f>D19*E19*References!$B$50</f>
        <v>3982.0767263427106</v>
      </c>
      <c r="G19" s="86">
        <f>+References!B26</f>
        <v>34</v>
      </c>
      <c r="H19" s="86">
        <f t="shared" si="1"/>
        <v>135390.60869565216</v>
      </c>
      <c r="I19" s="86">
        <f t="shared" si="0"/>
        <v>86986.48564619293</v>
      </c>
      <c r="J19" s="103">
        <f>I19*References!$C$55</f>
        <v>173.97297129238601</v>
      </c>
      <c r="K19" s="103">
        <f>J19/References!$G$58</f>
        <v>177.39220606427492</v>
      </c>
      <c r="L19" s="103">
        <f t="shared" si="2"/>
        <v>4.4547661498024076E-2</v>
      </c>
      <c r="M19" s="103">
        <f>+'Proposed Rates'!B22</f>
        <v>4.12</v>
      </c>
      <c r="N19" s="103">
        <f t="shared" si="3"/>
        <v>4.1645476614980241</v>
      </c>
      <c r="O19" s="103">
        <f>+'Proposed Rates'!D22</f>
        <v>4.1645476614980241</v>
      </c>
      <c r="P19" s="103">
        <f t="shared" si="10"/>
        <v>16406.156112531968</v>
      </c>
      <c r="Q19" s="103">
        <f t="shared" si="11"/>
        <v>16583.548318596244</v>
      </c>
      <c r="R19" s="103">
        <f t="shared" si="4"/>
        <v>177.39220606427625</v>
      </c>
      <c r="S19" s="103">
        <f t="shared" ref="S19:S23" si="13">F19*N19</f>
        <v>16583.548318596244</v>
      </c>
      <c r="T19" s="103">
        <f t="shared" si="5"/>
        <v>0</v>
      </c>
      <c r="U19" s="118">
        <f t="shared" si="6"/>
        <v>4.1645476614980241</v>
      </c>
      <c r="V19" s="118">
        <f t="shared" si="12"/>
        <v>16583.548318596244</v>
      </c>
      <c r="W19" s="118">
        <f t="shared" si="7"/>
        <v>177.39220606427625</v>
      </c>
      <c r="X19" s="218">
        <f>I19*(References!$C$55/References!$G$58)</f>
        <v>177.39220606427492</v>
      </c>
      <c r="Y19" s="103">
        <f t="shared" si="8"/>
        <v>1.3358203432289883E-12</v>
      </c>
    </row>
    <row r="20" spans="1:31">
      <c r="A20" s="226"/>
      <c r="B20" s="139">
        <v>30</v>
      </c>
      <c r="C20" s="1" t="s">
        <v>35</v>
      </c>
      <c r="D20" s="86">
        <f>+'Regulated Co Provided Priceout'!K25</f>
        <v>6</v>
      </c>
      <c r="E20" s="95">
        <f>+References!$B$12</f>
        <v>1</v>
      </c>
      <c r="F20" s="86">
        <f>D20*E20*References!$B$50</f>
        <v>72</v>
      </c>
      <c r="G20" s="86">
        <f>+References!B48</f>
        <v>125</v>
      </c>
      <c r="H20" s="86">
        <f t="shared" si="1"/>
        <v>9000</v>
      </c>
      <c r="I20" s="86">
        <f t="shared" si="0"/>
        <v>5782.3683515271559</v>
      </c>
      <c r="J20" s="103">
        <f>I20*References!$C$55</f>
        <v>11.564736703054322</v>
      </c>
      <c r="K20" s="103">
        <f>J20/References!$G$58</f>
        <v>11.792028043594609</v>
      </c>
      <c r="L20" s="103">
        <f t="shared" si="2"/>
        <v>0.16377816727214733</v>
      </c>
      <c r="M20" s="104">
        <f>+'Proposed Rates'!B27</f>
        <v>20.62</v>
      </c>
      <c r="N20" s="103">
        <f t="shared" si="3"/>
        <v>20.78377816727215</v>
      </c>
      <c r="O20" s="104">
        <f>+'Proposed Rates'!D27</f>
        <v>20.78377816727215</v>
      </c>
      <c r="P20" s="103">
        <f t="shared" si="10"/>
        <v>1484.64</v>
      </c>
      <c r="Q20" s="103">
        <f t="shared" si="11"/>
        <v>1496.4320280435948</v>
      </c>
      <c r="R20" s="103">
        <f t="shared" si="4"/>
        <v>11.792028043594655</v>
      </c>
      <c r="S20" s="103">
        <f t="shared" si="13"/>
        <v>1496.4320280435948</v>
      </c>
      <c r="T20" s="103">
        <f t="shared" si="5"/>
        <v>0</v>
      </c>
      <c r="U20" s="118">
        <f t="shared" si="6"/>
        <v>20.78377816727215</v>
      </c>
      <c r="V20" s="118">
        <f t="shared" si="12"/>
        <v>1496.4320280435948</v>
      </c>
      <c r="W20" s="118">
        <f t="shared" si="7"/>
        <v>11.792028043594655</v>
      </c>
      <c r="X20" s="218">
        <f>I20*(References!$C$55/References!$G$58)</f>
        <v>11.792028043594609</v>
      </c>
      <c r="Y20" s="103">
        <f t="shared" si="8"/>
        <v>4.6185277824406512E-14</v>
      </c>
    </row>
    <row r="21" spans="1:31">
      <c r="A21" s="226"/>
      <c r="B21" s="139">
        <v>21</v>
      </c>
      <c r="C21" s="1" t="s">
        <v>37</v>
      </c>
      <c r="D21" s="86">
        <f>+'Regulated Co Provided Priceout'!K26</f>
        <v>1.9166666666666663</v>
      </c>
      <c r="E21" s="95">
        <f>+References!$B$12</f>
        <v>1</v>
      </c>
      <c r="F21" s="86">
        <f>D21*E21*References!$B$50</f>
        <v>22.999999999999996</v>
      </c>
      <c r="G21" s="86">
        <f>+References!B26</f>
        <v>34</v>
      </c>
      <c r="H21" s="86">
        <f t="shared" si="1"/>
        <v>781.99999999999989</v>
      </c>
      <c r="I21" s="86">
        <f t="shared" si="0"/>
        <v>502.42356121047055</v>
      </c>
      <c r="J21" s="103">
        <f>I21*References!$C$55</f>
        <v>1.0048471224209421</v>
      </c>
      <c r="K21" s="103">
        <f>J21/References!$G$58</f>
        <v>1.0245962144545537</v>
      </c>
      <c r="L21" s="103">
        <f t="shared" si="2"/>
        <v>4.4547661498024083E-2</v>
      </c>
      <c r="M21" s="103">
        <f>+'Proposed Rates'!B7</f>
        <v>4.12</v>
      </c>
      <c r="N21" s="103">
        <f t="shared" si="3"/>
        <v>4.1645476614980241</v>
      </c>
      <c r="O21" s="103">
        <f>+'Proposed Rates'!D7</f>
        <v>4.1645476614980241</v>
      </c>
      <c r="P21" s="103">
        <f t="shared" si="10"/>
        <v>94.759999999999991</v>
      </c>
      <c r="Q21" s="103">
        <f t="shared" si="11"/>
        <v>95.784596214454538</v>
      </c>
      <c r="R21" s="103">
        <f t="shared" si="4"/>
        <v>1.0245962144545473</v>
      </c>
      <c r="S21" s="103">
        <f t="shared" si="13"/>
        <v>95.784596214454538</v>
      </c>
      <c r="T21" s="103">
        <f t="shared" si="5"/>
        <v>0</v>
      </c>
      <c r="U21" s="118">
        <f t="shared" si="6"/>
        <v>4.1645476614980241</v>
      </c>
      <c r="V21" s="118">
        <f t="shared" si="12"/>
        <v>95.784596214454538</v>
      </c>
      <c r="W21" s="118">
        <f t="shared" si="7"/>
        <v>1.0245962144545473</v>
      </c>
      <c r="X21" s="218">
        <f>I21*(References!$C$55/References!$G$58)</f>
        <v>1.0245962144545535</v>
      </c>
      <c r="Y21" s="103">
        <f t="shared" si="8"/>
        <v>-6.2172489379008766E-15</v>
      </c>
    </row>
    <row r="22" spans="1:31">
      <c r="A22" s="226"/>
      <c r="B22" s="139">
        <v>21</v>
      </c>
      <c r="C22" s="1" t="s">
        <v>39</v>
      </c>
      <c r="D22" s="86">
        <f>+'Regulated Co Provided Priceout'!K27</f>
        <v>2</v>
      </c>
      <c r="E22" s="95">
        <f>+References!$B$12</f>
        <v>1</v>
      </c>
      <c r="F22" s="86">
        <f>D22*E22*References!$B$50</f>
        <v>24</v>
      </c>
      <c r="G22" s="86">
        <f>+References!B26</f>
        <v>34</v>
      </c>
      <c r="H22" s="86">
        <f t="shared" si="1"/>
        <v>816</v>
      </c>
      <c r="I22" s="86">
        <f t="shared" si="0"/>
        <v>524.26806387179545</v>
      </c>
      <c r="J22" s="103">
        <f>I22*References!$C$55</f>
        <v>1.0485361277435918</v>
      </c>
      <c r="K22" s="103">
        <f>J22/References!$G$58</f>
        <v>1.0691438759525778</v>
      </c>
      <c r="L22" s="103">
        <f t="shared" si="2"/>
        <v>4.4547661498024076E-2</v>
      </c>
      <c r="M22" s="103">
        <f>+'Proposed Rates'!B7</f>
        <v>4.12</v>
      </c>
      <c r="N22" s="103">
        <f t="shared" si="3"/>
        <v>4.1645476614980241</v>
      </c>
      <c r="O22" s="103">
        <f>+'Proposed Rates'!D7</f>
        <v>4.1645476614980241</v>
      </c>
      <c r="P22" s="103">
        <f t="shared" si="10"/>
        <v>98.88</v>
      </c>
      <c r="Q22" s="103">
        <f t="shared" si="11"/>
        <v>99.949143875952586</v>
      </c>
      <c r="R22" s="103">
        <f t="shared" si="4"/>
        <v>1.0691438759525909</v>
      </c>
      <c r="S22" s="103">
        <f t="shared" si="13"/>
        <v>99.949143875952586</v>
      </c>
      <c r="T22" s="103">
        <f t="shared" si="5"/>
        <v>0</v>
      </c>
      <c r="U22" s="118">
        <f t="shared" si="6"/>
        <v>4.1645476614980241</v>
      </c>
      <c r="V22" s="118">
        <f t="shared" si="12"/>
        <v>99.949143875952586</v>
      </c>
      <c r="W22" s="118">
        <f t="shared" si="7"/>
        <v>1.0691438759525909</v>
      </c>
      <c r="X22" s="218">
        <f>I22*(References!$C$55/References!$G$58)</f>
        <v>1.0691438759525778</v>
      </c>
      <c r="Y22" s="103">
        <f t="shared" si="8"/>
        <v>1.3100631690576847E-14</v>
      </c>
    </row>
    <row r="23" spans="1:31">
      <c r="A23" s="226"/>
      <c r="B23" s="139">
        <v>30</v>
      </c>
      <c r="C23" s="1" t="s">
        <v>41</v>
      </c>
      <c r="D23" s="86">
        <f>+'Regulated Co Provided Priceout'!K28</f>
        <v>1</v>
      </c>
      <c r="E23" s="95">
        <f>+References!$B$12</f>
        <v>1</v>
      </c>
      <c r="F23" s="86">
        <f>D23*E23*References!$B$50</f>
        <v>12</v>
      </c>
      <c r="G23" s="86">
        <f>+References!B48</f>
        <v>125</v>
      </c>
      <c r="H23" s="86">
        <f t="shared" si="1"/>
        <v>1500</v>
      </c>
      <c r="I23" s="86">
        <f t="shared" si="0"/>
        <v>963.72805858785921</v>
      </c>
      <c r="J23" s="103">
        <f>I23*References!$C$55</f>
        <v>1.9274561171757201</v>
      </c>
      <c r="K23" s="103">
        <f>J23/References!$G$58</f>
        <v>1.9653380072657678</v>
      </c>
      <c r="L23" s="103">
        <f t="shared" si="2"/>
        <v>0.16377816727214731</v>
      </c>
      <c r="M23" s="104">
        <f>+'Proposed Rates'!B27</f>
        <v>20.62</v>
      </c>
      <c r="N23" s="103">
        <f t="shared" si="3"/>
        <v>20.78377816727215</v>
      </c>
      <c r="O23" s="104">
        <f>+'Proposed Rates'!D27</f>
        <v>20.78377816727215</v>
      </c>
      <c r="P23" s="103">
        <f t="shared" si="10"/>
        <v>247.44</v>
      </c>
      <c r="Q23" s="103">
        <f t="shared" si="11"/>
        <v>249.40533800726581</v>
      </c>
      <c r="R23" s="103">
        <f t="shared" si="4"/>
        <v>1.9653380072658138</v>
      </c>
      <c r="S23" s="103">
        <f t="shared" si="13"/>
        <v>249.40533800726581</v>
      </c>
      <c r="T23" s="103">
        <f t="shared" si="5"/>
        <v>0</v>
      </c>
      <c r="U23" s="118">
        <f t="shared" si="6"/>
        <v>20.78377816727215</v>
      </c>
      <c r="V23" s="118">
        <f t="shared" si="12"/>
        <v>249.40533800726581</v>
      </c>
      <c r="W23" s="118">
        <f t="shared" si="7"/>
        <v>1.9653380072658138</v>
      </c>
      <c r="X23" s="218">
        <f>I23*(References!$C$55/References!$G$58)</f>
        <v>1.9653380072657678</v>
      </c>
      <c r="Y23" s="103">
        <f t="shared" si="8"/>
        <v>4.5963233219481481E-14</v>
      </c>
    </row>
    <row r="24" spans="1:31">
      <c r="A24" s="70"/>
      <c r="B24" s="68"/>
      <c r="C24" s="66" t="s">
        <v>0</v>
      </c>
      <c r="D24" s="87">
        <f>SUM(D6:D23)</f>
        <v>3645.9601091950767</v>
      </c>
      <c r="E24" s="96"/>
      <c r="F24" s="87">
        <f>SUM(F6:F23)</f>
        <v>174108.31645610672</v>
      </c>
      <c r="G24" s="88"/>
      <c r="H24" s="87">
        <f>SUM(H6:H23)</f>
        <v>8962448.2388310581</v>
      </c>
      <c r="I24" s="87">
        <f>SUM(I6:I23)</f>
        <v>5758241.8942685574</v>
      </c>
      <c r="J24" s="105"/>
      <c r="K24" s="105"/>
      <c r="L24" s="106"/>
      <c r="M24" s="106"/>
      <c r="N24" s="106"/>
      <c r="O24" s="106"/>
      <c r="P24" s="105">
        <f>SUM(P6:P23)</f>
        <v>1029380.3658073489</v>
      </c>
      <c r="Q24" s="105">
        <f>SUM(Q6:Q23)</f>
        <v>1041122.9031342835</v>
      </c>
      <c r="R24" s="105">
        <f>SUM(R6:R23)</f>
        <v>11742.537326934833</v>
      </c>
      <c r="S24" s="105">
        <f>SUM(S6:S23)</f>
        <v>1041122.9031342835</v>
      </c>
      <c r="T24" s="105">
        <f t="shared" si="5"/>
        <v>0</v>
      </c>
      <c r="U24" s="105"/>
      <c r="V24" s="105">
        <f>SUM(V6:V23)</f>
        <v>1041123.1925819666</v>
      </c>
      <c r="W24" s="105">
        <f>SUM(W6:W23)</f>
        <v>11742.826774617972</v>
      </c>
    </row>
    <row r="25" spans="1:31" ht="15" customHeight="1">
      <c r="A25" s="235" t="s">
        <v>256</v>
      </c>
      <c r="B25" s="139">
        <v>37</v>
      </c>
      <c r="C25" s="1" t="s">
        <v>52</v>
      </c>
      <c r="D25" s="86">
        <f>+'Regulated Co Provided Priceout'!K47</f>
        <v>251.37732716243067</v>
      </c>
      <c r="E25" s="95">
        <f>+References!B10</f>
        <v>4.333333333333333</v>
      </c>
      <c r="F25" s="86">
        <f>D25*E25*References!$B$50</f>
        <v>13071.621012446394</v>
      </c>
      <c r="G25" s="86">
        <f>+References!B29</f>
        <v>175</v>
      </c>
      <c r="H25" s="86">
        <f t="shared" ref="H25:H78" si="14">F25*G25</f>
        <v>2287533.6771781188</v>
      </c>
      <c r="I25" s="86">
        <f t="shared" ref="I25:I56" si="15">H25*$D$99</f>
        <v>1469706.9264408101</v>
      </c>
      <c r="J25" s="103">
        <f>I25*References!$C$55</f>
        <v>2939.4138528816229</v>
      </c>
      <c r="K25" s="103">
        <f>J25/References!$G$58</f>
        <v>2997.1845857723856</v>
      </c>
      <c r="L25" s="103">
        <f>K25/F25</f>
        <v>0.22928943418100622</v>
      </c>
      <c r="M25" s="103">
        <f>+'Proposed Rates'!B35</f>
        <v>15.52</v>
      </c>
      <c r="N25" s="103">
        <f t="shared" ref="N25:N78" si="16">L25+M25</f>
        <v>15.749289434181005</v>
      </c>
      <c r="O25" s="103">
        <f>+'Proposed Rates'!D35</f>
        <v>15.749289434181005</v>
      </c>
      <c r="P25" s="103">
        <f>F25*M25</f>
        <v>202871.55811316802</v>
      </c>
      <c r="Q25" s="103">
        <f>F25*O25</f>
        <v>205868.74269894042</v>
      </c>
      <c r="R25" s="103">
        <f>Q25-P25</f>
        <v>2997.1845857723965</v>
      </c>
      <c r="S25" s="103">
        <f>F25*N25</f>
        <v>205868.74269894042</v>
      </c>
      <c r="T25" s="103">
        <f>Q25-S25</f>
        <v>0</v>
      </c>
      <c r="U25" s="118">
        <f>N25</f>
        <v>15.749289434181005</v>
      </c>
      <c r="V25" s="118">
        <f>F25*U25</f>
        <v>205868.74269894042</v>
      </c>
      <c r="W25" s="118">
        <f>V25-P25</f>
        <v>2997.1845857723965</v>
      </c>
      <c r="X25" s="218">
        <f>I25*(References!$C$55/References!$G$58)</f>
        <v>2997.1845857723856</v>
      </c>
      <c r="Y25" s="103">
        <f t="shared" ref="Y25:Y78" si="17">W25-X25</f>
        <v>1.0913936421275139E-11</v>
      </c>
    </row>
    <row r="26" spans="1:31" s="80" customFormat="1" ht="15" customHeight="1">
      <c r="A26" s="223"/>
      <c r="B26" s="139">
        <v>37</v>
      </c>
      <c r="C26" s="80" t="s">
        <v>355</v>
      </c>
      <c r="D26" s="86">
        <f>+'Regulated Co Provided Priceout'!K48</f>
        <v>0.98697916666666663</v>
      </c>
      <c r="E26" s="95">
        <f>+References!B12</f>
        <v>1</v>
      </c>
      <c r="F26" s="86">
        <f>D26*E26*References!$B$50</f>
        <v>11.84375</v>
      </c>
      <c r="G26" s="86">
        <f>+References!B29</f>
        <v>175</v>
      </c>
      <c r="H26" s="86">
        <f t="shared" ref="H26" si="18">F26*G26</f>
        <v>2072.65625</v>
      </c>
      <c r="I26" s="86">
        <f t="shared" si="15"/>
        <v>1331.6513226216618</v>
      </c>
      <c r="J26" s="103">
        <f>I26*References!$C$55</f>
        <v>2.6633026452433262</v>
      </c>
      <c r="K26" s="103">
        <f>J26/References!$G$58</f>
        <v>2.7156467360812933</v>
      </c>
      <c r="L26" s="103">
        <f t="shared" ref="L26:L52" si="19">K26/F26</f>
        <v>0.22928943418100628</v>
      </c>
      <c r="M26" s="104">
        <f>+'Proposed Rates'!B35</f>
        <v>15.52</v>
      </c>
      <c r="N26" s="104">
        <f t="shared" si="16"/>
        <v>15.749289434181005</v>
      </c>
      <c r="O26" s="104">
        <f>+'Proposed Rates'!D35</f>
        <v>15.749289434181005</v>
      </c>
      <c r="P26" s="103">
        <f t="shared" ref="P26:P78" si="20">F26*M26</f>
        <v>183.815</v>
      </c>
      <c r="Q26" s="103">
        <f t="shared" ref="Q26:Q78" si="21">F26*O26</f>
        <v>186.53064673608128</v>
      </c>
      <c r="R26" s="103">
        <f t="shared" ref="R26:R78" si="22">Q26-P26</f>
        <v>2.7156467360812826</v>
      </c>
      <c r="S26" s="103">
        <f t="shared" ref="S26:S78" si="23">F26*N26</f>
        <v>186.53064673608128</v>
      </c>
      <c r="T26" s="103">
        <f t="shared" ref="T26:T78" si="24">Q26-S26</f>
        <v>0</v>
      </c>
      <c r="U26" s="118">
        <f t="shared" ref="U26:U78" si="25">N26</f>
        <v>15.749289434181005</v>
      </c>
      <c r="V26" s="118">
        <f t="shared" ref="V26:V78" si="26">F26*U26</f>
        <v>186.53064673608128</v>
      </c>
      <c r="W26" s="118">
        <f t="shared" ref="W26:W78" si="27">V26-P26</f>
        <v>2.7156467360812826</v>
      </c>
      <c r="X26" s="218">
        <f>I26*(References!$C$55/References!$G$58)</f>
        <v>2.7156467360812933</v>
      </c>
      <c r="Y26" s="103">
        <f t="shared" si="17"/>
        <v>-1.0658141036401503E-14</v>
      </c>
      <c r="AA26"/>
      <c r="AB26"/>
      <c r="AC26"/>
      <c r="AD26"/>
      <c r="AE26"/>
    </row>
    <row r="27" spans="1:31">
      <c r="A27" s="223"/>
      <c r="B27" s="139">
        <v>37</v>
      </c>
      <c r="C27" s="1" t="s">
        <v>54</v>
      </c>
      <c r="D27" s="86">
        <f>+'Regulated Co Provided Priceout'!K49</f>
        <v>1</v>
      </c>
      <c r="E27" s="95">
        <f>+References!B8</f>
        <v>13</v>
      </c>
      <c r="F27" s="86">
        <f>D27*E27*References!$B$50</f>
        <v>156</v>
      </c>
      <c r="G27" s="86">
        <f>+References!B29</f>
        <v>175</v>
      </c>
      <c r="H27" s="86">
        <f t="shared" si="14"/>
        <v>27300</v>
      </c>
      <c r="I27" s="86">
        <f t="shared" si="15"/>
        <v>17539.85066629904</v>
      </c>
      <c r="J27" s="103">
        <f>I27*References!$C$55</f>
        <v>35.079701332598113</v>
      </c>
      <c r="K27" s="103">
        <f>J27/References!$G$58</f>
        <v>35.769151732236985</v>
      </c>
      <c r="L27" s="103">
        <f t="shared" si="19"/>
        <v>0.22928943418100631</v>
      </c>
      <c r="M27" s="104">
        <f>+'Proposed Rates'!B35</f>
        <v>15.52</v>
      </c>
      <c r="N27" s="104">
        <f t="shared" si="16"/>
        <v>15.749289434181005</v>
      </c>
      <c r="O27" s="104">
        <f>+'Proposed Rates'!D35</f>
        <v>15.749289434181005</v>
      </c>
      <c r="P27" s="103">
        <f t="shared" si="20"/>
        <v>2421.12</v>
      </c>
      <c r="Q27" s="103">
        <f t="shared" si="21"/>
        <v>2456.8891517322368</v>
      </c>
      <c r="R27" s="103">
        <f t="shared" si="22"/>
        <v>35.769151732236878</v>
      </c>
      <c r="S27" s="103">
        <f t="shared" si="23"/>
        <v>2456.8891517322368</v>
      </c>
      <c r="T27" s="103">
        <f t="shared" si="24"/>
        <v>0</v>
      </c>
      <c r="U27" s="118">
        <f t="shared" si="25"/>
        <v>15.749289434181005</v>
      </c>
      <c r="V27" s="118">
        <f t="shared" si="26"/>
        <v>2456.8891517322368</v>
      </c>
      <c r="W27" s="118">
        <f t="shared" si="27"/>
        <v>35.769151732236878</v>
      </c>
      <c r="X27" s="218">
        <f>I27*(References!$C$55/References!$G$58)</f>
        <v>35.769151732236985</v>
      </c>
      <c r="Y27" s="103">
        <f t="shared" si="17"/>
        <v>-1.0658141036401503E-13</v>
      </c>
    </row>
    <row r="28" spans="1:31">
      <c r="A28" s="223"/>
      <c r="B28" s="139">
        <v>37</v>
      </c>
      <c r="C28" s="1" t="s">
        <v>56</v>
      </c>
      <c r="D28" s="86">
        <f>+'Regulated Co Provided Priceout'!K50</f>
        <v>4.833333333333333</v>
      </c>
      <c r="E28" s="95">
        <f>+References!B12</f>
        <v>1</v>
      </c>
      <c r="F28" s="86">
        <f>D28*E28*References!$B$50</f>
        <v>58</v>
      </c>
      <c r="G28" s="86">
        <f>+References!B30</f>
        <v>250</v>
      </c>
      <c r="H28" s="86">
        <f t="shared" si="14"/>
        <v>14500</v>
      </c>
      <c r="I28" s="86">
        <f t="shared" si="15"/>
        <v>9316.0378996826403</v>
      </c>
      <c r="J28" s="103">
        <f>I28*References!$C$55</f>
        <v>18.632075799365296</v>
      </c>
      <c r="K28" s="103">
        <f>J28/References!$G$58</f>
        <v>18.998267403569091</v>
      </c>
      <c r="L28" s="103">
        <f t="shared" si="19"/>
        <v>0.32755633454429467</v>
      </c>
      <c r="M28" s="103">
        <f>+'Proposed Rates'!B36</f>
        <v>23.41</v>
      </c>
      <c r="N28" s="103">
        <f t="shared" si="16"/>
        <v>23.737556334544294</v>
      </c>
      <c r="O28" s="103">
        <f>+'Proposed Rates'!D36</f>
        <v>23.737556334544294</v>
      </c>
      <c r="P28" s="103">
        <f t="shared" si="20"/>
        <v>1357.78</v>
      </c>
      <c r="Q28" s="103">
        <f t="shared" si="21"/>
        <v>1376.7782674035691</v>
      </c>
      <c r="R28" s="103">
        <f t="shared" si="22"/>
        <v>18.998267403569116</v>
      </c>
      <c r="S28" s="103">
        <f t="shared" si="23"/>
        <v>1376.7782674035691</v>
      </c>
      <c r="T28" s="103">
        <f t="shared" si="24"/>
        <v>0</v>
      </c>
      <c r="U28" s="118">
        <f t="shared" si="25"/>
        <v>23.737556334544294</v>
      </c>
      <c r="V28" s="118">
        <f t="shared" si="26"/>
        <v>1376.7782674035691</v>
      </c>
      <c r="W28" s="118">
        <f t="shared" si="27"/>
        <v>18.998267403569116</v>
      </c>
      <c r="X28" s="218">
        <f>I28*(References!$C$55/References!$G$58)</f>
        <v>18.998267403569091</v>
      </c>
      <c r="Y28" s="103">
        <f t="shared" si="17"/>
        <v>0</v>
      </c>
    </row>
    <row r="29" spans="1:31">
      <c r="A29" s="223"/>
      <c r="B29" s="139">
        <v>37</v>
      </c>
      <c r="C29" s="1" t="s">
        <v>58</v>
      </c>
      <c r="D29" s="86">
        <f>+'Regulated Co Provided Priceout'!K51</f>
        <v>96.323316349519942</v>
      </c>
      <c r="E29" s="95">
        <f>+References!$B$10</f>
        <v>4.333333333333333</v>
      </c>
      <c r="F29" s="86">
        <f>D29*E29*References!$B$50</f>
        <v>5008.8124501750372</v>
      </c>
      <c r="G29" s="86">
        <f>+References!B30</f>
        <v>250</v>
      </c>
      <c r="H29" s="86">
        <f t="shared" si="14"/>
        <v>1252203.1125437594</v>
      </c>
      <c r="I29" s="86">
        <f t="shared" si="15"/>
        <v>804522.18307298131</v>
      </c>
      <c r="J29" s="103">
        <f>I29*References!$C$55</f>
        <v>1609.044366145964</v>
      </c>
      <c r="K29" s="103">
        <f>J29/References!$G$58</f>
        <v>1640.668246599163</v>
      </c>
      <c r="L29" s="103">
        <f t="shared" si="19"/>
        <v>0.32755633454429472</v>
      </c>
      <c r="M29" s="103">
        <f>+'Proposed Rates'!B36</f>
        <v>23.41</v>
      </c>
      <c r="N29" s="103">
        <f t="shared" si="16"/>
        <v>23.737556334544294</v>
      </c>
      <c r="O29" s="103">
        <f>+'Proposed Rates'!D36</f>
        <v>23.737556334544294</v>
      </c>
      <c r="P29" s="103">
        <f t="shared" si="20"/>
        <v>117256.29945859763</v>
      </c>
      <c r="Q29" s="103">
        <f t="shared" si="21"/>
        <v>118896.96770519677</v>
      </c>
      <c r="R29" s="103">
        <f t="shared" si="22"/>
        <v>1640.6682465991471</v>
      </c>
      <c r="S29" s="103">
        <f t="shared" si="23"/>
        <v>118896.96770519677</v>
      </c>
      <c r="T29" s="103">
        <f t="shared" si="24"/>
        <v>0</v>
      </c>
      <c r="U29" s="118">
        <f t="shared" si="25"/>
        <v>23.737556334544294</v>
      </c>
      <c r="V29" s="118">
        <f t="shared" si="26"/>
        <v>118896.96770519677</v>
      </c>
      <c r="W29" s="118">
        <f t="shared" si="27"/>
        <v>1640.6682465991471</v>
      </c>
      <c r="X29" s="218">
        <f>I29*(References!$C$55/References!$G$58)</f>
        <v>1640.668246599163</v>
      </c>
      <c r="Y29" s="103">
        <f t="shared" si="17"/>
        <v>-1.5916157281026244E-11</v>
      </c>
    </row>
    <row r="30" spans="1:31">
      <c r="A30" s="223"/>
      <c r="B30" s="139">
        <v>37</v>
      </c>
      <c r="C30" s="1" t="s">
        <v>60</v>
      </c>
      <c r="D30" s="86">
        <f>+'Regulated Co Provided Priceout'!K52</f>
        <v>2.4582033551696645</v>
      </c>
      <c r="E30" s="215">
        <f>+References!$B$10</f>
        <v>4.333333333333333</v>
      </c>
      <c r="F30" s="89">
        <f>D30*E30*References!$B$50</f>
        <v>127.82657446882254</v>
      </c>
      <c r="G30" s="89">
        <f>+References!B30*2</f>
        <v>500</v>
      </c>
      <c r="H30" s="86">
        <f t="shared" si="14"/>
        <v>63913.287234411269</v>
      </c>
      <c r="I30" s="86">
        <f t="shared" si="15"/>
        <v>41063.352149591585</v>
      </c>
      <c r="J30" s="103">
        <f>I30*References!$C$55</f>
        <v>82.126704299183245</v>
      </c>
      <c r="K30" s="103">
        <f>J30/References!$G$58</f>
        <v>83.74080838072166</v>
      </c>
      <c r="L30" s="103">
        <f>K30/(F30*2)</f>
        <v>0.32755633454429467</v>
      </c>
      <c r="M30" s="103">
        <f>+'Proposed Rates'!B36</f>
        <v>23.41</v>
      </c>
      <c r="N30" s="103">
        <f>L30+M30</f>
        <v>23.737556334544294</v>
      </c>
      <c r="O30" s="103">
        <f>+'Proposed Rates'!D36</f>
        <v>23.737556334544294</v>
      </c>
      <c r="P30" s="103">
        <f>F30*2*M30</f>
        <v>5984.8402166302712</v>
      </c>
      <c r="Q30" s="103">
        <f>F30*2*O30</f>
        <v>6068.5810250109926</v>
      </c>
      <c r="R30" s="103">
        <f t="shared" si="22"/>
        <v>83.740808380721319</v>
      </c>
      <c r="S30" s="103">
        <f>F30*2*N30</f>
        <v>6068.5810250109926</v>
      </c>
      <c r="T30" s="103">
        <f t="shared" si="24"/>
        <v>0</v>
      </c>
      <c r="U30" s="118">
        <f t="shared" si="25"/>
        <v>23.737556334544294</v>
      </c>
      <c r="V30" s="118">
        <f>F30*2*U30</f>
        <v>6068.5810250109926</v>
      </c>
      <c r="W30" s="118">
        <f t="shared" si="27"/>
        <v>83.740808380721319</v>
      </c>
      <c r="X30" s="218">
        <f>I30*(References!$C$55/References!$G$58)</f>
        <v>83.74080838072166</v>
      </c>
      <c r="Y30" s="103">
        <f t="shared" si="17"/>
        <v>-3.4106051316484809E-13</v>
      </c>
    </row>
    <row r="31" spans="1:31">
      <c r="A31" s="223"/>
      <c r="B31" s="139">
        <v>37</v>
      </c>
      <c r="C31" s="1" t="s">
        <v>62</v>
      </c>
      <c r="D31" s="86">
        <f>+'Regulated Co Provided Priceout'!K53</f>
        <v>0.9999653391563551</v>
      </c>
      <c r="E31" s="215">
        <f>+References!$B$10</f>
        <v>4.333333333333333</v>
      </c>
      <c r="F31" s="89">
        <f>D31*E31*References!$B$50</f>
        <v>51.998197636130463</v>
      </c>
      <c r="G31" s="89">
        <f>+References!B30*3</f>
        <v>750</v>
      </c>
      <c r="H31" s="86">
        <f t="shared" si="14"/>
        <v>38998.648227097845</v>
      </c>
      <c r="I31" s="86">
        <f t="shared" si="15"/>
        <v>25056.06102896791</v>
      </c>
      <c r="J31" s="103">
        <f>I31*References!$C$55</f>
        <v>50.112122057935863</v>
      </c>
      <c r="K31" s="103">
        <f>J31/References!$G$58</f>
        <v>51.097017061802099</v>
      </c>
      <c r="L31" s="103">
        <f>K31/(F31*3)</f>
        <v>0.32755633454429461</v>
      </c>
      <c r="M31" s="103">
        <f>+'Proposed Rates'!B36</f>
        <v>23.41</v>
      </c>
      <c r="N31" s="103">
        <f t="shared" si="16"/>
        <v>23.737556334544294</v>
      </c>
      <c r="O31" s="103">
        <f>+'Proposed Rates'!D36</f>
        <v>23.737556334544294</v>
      </c>
      <c r="P31" s="103">
        <f>F31*3*M31</f>
        <v>3651.8334199854421</v>
      </c>
      <c r="Q31" s="103">
        <f>F31*3*O31</f>
        <v>3702.9304370472441</v>
      </c>
      <c r="R31" s="103">
        <f t="shared" si="22"/>
        <v>51.097017061802035</v>
      </c>
      <c r="S31" s="103">
        <f>F31*3*N31</f>
        <v>3702.9304370472441</v>
      </c>
      <c r="T31" s="103">
        <f t="shared" si="24"/>
        <v>0</v>
      </c>
      <c r="U31" s="118">
        <f t="shared" si="25"/>
        <v>23.737556334544294</v>
      </c>
      <c r="V31" s="118">
        <f>F31*3*U31</f>
        <v>3702.9304370472441</v>
      </c>
      <c r="W31" s="118">
        <f t="shared" si="27"/>
        <v>51.097017061802035</v>
      </c>
      <c r="X31" s="218">
        <f>I31*(References!$C$55/References!$G$58)</f>
        <v>51.097017061802099</v>
      </c>
      <c r="Y31" s="103">
        <f t="shared" si="17"/>
        <v>-6.3948846218409017E-14</v>
      </c>
    </row>
    <row r="32" spans="1:31">
      <c r="A32" s="223"/>
      <c r="B32" s="139">
        <v>37</v>
      </c>
      <c r="C32" s="1" t="s">
        <v>64</v>
      </c>
      <c r="D32" s="86">
        <f>+'Regulated Co Provided Priceout'!K54</f>
        <v>5.8330300509514394</v>
      </c>
      <c r="E32" s="95">
        <f>+References!B9</f>
        <v>8.6666666666666661</v>
      </c>
      <c r="F32" s="86">
        <f>D32*E32*References!$B$50</f>
        <v>606.63512529894967</v>
      </c>
      <c r="G32" s="86">
        <f>+References!B30</f>
        <v>250</v>
      </c>
      <c r="H32" s="86">
        <f t="shared" si="14"/>
        <v>151658.78132473741</v>
      </c>
      <c r="I32" s="86">
        <f t="shared" si="15"/>
        <v>97438.548595926579</v>
      </c>
      <c r="J32" s="103">
        <f>I32*References!$C$55</f>
        <v>194.87709719185332</v>
      </c>
      <c r="K32" s="103">
        <f>J32/References!$G$58</f>
        <v>198.70717804874286</v>
      </c>
      <c r="L32" s="103">
        <f t="shared" si="19"/>
        <v>0.32755633454429467</v>
      </c>
      <c r="M32" s="103">
        <f>+'Proposed Rates'!B36</f>
        <v>23.41</v>
      </c>
      <c r="N32" s="103">
        <f t="shared" si="16"/>
        <v>23.737556334544294</v>
      </c>
      <c r="O32" s="103">
        <f>+'Proposed Rates'!D36</f>
        <v>23.737556334544294</v>
      </c>
      <c r="P32" s="103">
        <f t="shared" si="20"/>
        <v>14201.328283248413</v>
      </c>
      <c r="Q32" s="103">
        <f t="shared" si="21"/>
        <v>14400.035461297155</v>
      </c>
      <c r="R32" s="103">
        <f t="shared" si="22"/>
        <v>198.70717804874221</v>
      </c>
      <c r="S32" s="103">
        <f t="shared" si="23"/>
        <v>14400.035461297155</v>
      </c>
      <c r="T32" s="103">
        <f t="shared" si="24"/>
        <v>0</v>
      </c>
      <c r="U32" s="118">
        <f t="shared" si="25"/>
        <v>23.737556334544294</v>
      </c>
      <c r="V32" s="118">
        <f t="shared" si="26"/>
        <v>14400.035461297155</v>
      </c>
      <c r="W32" s="118">
        <f t="shared" si="27"/>
        <v>198.70717804874221</v>
      </c>
      <c r="X32" s="218">
        <f>I32*(References!$C$55/References!$G$58)</f>
        <v>198.70717804874286</v>
      </c>
      <c r="Y32" s="103">
        <f t="shared" si="17"/>
        <v>-6.5369931689929217E-13</v>
      </c>
    </row>
    <row r="33" spans="1:25">
      <c r="A33" s="223"/>
      <c r="B33" s="139">
        <v>37</v>
      </c>
      <c r="C33" s="1" t="s">
        <v>66</v>
      </c>
      <c r="D33" s="86">
        <f>+'Regulated Co Provided Priceout'!K55</f>
        <v>1.9999306783127102</v>
      </c>
      <c r="E33" s="95">
        <f>+References!B8</f>
        <v>13</v>
      </c>
      <c r="F33" s="86">
        <f>D33*E33*References!$B$50</f>
        <v>311.98918581678276</v>
      </c>
      <c r="G33" s="86">
        <f>+References!B30</f>
        <v>250</v>
      </c>
      <c r="H33" s="86">
        <f t="shared" si="14"/>
        <v>77997.29645419569</v>
      </c>
      <c r="I33" s="86">
        <f t="shared" si="15"/>
        <v>50112.12205793582</v>
      </c>
      <c r="J33" s="103">
        <f>I33*References!$C$55</f>
        <v>100.22424411587173</v>
      </c>
      <c r="K33" s="103">
        <f>J33/References!$G$58</f>
        <v>102.1940341236042</v>
      </c>
      <c r="L33" s="103">
        <f t="shared" si="19"/>
        <v>0.32755633454429461</v>
      </c>
      <c r="M33" s="103">
        <f>+'Proposed Rates'!B36</f>
        <v>23.41</v>
      </c>
      <c r="N33" s="103">
        <f t="shared" si="16"/>
        <v>23.737556334544294</v>
      </c>
      <c r="O33" s="103">
        <f>+'Proposed Rates'!D36</f>
        <v>23.737556334544294</v>
      </c>
      <c r="P33" s="103">
        <f t="shared" si="20"/>
        <v>7303.6668399708842</v>
      </c>
      <c r="Q33" s="103">
        <f t="shared" si="21"/>
        <v>7405.8608740944883</v>
      </c>
      <c r="R33" s="103">
        <f t="shared" si="22"/>
        <v>102.19403412360407</v>
      </c>
      <c r="S33" s="103">
        <f t="shared" si="23"/>
        <v>7405.8608740944883</v>
      </c>
      <c r="T33" s="103">
        <f t="shared" si="24"/>
        <v>0</v>
      </c>
      <c r="U33" s="118">
        <f t="shared" si="25"/>
        <v>23.737556334544294</v>
      </c>
      <c r="V33" s="118">
        <f t="shared" si="26"/>
        <v>7405.8608740944883</v>
      </c>
      <c r="W33" s="118">
        <f t="shared" si="27"/>
        <v>102.19403412360407</v>
      </c>
      <c r="X33" s="218">
        <f>I33*(References!$C$55/References!$G$58)</f>
        <v>102.1940341236042</v>
      </c>
      <c r="Y33" s="103">
        <f t="shared" si="17"/>
        <v>-1.2789769243681803E-13</v>
      </c>
    </row>
    <row r="34" spans="1:25">
      <c r="A34" s="223"/>
      <c r="B34" s="139">
        <v>37</v>
      </c>
      <c r="C34" s="1" t="s">
        <v>68</v>
      </c>
      <c r="D34" s="86">
        <f>+'Regulated Co Provided Priceout'!K56</f>
        <v>3.4166666666666665</v>
      </c>
      <c r="E34" s="95">
        <f>+References!B12</f>
        <v>1</v>
      </c>
      <c r="F34" s="86">
        <f>D34*E34*References!$B$50</f>
        <v>41</v>
      </c>
      <c r="G34" s="86">
        <f>+References!B32</f>
        <v>324</v>
      </c>
      <c r="H34" s="86">
        <f t="shared" si="14"/>
        <v>13284</v>
      </c>
      <c r="I34" s="86">
        <f t="shared" si="15"/>
        <v>8534.7756868540819</v>
      </c>
      <c r="J34" s="103">
        <f>I34*References!$C$55</f>
        <v>17.06955137370818</v>
      </c>
      <c r="K34" s="103">
        <f>J34/References!$G$58</f>
        <v>17.405033392345644</v>
      </c>
      <c r="L34" s="103">
        <f t="shared" si="19"/>
        <v>0.42451300956940596</v>
      </c>
      <c r="M34" s="103">
        <f>+'Proposed Rates'!B37</f>
        <v>31.22</v>
      </c>
      <c r="N34" s="103">
        <f t="shared" si="16"/>
        <v>31.644513009569405</v>
      </c>
      <c r="O34" s="103">
        <f>+'Proposed Rates'!D37</f>
        <v>31.644513009569405</v>
      </c>
      <c r="P34" s="103">
        <f t="shared" si="20"/>
        <v>1280.02</v>
      </c>
      <c r="Q34" s="103">
        <f t="shared" si="21"/>
        <v>1297.4250333923455</v>
      </c>
      <c r="R34" s="103">
        <f t="shared" si="22"/>
        <v>17.405033392345558</v>
      </c>
      <c r="S34" s="103">
        <f t="shared" si="23"/>
        <v>1297.4250333923455</v>
      </c>
      <c r="T34" s="103">
        <f t="shared" si="24"/>
        <v>0</v>
      </c>
      <c r="U34" s="118">
        <f t="shared" si="25"/>
        <v>31.644513009569405</v>
      </c>
      <c r="V34" s="118">
        <f t="shared" si="26"/>
        <v>1297.4250333923455</v>
      </c>
      <c r="W34" s="118">
        <f t="shared" si="27"/>
        <v>17.405033392345558</v>
      </c>
      <c r="X34" s="218">
        <f>I34*(References!$C$55/References!$G$58)</f>
        <v>17.405033392345644</v>
      </c>
      <c r="Y34" s="103">
        <f t="shared" si="17"/>
        <v>-8.5265128291212022E-14</v>
      </c>
    </row>
    <row r="35" spans="1:25">
      <c r="A35" s="223"/>
      <c r="B35" s="139">
        <v>37</v>
      </c>
      <c r="C35" s="1" t="s">
        <v>70</v>
      </c>
      <c r="D35" s="86">
        <f>+'Regulated Co Provided Priceout'!K57</f>
        <v>53.333339831059135</v>
      </c>
      <c r="E35" s="95">
        <f>+References!B10</f>
        <v>4.333333333333333</v>
      </c>
      <c r="F35" s="86">
        <f>D35*E35*References!$B$50</f>
        <v>2773.3336712150749</v>
      </c>
      <c r="G35" s="86">
        <f>+References!B32</f>
        <v>324</v>
      </c>
      <c r="H35" s="86">
        <f t="shared" si="14"/>
        <v>898560.10947368422</v>
      </c>
      <c r="I35" s="86">
        <f t="shared" si="15"/>
        <v>577311.72655171202</v>
      </c>
      <c r="J35" s="103">
        <f>I35*References!$C$55</f>
        <v>1154.6234531034252</v>
      </c>
      <c r="K35" s="103">
        <f>J35/References!$G$58</f>
        <v>1177.3162233076807</v>
      </c>
      <c r="L35" s="103">
        <f t="shared" si="19"/>
        <v>0.42451300956940591</v>
      </c>
      <c r="M35" s="103">
        <f>+'Proposed Rates'!B37</f>
        <v>31.22</v>
      </c>
      <c r="N35" s="103">
        <f t="shared" si="16"/>
        <v>31.644513009569405</v>
      </c>
      <c r="O35" s="103">
        <f>+'Proposed Rates'!D37</f>
        <v>31.644513009569405</v>
      </c>
      <c r="P35" s="103">
        <f t="shared" si="20"/>
        <v>86583.477215334642</v>
      </c>
      <c r="Q35" s="103">
        <f t="shared" si="21"/>
        <v>87760.793438642315</v>
      </c>
      <c r="R35" s="103">
        <f t="shared" si="22"/>
        <v>1177.3162233076728</v>
      </c>
      <c r="S35" s="103">
        <f t="shared" si="23"/>
        <v>87760.793438642315</v>
      </c>
      <c r="T35" s="103">
        <f t="shared" si="24"/>
        <v>0</v>
      </c>
      <c r="U35" s="118">
        <f t="shared" si="25"/>
        <v>31.644513009569405</v>
      </c>
      <c r="V35" s="118">
        <f t="shared" si="26"/>
        <v>87760.793438642315</v>
      </c>
      <c r="W35" s="118">
        <f t="shared" si="27"/>
        <v>1177.3162233076728</v>
      </c>
      <c r="X35" s="218">
        <f>I35*(References!$C$55/References!$G$58)</f>
        <v>1177.3162233076807</v>
      </c>
      <c r="Y35" s="103">
        <f t="shared" si="17"/>
        <v>-7.9580786405131221E-12</v>
      </c>
    </row>
    <row r="36" spans="1:25">
      <c r="A36" s="223"/>
      <c r="B36" s="139">
        <v>37</v>
      </c>
      <c r="C36" s="1" t="s">
        <v>72</v>
      </c>
      <c r="D36" s="86">
        <f>+'Regulated Co Provided Priceout'!K58</f>
        <v>1.9999220303302014</v>
      </c>
      <c r="E36" s="95">
        <f>+References!B9</f>
        <v>8.6666666666666661</v>
      </c>
      <c r="F36" s="86">
        <f>D36*E36*References!$B$50</f>
        <v>207.99189115434092</v>
      </c>
      <c r="G36" s="86">
        <f>+References!B32</f>
        <v>324</v>
      </c>
      <c r="H36" s="86">
        <f t="shared" si="14"/>
        <v>67389.372734006465</v>
      </c>
      <c r="I36" s="86">
        <f t="shared" si="15"/>
        <v>43296.686236265115</v>
      </c>
      <c r="J36" s="103">
        <f>I36*References!$C$55</f>
        <v>86.593372472530305</v>
      </c>
      <c r="K36" s="103">
        <f>J36/References!$G$58</f>
        <v>88.295263679961565</v>
      </c>
      <c r="L36" s="103">
        <f t="shared" si="19"/>
        <v>0.42451300956940596</v>
      </c>
      <c r="M36" s="103">
        <f>+'Proposed Rates'!B37</f>
        <v>31.22</v>
      </c>
      <c r="N36" s="103">
        <f t="shared" si="16"/>
        <v>31.644513009569405</v>
      </c>
      <c r="O36" s="103">
        <f>+'Proposed Rates'!D37</f>
        <v>31.644513009569405</v>
      </c>
      <c r="P36" s="103">
        <f t="shared" si="20"/>
        <v>6493.5068418385235</v>
      </c>
      <c r="Q36" s="103">
        <f t="shared" si="21"/>
        <v>6581.8021055184845</v>
      </c>
      <c r="R36" s="103">
        <f t="shared" si="22"/>
        <v>88.295263679960954</v>
      </c>
      <c r="S36" s="103">
        <f t="shared" si="23"/>
        <v>6581.8021055184845</v>
      </c>
      <c r="T36" s="103">
        <f t="shared" si="24"/>
        <v>0</v>
      </c>
      <c r="U36" s="118">
        <f t="shared" si="25"/>
        <v>31.644513009569405</v>
      </c>
      <c r="V36" s="118">
        <f t="shared" si="26"/>
        <v>6581.8021055184845</v>
      </c>
      <c r="W36" s="118">
        <f t="shared" si="27"/>
        <v>88.295263679960954</v>
      </c>
      <c r="X36" s="218">
        <f>I36*(References!$C$55/References!$G$58)</f>
        <v>88.295263679961565</v>
      </c>
      <c r="Y36" s="103">
        <f t="shared" si="17"/>
        <v>-6.1106675275368616E-13</v>
      </c>
    </row>
    <row r="37" spans="1:25">
      <c r="A37" s="223"/>
      <c r="B37" s="139">
        <v>37</v>
      </c>
      <c r="C37" s="1" t="s">
        <v>74</v>
      </c>
      <c r="D37" s="86">
        <f>+'Regulated Co Provided Priceout'!K59</f>
        <v>2</v>
      </c>
      <c r="E37" s="95">
        <f>+References!B8</f>
        <v>13</v>
      </c>
      <c r="F37" s="86">
        <f>D37*E37*References!$B$50</f>
        <v>312</v>
      </c>
      <c r="G37" s="86">
        <f>+References!B32</f>
        <v>324</v>
      </c>
      <c r="H37" s="86">
        <f t="shared" si="14"/>
        <v>101088</v>
      </c>
      <c r="I37" s="86">
        <f t="shared" si="15"/>
        <v>64947.56132435301</v>
      </c>
      <c r="J37" s="103">
        <f>I37*References!$C$55</f>
        <v>129.89512264870612</v>
      </c>
      <c r="K37" s="103">
        <f>J37/References!$G$58</f>
        <v>132.44805898565463</v>
      </c>
      <c r="L37" s="103">
        <f t="shared" si="19"/>
        <v>0.42451300956940585</v>
      </c>
      <c r="M37" s="103">
        <f>+'Proposed Rates'!B37</f>
        <v>31.22</v>
      </c>
      <c r="N37" s="103">
        <f t="shared" si="16"/>
        <v>31.644513009569405</v>
      </c>
      <c r="O37" s="103">
        <f>+'Proposed Rates'!D37</f>
        <v>31.644513009569405</v>
      </c>
      <c r="P37" s="103">
        <f t="shared" si="20"/>
        <v>9740.64</v>
      </c>
      <c r="Q37" s="103">
        <f t="shared" si="21"/>
        <v>9873.0880589856552</v>
      </c>
      <c r="R37" s="103">
        <f t="shared" si="22"/>
        <v>132.44805898565573</v>
      </c>
      <c r="S37" s="103">
        <f t="shared" si="23"/>
        <v>9873.0880589856552</v>
      </c>
      <c r="T37" s="103">
        <f t="shared" si="24"/>
        <v>0</v>
      </c>
      <c r="U37" s="118">
        <f t="shared" si="25"/>
        <v>31.644513009569405</v>
      </c>
      <c r="V37" s="118">
        <f t="shared" si="26"/>
        <v>9873.0880589856552</v>
      </c>
      <c r="W37" s="118">
        <f t="shared" si="27"/>
        <v>132.44805898565573</v>
      </c>
      <c r="X37" s="218">
        <f>I37*(References!$C$55/References!$G$58)</f>
        <v>132.44805898565463</v>
      </c>
      <c r="Y37" s="103">
        <f t="shared" si="17"/>
        <v>1.1084466677857563E-12</v>
      </c>
    </row>
    <row r="38" spans="1:25">
      <c r="A38" s="223"/>
      <c r="B38" s="139">
        <v>37</v>
      </c>
      <c r="C38" s="1" t="s">
        <v>76</v>
      </c>
      <c r="D38" s="86">
        <f>+'Regulated Co Provided Priceout'!K60</f>
        <v>31.770836781609201</v>
      </c>
      <c r="E38" s="95">
        <f>+References!B10</f>
        <v>4.333333333333333</v>
      </c>
      <c r="F38" s="86">
        <f>D38*E38*References!$B$50</f>
        <v>1652.0835126436782</v>
      </c>
      <c r="G38" s="86">
        <f>+References!B33</f>
        <v>473</v>
      </c>
      <c r="H38" s="86">
        <f t="shared" si="14"/>
        <v>781435.50148045982</v>
      </c>
      <c r="I38" s="86">
        <f t="shared" si="15"/>
        <v>502060.87916892918</v>
      </c>
      <c r="J38" s="103">
        <f>I38*References!$C$55</f>
        <v>1004.1217583378592</v>
      </c>
      <c r="K38" s="103">
        <f>J38/References!$G$58</f>
        <v>1023.8565941908886</v>
      </c>
      <c r="L38" s="103">
        <f t="shared" si="19"/>
        <v>0.61973658495780548</v>
      </c>
      <c r="M38" s="103">
        <f>+'Proposed Rates'!B38</f>
        <v>44.13</v>
      </c>
      <c r="N38" s="103">
        <f t="shared" si="16"/>
        <v>44.749736584957809</v>
      </c>
      <c r="O38" s="103">
        <f>+'Proposed Rates'!D38</f>
        <v>44.749736584957809</v>
      </c>
      <c r="P38" s="103">
        <f t="shared" si="20"/>
        <v>72906.445412965521</v>
      </c>
      <c r="Q38" s="103">
        <f t="shared" si="21"/>
        <v>73930.30200715641</v>
      </c>
      <c r="R38" s="103">
        <f t="shared" si="22"/>
        <v>1023.8565941908892</v>
      </c>
      <c r="S38" s="103">
        <f t="shared" si="23"/>
        <v>73930.30200715641</v>
      </c>
      <c r="T38" s="103">
        <f t="shared" si="24"/>
        <v>0</v>
      </c>
      <c r="U38" s="118">
        <f t="shared" si="25"/>
        <v>44.749736584957809</v>
      </c>
      <c r="V38" s="118">
        <f t="shared" si="26"/>
        <v>73930.30200715641</v>
      </c>
      <c r="W38" s="118">
        <f t="shared" si="27"/>
        <v>1023.8565941908892</v>
      </c>
      <c r="X38" s="218">
        <f>I38*(References!$C$55/References!$G$58)</f>
        <v>1023.8565941908887</v>
      </c>
      <c r="Y38" s="103">
        <f t="shared" si="17"/>
        <v>0</v>
      </c>
    </row>
    <row r="39" spans="1:25">
      <c r="A39" s="223"/>
      <c r="B39" s="139">
        <v>37</v>
      </c>
      <c r="C39" s="1" t="s">
        <v>78</v>
      </c>
      <c r="D39" s="86">
        <f>+'Regulated Co Provided Priceout'!K61</f>
        <v>3.874897703971385</v>
      </c>
      <c r="E39" s="215">
        <f>+References!$B$10</f>
        <v>4.333333333333333</v>
      </c>
      <c r="F39" s="89">
        <f>D39*E39*References!$B$50</f>
        <v>201.49468060651202</v>
      </c>
      <c r="G39" s="89">
        <f>+References!B33*2</f>
        <v>946</v>
      </c>
      <c r="H39" s="86">
        <f t="shared" si="14"/>
        <v>190613.96785376038</v>
      </c>
      <c r="I39" s="86">
        <f t="shared" si="15"/>
        <v>122466.68611962207</v>
      </c>
      <c r="J39" s="103">
        <f>I39*References!$C$55</f>
        <v>244.93337223924436</v>
      </c>
      <c r="K39" s="103">
        <f>J39/References!$G$58</f>
        <v>249.74725049248707</v>
      </c>
      <c r="L39" s="103">
        <f>K39/(F39*2)</f>
        <v>0.61973658495780559</v>
      </c>
      <c r="M39" s="103">
        <f>+'Proposed Rates'!B38</f>
        <v>44.13</v>
      </c>
      <c r="N39" s="103">
        <f t="shared" si="16"/>
        <v>44.749736584957809</v>
      </c>
      <c r="O39" s="103">
        <f>+'Proposed Rates'!D38</f>
        <v>44.749736584957809</v>
      </c>
      <c r="P39" s="103">
        <f>(F39*2)*M39</f>
        <v>17783.92051033075</v>
      </c>
      <c r="Q39" s="103">
        <f>(F39*2)*O39</f>
        <v>18033.667760823238</v>
      </c>
      <c r="R39" s="103">
        <f t="shared" si="22"/>
        <v>249.74725049248809</v>
      </c>
      <c r="S39" s="103">
        <f>(F39*2)*N39</f>
        <v>18033.667760823238</v>
      </c>
      <c r="T39" s="103">
        <f t="shared" si="24"/>
        <v>0</v>
      </c>
      <c r="U39" s="118">
        <f t="shared" si="25"/>
        <v>44.749736584957809</v>
      </c>
      <c r="V39" s="118">
        <f>F39*2*U39</f>
        <v>18033.667760823238</v>
      </c>
      <c r="W39" s="118">
        <f>V39-P39</f>
        <v>249.74725049248809</v>
      </c>
      <c r="X39" s="218">
        <f>I39*(References!$C$55/References!$G$58)</f>
        <v>249.74725049248707</v>
      </c>
      <c r="Y39" s="103">
        <f t="shared" si="17"/>
        <v>1.0231815394945443E-12</v>
      </c>
    </row>
    <row r="40" spans="1:25">
      <c r="A40" s="223"/>
      <c r="B40" s="139">
        <v>37</v>
      </c>
      <c r="C40" s="1" t="s">
        <v>80</v>
      </c>
      <c r="D40" s="86">
        <f>+'Regulated Co Provided Priceout'!K62</f>
        <v>4.2498827618548454</v>
      </c>
      <c r="E40" s="95">
        <f>+References!$B$9</f>
        <v>8.6666666666666661</v>
      </c>
      <c r="F40" s="86">
        <f>D40*E40*References!$B$50</f>
        <v>441.98780723290383</v>
      </c>
      <c r="G40" s="86">
        <f>+References!B33</f>
        <v>473</v>
      </c>
      <c r="H40" s="86">
        <f t="shared" si="14"/>
        <v>209060.23282116352</v>
      </c>
      <c r="I40" s="86">
        <f t="shared" si="15"/>
        <v>134318.14153644384</v>
      </c>
      <c r="J40" s="103">
        <f>I40*References!$C$55</f>
        <v>268.63628307288792</v>
      </c>
      <c r="K40" s="103">
        <f>J40/References!$G$58</f>
        <v>273.91601424750866</v>
      </c>
      <c r="L40" s="103">
        <f t="shared" si="19"/>
        <v>0.61973658495780548</v>
      </c>
      <c r="M40" s="103">
        <f>+'Proposed Rates'!B38</f>
        <v>44.13</v>
      </c>
      <c r="N40" s="103">
        <f t="shared" si="16"/>
        <v>44.749736584957809</v>
      </c>
      <c r="O40" s="103">
        <f>+'Proposed Rates'!D38</f>
        <v>44.749736584957809</v>
      </c>
      <c r="P40" s="103">
        <f t="shared" si="20"/>
        <v>19504.921933188049</v>
      </c>
      <c r="Q40" s="103">
        <f t="shared" si="21"/>
        <v>19778.837947435557</v>
      </c>
      <c r="R40" s="103">
        <f t="shared" si="22"/>
        <v>273.91601424750843</v>
      </c>
      <c r="S40" s="103">
        <f t="shared" si="23"/>
        <v>19778.837947435557</v>
      </c>
      <c r="T40" s="103">
        <f t="shared" si="24"/>
        <v>0</v>
      </c>
      <c r="U40" s="118">
        <f t="shared" si="25"/>
        <v>44.749736584957809</v>
      </c>
      <c r="V40" s="118">
        <f t="shared" si="26"/>
        <v>19778.837947435557</v>
      </c>
      <c r="W40" s="118">
        <f t="shared" si="27"/>
        <v>273.91601424750843</v>
      </c>
      <c r="X40" s="218">
        <f>I40*(References!$C$55/References!$G$58)</f>
        <v>273.91601424750866</v>
      </c>
      <c r="Y40" s="103">
        <f t="shared" si="17"/>
        <v>0</v>
      </c>
    </row>
    <row r="41" spans="1:25">
      <c r="A41" s="223"/>
      <c r="B41" s="139">
        <v>37</v>
      </c>
      <c r="C41" s="1" t="s">
        <v>82</v>
      </c>
      <c r="D41" s="86">
        <f>+'Regulated Co Provided Priceout'!K63</f>
        <v>1.0000000000000002</v>
      </c>
      <c r="E41" s="95">
        <f>+References!B8</f>
        <v>13</v>
      </c>
      <c r="F41" s="86">
        <f>D41*E41*References!$B$50</f>
        <v>156.00000000000006</v>
      </c>
      <c r="G41" s="86">
        <f>+References!B33</f>
        <v>473</v>
      </c>
      <c r="H41" s="86">
        <f t="shared" si="14"/>
        <v>73788.000000000029</v>
      </c>
      <c r="I41" s="86">
        <f t="shared" si="15"/>
        <v>47407.710658053991</v>
      </c>
      <c r="J41" s="103">
        <f>I41*References!$C$55</f>
        <v>94.815421316108072</v>
      </c>
      <c r="K41" s="103">
        <f>J41/References!$G$58</f>
        <v>96.678907253417705</v>
      </c>
      <c r="L41" s="103">
        <f t="shared" si="19"/>
        <v>0.61973658495780559</v>
      </c>
      <c r="M41" s="103">
        <f>+'Proposed Rates'!B38</f>
        <v>44.13</v>
      </c>
      <c r="N41" s="103">
        <f t="shared" si="16"/>
        <v>44.749736584957809</v>
      </c>
      <c r="O41" s="103">
        <f>+'Proposed Rates'!D38</f>
        <v>44.749736584957809</v>
      </c>
      <c r="P41" s="103">
        <f t="shared" si="20"/>
        <v>6884.2800000000025</v>
      </c>
      <c r="Q41" s="103">
        <f t="shared" si="21"/>
        <v>6980.9589072534209</v>
      </c>
      <c r="R41" s="103">
        <f t="shared" si="22"/>
        <v>96.678907253418402</v>
      </c>
      <c r="S41" s="103">
        <f t="shared" si="23"/>
        <v>6980.9589072534209</v>
      </c>
      <c r="T41" s="103">
        <f t="shared" si="24"/>
        <v>0</v>
      </c>
      <c r="U41" s="118">
        <f t="shared" si="25"/>
        <v>44.749736584957809</v>
      </c>
      <c r="V41" s="118">
        <f t="shared" si="26"/>
        <v>6980.9589072534209</v>
      </c>
      <c r="W41" s="118">
        <f t="shared" si="27"/>
        <v>96.678907253418402</v>
      </c>
      <c r="X41" s="218">
        <f>I41*(References!$C$55/References!$G$58)</f>
        <v>96.678907253417691</v>
      </c>
      <c r="Y41" s="103">
        <f t="shared" si="17"/>
        <v>7.1054273576010019E-13</v>
      </c>
    </row>
    <row r="42" spans="1:25">
      <c r="A42" s="223"/>
      <c r="B42" s="139">
        <v>37</v>
      </c>
      <c r="C42" s="1" t="s">
        <v>84</v>
      </c>
      <c r="D42" s="86">
        <f>+'Regulated Co Provided Priceout'!K64</f>
        <v>13.2291727221138</v>
      </c>
      <c r="E42" s="95">
        <f>+References!B10</f>
        <v>4.333333333333333</v>
      </c>
      <c r="F42" s="86">
        <f>D42*E42*References!$B$50</f>
        <v>687.91698154991764</v>
      </c>
      <c r="G42" s="86">
        <f>+References!B35</f>
        <v>613</v>
      </c>
      <c r="H42" s="86">
        <f t="shared" si="14"/>
        <v>421693.10969009949</v>
      </c>
      <c r="I42" s="86">
        <f t="shared" si="15"/>
        <v>270931.65461434453</v>
      </c>
      <c r="J42" s="103">
        <f>I42*References!$C$55</f>
        <v>541.86330922868956</v>
      </c>
      <c r="K42" s="103">
        <f>J42/References!$G$58</f>
        <v>552.5129972506968</v>
      </c>
      <c r="L42" s="103">
        <f t="shared" si="19"/>
        <v>0.80316813230261064</v>
      </c>
      <c r="M42" s="103">
        <f>+'Proposed Rates'!B39</f>
        <v>58.63</v>
      </c>
      <c r="N42" s="103">
        <f t="shared" si="16"/>
        <v>59.433168132302612</v>
      </c>
      <c r="O42" s="103">
        <f>+'Proposed Rates'!D39</f>
        <v>59.433168132302612</v>
      </c>
      <c r="P42" s="103">
        <f t="shared" si="20"/>
        <v>40332.572628271671</v>
      </c>
      <c r="Q42" s="103">
        <f t="shared" si="21"/>
        <v>40885.08562552237</v>
      </c>
      <c r="R42" s="103">
        <f t="shared" si="22"/>
        <v>552.51299725069839</v>
      </c>
      <c r="S42" s="103">
        <f t="shared" si="23"/>
        <v>40885.08562552237</v>
      </c>
      <c r="T42" s="103">
        <f t="shared" si="24"/>
        <v>0</v>
      </c>
      <c r="U42" s="118">
        <f t="shared" si="25"/>
        <v>59.433168132302612</v>
      </c>
      <c r="V42" s="118">
        <f t="shared" si="26"/>
        <v>40885.08562552237</v>
      </c>
      <c r="W42" s="118">
        <f t="shared" si="27"/>
        <v>552.51299725069839</v>
      </c>
      <c r="X42" s="218">
        <f>I42*(References!$C$55/References!$G$58)</f>
        <v>552.5129972506968</v>
      </c>
      <c r="Y42" s="103">
        <f t="shared" si="17"/>
        <v>1.5916157281026244E-12</v>
      </c>
    </row>
    <row r="43" spans="1:25">
      <c r="A43" s="223"/>
      <c r="B43" s="139">
        <v>37</v>
      </c>
      <c r="C43" s="1" t="s">
        <v>86</v>
      </c>
      <c r="D43" s="86">
        <f>+'Regulated Co Provided Priceout'!K65</f>
        <v>3.1457688874125438</v>
      </c>
      <c r="E43" s="215">
        <f>+References!$B$10</f>
        <v>4.333333333333333</v>
      </c>
      <c r="F43" s="89">
        <f>D43*E43*References!$B$50</f>
        <v>163.57998214545228</v>
      </c>
      <c r="G43" s="89">
        <f>+References!B35*2</f>
        <v>1226</v>
      </c>
      <c r="H43" s="86">
        <f t="shared" si="14"/>
        <v>200549.05811032449</v>
      </c>
      <c r="I43" s="86">
        <f t="shared" si="15"/>
        <v>128849.83628285787</v>
      </c>
      <c r="J43" s="103">
        <f>I43*References!$C$55</f>
        <v>257.69967256571596</v>
      </c>
      <c r="K43" s="103">
        <f>J43/References!$G$58</f>
        <v>262.76445748371458</v>
      </c>
      <c r="L43" s="103">
        <f>K43/(F43*2)</f>
        <v>0.80316813230261053</v>
      </c>
      <c r="M43" s="103">
        <f>+'Proposed Rates'!B39</f>
        <v>58.63</v>
      </c>
      <c r="N43" s="103">
        <f t="shared" si="16"/>
        <v>59.433168132302612</v>
      </c>
      <c r="O43" s="103">
        <f>+'Proposed Rates'!D39</f>
        <v>59.433168132302612</v>
      </c>
      <c r="P43" s="103">
        <f>F43*2*M43</f>
        <v>19181.388706375736</v>
      </c>
      <c r="Q43" s="103">
        <f>F43*2*O43</f>
        <v>19444.15316385945</v>
      </c>
      <c r="R43" s="103">
        <f t="shared" si="22"/>
        <v>262.76445748371407</v>
      </c>
      <c r="S43" s="103">
        <f>F43*2*N43</f>
        <v>19444.15316385945</v>
      </c>
      <c r="T43" s="103">
        <f t="shared" si="24"/>
        <v>0</v>
      </c>
      <c r="U43" s="118">
        <f t="shared" si="25"/>
        <v>59.433168132302612</v>
      </c>
      <c r="V43" s="118">
        <f>F43*2*U43</f>
        <v>19444.15316385945</v>
      </c>
      <c r="W43" s="118">
        <f t="shared" si="27"/>
        <v>262.76445748371407</v>
      </c>
      <c r="X43" s="218">
        <f>I43*(References!$C$55/References!$G$58)</f>
        <v>262.76445748371458</v>
      </c>
      <c r="Y43" s="103">
        <f t="shared" si="17"/>
        <v>-5.1159076974727213E-13</v>
      </c>
    </row>
    <row r="44" spans="1:25">
      <c r="A44" s="223"/>
      <c r="B44" s="139">
        <v>37</v>
      </c>
      <c r="C44" s="1" t="s">
        <v>88</v>
      </c>
      <c r="D44" s="86">
        <f>+'Regulated Co Provided Priceout'!K66</f>
        <v>1</v>
      </c>
      <c r="E44" s="95">
        <f>+References!B8</f>
        <v>13</v>
      </c>
      <c r="F44" s="86">
        <f>D44*E44*References!$B$50</f>
        <v>156</v>
      </c>
      <c r="G44" s="86">
        <f>+References!B35</f>
        <v>613</v>
      </c>
      <c r="H44" s="86">
        <f t="shared" si="14"/>
        <v>95628</v>
      </c>
      <c r="I44" s="86">
        <f t="shared" si="15"/>
        <v>61439.591191093205</v>
      </c>
      <c r="J44" s="103">
        <f>I44*References!$C$55</f>
        <v>122.87918238218651</v>
      </c>
      <c r="K44" s="103">
        <f>J44/References!$G$58</f>
        <v>125.29422863920723</v>
      </c>
      <c r="L44" s="103">
        <f t="shared" si="19"/>
        <v>0.80316813230261042</v>
      </c>
      <c r="M44" s="103">
        <f>+'Proposed Rates'!B39</f>
        <v>58.63</v>
      </c>
      <c r="N44" s="103">
        <f t="shared" si="16"/>
        <v>59.433168132302612</v>
      </c>
      <c r="O44" s="103">
        <f>+'Proposed Rates'!D39</f>
        <v>59.433168132302612</v>
      </c>
      <c r="P44" s="103">
        <f t="shared" si="20"/>
        <v>9146.2800000000007</v>
      </c>
      <c r="Q44" s="103">
        <f t="shared" si="21"/>
        <v>9271.5742286392069</v>
      </c>
      <c r="R44" s="103">
        <f t="shared" si="22"/>
        <v>125.29422863920627</v>
      </c>
      <c r="S44" s="103">
        <f t="shared" si="23"/>
        <v>9271.5742286392069</v>
      </c>
      <c r="T44" s="103">
        <f t="shared" si="24"/>
        <v>0</v>
      </c>
      <c r="U44" s="118">
        <f t="shared" si="25"/>
        <v>59.433168132302612</v>
      </c>
      <c r="V44" s="118">
        <f t="shared" si="26"/>
        <v>9271.5742286392069</v>
      </c>
      <c r="W44" s="118">
        <f t="shared" si="27"/>
        <v>125.29422863920627</v>
      </c>
      <c r="X44" s="218">
        <f>I44*(References!$C$55/References!$G$58)</f>
        <v>125.29422863920725</v>
      </c>
      <c r="Y44" s="103">
        <f t="shared" si="17"/>
        <v>-9.8054897534893826E-13</v>
      </c>
    </row>
    <row r="45" spans="1:25">
      <c r="A45" s="223"/>
      <c r="B45" s="139">
        <v>37</v>
      </c>
      <c r="C45" s="1" t="s">
        <v>90</v>
      </c>
      <c r="D45" s="86">
        <f>+'Regulated Co Provided Priceout'!K67</f>
        <v>0.99998961944900033</v>
      </c>
      <c r="E45" s="95">
        <f>+References!B7</f>
        <v>17.333333333333332</v>
      </c>
      <c r="F45" s="86">
        <f>D45*E45*References!$B$50</f>
        <v>207.99784084539203</v>
      </c>
      <c r="G45" s="86">
        <f>+References!B35</f>
        <v>613</v>
      </c>
      <c r="H45" s="86">
        <f t="shared" si="14"/>
        <v>127502.67643822532</v>
      </c>
      <c r="I45" s="86">
        <f t="shared" si="15"/>
        <v>81918.604552377918</v>
      </c>
      <c r="J45" s="103">
        <f>I45*References!$C$55</f>
        <v>163.83720910475597</v>
      </c>
      <c r="K45" s="103">
        <f>J45/References!$G$58</f>
        <v>167.05723735476914</v>
      </c>
      <c r="L45" s="103">
        <f t="shared" si="19"/>
        <v>0.80316813230261042</v>
      </c>
      <c r="M45" s="103">
        <f>+'Proposed Rates'!B39</f>
        <v>58.63</v>
      </c>
      <c r="N45" s="103">
        <f t="shared" si="16"/>
        <v>59.433168132302612</v>
      </c>
      <c r="O45" s="103">
        <f>+'Proposed Rates'!D39</f>
        <v>59.433168132302612</v>
      </c>
      <c r="P45" s="103">
        <f t="shared" si="20"/>
        <v>12194.913408765335</v>
      </c>
      <c r="Q45" s="103">
        <f t="shared" si="21"/>
        <v>12361.970646120104</v>
      </c>
      <c r="R45" s="103">
        <f t="shared" si="22"/>
        <v>167.05723735476931</v>
      </c>
      <c r="S45" s="103">
        <f t="shared" si="23"/>
        <v>12361.970646120104</v>
      </c>
      <c r="T45" s="103">
        <f t="shared" si="24"/>
        <v>0</v>
      </c>
      <c r="U45" s="118">
        <f t="shared" si="25"/>
        <v>59.433168132302612</v>
      </c>
      <c r="V45" s="118">
        <f t="shared" si="26"/>
        <v>12361.970646120104</v>
      </c>
      <c r="W45" s="118">
        <f t="shared" si="27"/>
        <v>167.05723735476931</v>
      </c>
      <c r="X45" s="218">
        <f>I45*(References!$C$55/References!$G$58)</f>
        <v>167.05723735476917</v>
      </c>
      <c r="Y45" s="103">
        <f t="shared" si="17"/>
        <v>0</v>
      </c>
    </row>
    <row r="46" spans="1:25">
      <c r="A46" s="223"/>
      <c r="B46" s="139">
        <v>37</v>
      </c>
      <c r="C46" s="1" t="s">
        <v>92</v>
      </c>
      <c r="D46" s="86">
        <f>+'Regulated Co Provided Priceout'!K68</f>
        <v>7.2081279618602627</v>
      </c>
      <c r="E46" s="95">
        <f>+References!B10</f>
        <v>4.333333333333333</v>
      </c>
      <c r="F46" s="86">
        <f>D46*E46*References!$B$50</f>
        <v>374.82265401673362</v>
      </c>
      <c r="G46" s="86">
        <f>+References!B37</f>
        <v>840</v>
      </c>
      <c r="H46" s="86">
        <f t="shared" si="14"/>
        <v>314851.02937405626</v>
      </c>
      <c r="I46" s="86">
        <f t="shared" si="15"/>
        <v>202287.18085536553</v>
      </c>
      <c r="J46" s="103">
        <f>I46*References!$C$55</f>
        <v>404.57436171073141</v>
      </c>
      <c r="K46" s="103">
        <f>J46/References!$G$58</f>
        <v>412.52579643705565</v>
      </c>
      <c r="L46" s="103">
        <f t="shared" si="19"/>
        <v>1.1005892840688301</v>
      </c>
      <c r="M46" s="103">
        <f>+'Proposed Rates'!B40</f>
        <v>85.45</v>
      </c>
      <c r="N46" s="103">
        <f t="shared" si="16"/>
        <v>86.550589284068835</v>
      </c>
      <c r="O46" s="103">
        <f>+'Proposed Rates'!D40</f>
        <v>86.550589284068835</v>
      </c>
      <c r="P46" s="103">
        <f t="shared" si="20"/>
        <v>32028.595785729889</v>
      </c>
      <c r="Q46" s="103">
        <f t="shared" si="21"/>
        <v>32441.121582166947</v>
      </c>
      <c r="R46" s="103">
        <f t="shared" si="22"/>
        <v>412.52579643705758</v>
      </c>
      <c r="S46" s="103">
        <f t="shared" si="23"/>
        <v>32441.121582166947</v>
      </c>
      <c r="T46" s="103">
        <f t="shared" si="24"/>
        <v>0</v>
      </c>
      <c r="U46" s="118">
        <f t="shared" si="25"/>
        <v>86.550589284068835</v>
      </c>
      <c r="V46" s="118">
        <f t="shared" si="26"/>
        <v>32441.121582166947</v>
      </c>
      <c r="W46" s="118">
        <f t="shared" si="27"/>
        <v>412.52579643705758</v>
      </c>
      <c r="X46" s="218">
        <f>I46*(References!$C$55/References!$G$58)</f>
        <v>412.5257964370557</v>
      </c>
      <c r="Y46" s="103">
        <f t="shared" si="17"/>
        <v>1.8758328224066645E-12</v>
      </c>
    </row>
    <row r="47" spans="1:25">
      <c r="A47" s="223"/>
      <c r="B47" s="139">
        <v>37</v>
      </c>
      <c r="C47" s="1" t="s">
        <v>94</v>
      </c>
      <c r="D47" s="86">
        <f>+'Regulated Co Provided Priceout'!K69</f>
        <v>0.99998575457990269</v>
      </c>
      <c r="E47" s="215">
        <f>+References!$B$10</f>
        <v>4.333333333333333</v>
      </c>
      <c r="F47" s="89">
        <f>D47*E47*References!$B$50</f>
        <v>51.999259238154934</v>
      </c>
      <c r="G47" s="89">
        <f>+References!B37*2</f>
        <v>1680</v>
      </c>
      <c r="H47" s="86">
        <f t="shared" si="14"/>
        <v>87358.755520100283</v>
      </c>
      <c r="I47" s="86">
        <f t="shared" si="15"/>
        <v>56126.722572025123</v>
      </c>
      <c r="J47" s="103">
        <f>I47*References!$C$55</f>
        <v>112.25344514405035</v>
      </c>
      <c r="K47" s="103">
        <f>J47/References!$G$58</f>
        <v>114.45965499406087</v>
      </c>
      <c r="L47" s="103">
        <f>K47/(F47*2)</f>
        <v>1.1005892840688301</v>
      </c>
      <c r="M47" s="103">
        <f>+'Proposed Rates'!B40</f>
        <v>85.45</v>
      </c>
      <c r="N47" s="103">
        <f t="shared" si="16"/>
        <v>86.550589284068835</v>
      </c>
      <c r="O47" s="103">
        <f>+'Proposed Rates'!D40</f>
        <v>86.550589284068835</v>
      </c>
      <c r="P47" s="103">
        <f>F47*2*M47</f>
        <v>8886.673403800678</v>
      </c>
      <c r="Q47" s="103">
        <f>F47*2*O47</f>
        <v>9001.1330587947396</v>
      </c>
      <c r="R47" s="103">
        <f t="shared" si="22"/>
        <v>114.45965499406157</v>
      </c>
      <c r="S47" s="103">
        <f>F47*2*N47</f>
        <v>9001.1330587947396</v>
      </c>
      <c r="T47" s="103">
        <f t="shared" si="24"/>
        <v>0</v>
      </c>
      <c r="U47" s="118">
        <f t="shared" si="25"/>
        <v>86.550589284068835</v>
      </c>
      <c r="V47" s="118">
        <f>F47*2*U47</f>
        <v>9001.1330587947396</v>
      </c>
      <c r="W47" s="118">
        <f t="shared" si="27"/>
        <v>114.45965499406157</v>
      </c>
      <c r="X47" s="218">
        <f>I47*(References!$C$55/References!$G$58)</f>
        <v>114.45965499406087</v>
      </c>
      <c r="Y47" s="103">
        <f t="shared" si="17"/>
        <v>6.9633188104489818E-13</v>
      </c>
    </row>
    <row r="48" spans="1:25">
      <c r="A48" s="223"/>
      <c r="B48" s="139">
        <v>37</v>
      </c>
      <c r="C48" s="1" t="s">
        <v>96</v>
      </c>
      <c r="D48" s="86">
        <f>+'Regulated Co Provided Priceout'!K70</f>
        <v>0.99998575457990269</v>
      </c>
      <c r="E48" s="95">
        <f>+References!B9</f>
        <v>8.6666666666666661</v>
      </c>
      <c r="F48" s="86">
        <f>D48*E48*References!$B$50</f>
        <v>103.99851847630987</v>
      </c>
      <c r="G48" s="86">
        <f>+References!B37</f>
        <v>840</v>
      </c>
      <c r="H48" s="86">
        <f t="shared" si="14"/>
        <v>87358.755520100283</v>
      </c>
      <c r="I48" s="86">
        <f t="shared" si="15"/>
        <v>56126.722572025123</v>
      </c>
      <c r="J48" s="103">
        <f>I48*References!$C$55</f>
        <v>112.25344514405035</v>
      </c>
      <c r="K48" s="103">
        <f>J48/References!$G$58</f>
        <v>114.45965499406087</v>
      </c>
      <c r="L48" s="103">
        <f t="shared" si="19"/>
        <v>1.1005892840688301</v>
      </c>
      <c r="M48" s="103">
        <f>+'Proposed Rates'!B40</f>
        <v>85.45</v>
      </c>
      <c r="N48" s="103">
        <f t="shared" si="16"/>
        <v>86.550589284068835</v>
      </c>
      <c r="O48" s="103">
        <f>+'Proposed Rates'!D40</f>
        <v>86.550589284068835</v>
      </c>
      <c r="P48" s="103">
        <f t="shared" si="20"/>
        <v>8886.673403800678</v>
      </c>
      <c r="Q48" s="103">
        <f t="shared" si="21"/>
        <v>9001.1330587947396</v>
      </c>
      <c r="R48" s="103">
        <f t="shared" si="22"/>
        <v>114.45965499406157</v>
      </c>
      <c r="S48" s="103">
        <f t="shared" si="23"/>
        <v>9001.1330587947396</v>
      </c>
      <c r="T48" s="103">
        <f t="shared" si="24"/>
        <v>0</v>
      </c>
      <c r="U48" s="118">
        <f t="shared" si="25"/>
        <v>86.550589284068835</v>
      </c>
      <c r="V48" s="118">
        <f t="shared" si="26"/>
        <v>9001.1330587947396</v>
      </c>
      <c r="W48" s="118">
        <f t="shared" si="27"/>
        <v>114.45965499406157</v>
      </c>
      <c r="X48" s="218">
        <f>I48*(References!$C$55/References!$G$58)</f>
        <v>114.45965499406087</v>
      </c>
      <c r="Y48" s="103">
        <f t="shared" si="17"/>
        <v>6.9633188104489818E-13</v>
      </c>
    </row>
    <row r="49" spans="1:31">
      <c r="A49" s="223"/>
      <c r="B49" s="139">
        <v>37</v>
      </c>
      <c r="C49" s="1" t="s">
        <v>98</v>
      </c>
      <c r="D49" s="86">
        <f>+'Regulated Co Provided Priceout'!K71</f>
        <v>0.99999287728995123</v>
      </c>
      <c r="E49" s="95">
        <f>+References!B7</f>
        <v>17.333333333333332</v>
      </c>
      <c r="F49" s="86">
        <f>D49*E49*References!$B$50</f>
        <v>207.99851847630981</v>
      </c>
      <c r="G49" s="86">
        <f>+References!B37</f>
        <v>840</v>
      </c>
      <c r="H49" s="86">
        <f t="shared" si="14"/>
        <v>174718.75552010024</v>
      </c>
      <c r="I49" s="86">
        <f t="shared" si="15"/>
        <v>112254.24470418201</v>
      </c>
      <c r="J49" s="103">
        <f>I49*References!$C$55</f>
        <v>224.50848940836423</v>
      </c>
      <c r="K49" s="103">
        <f>J49/References!$G$58</f>
        <v>228.92094053721914</v>
      </c>
      <c r="L49" s="103">
        <f t="shared" si="19"/>
        <v>1.1005892840688301</v>
      </c>
      <c r="M49" s="103">
        <f>+'Proposed Rates'!B40</f>
        <v>85.45</v>
      </c>
      <c r="N49" s="103">
        <f t="shared" si="16"/>
        <v>86.550589284068835</v>
      </c>
      <c r="O49" s="103">
        <f>+'Proposed Rates'!D40</f>
        <v>86.550589284068835</v>
      </c>
      <c r="P49" s="103">
        <f t="shared" si="20"/>
        <v>17773.473403800675</v>
      </c>
      <c r="Q49" s="103">
        <f t="shared" si="21"/>
        <v>18002.394344337892</v>
      </c>
      <c r="R49" s="103">
        <f t="shared" si="22"/>
        <v>228.92094053721667</v>
      </c>
      <c r="S49" s="103">
        <f t="shared" si="23"/>
        <v>18002.394344337892</v>
      </c>
      <c r="T49" s="103">
        <f t="shared" si="24"/>
        <v>0</v>
      </c>
      <c r="U49" s="118">
        <f t="shared" si="25"/>
        <v>86.550589284068835</v>
      </c>
      <c r="V49" s="118">
        <f t="shared" si="26"/>
        <v>18002.394344337892</v>
      </c>
      <c r="W49" s="118">
        <f t="shared" si="27"/>
        <v>228.92094053721667</v>
      </c>
      <c r="X49" s="218">
        <f>I49*(References!$C$55/References!$G$58)</f>
        <v>228.92094053721914</v>
      </c>
      <c r="Y49" s="103">
        <f t="shared" si="17"/>
        <v>-2.4726887204451486E-12</v>
      </c>
    </row>
    <row r="50" spans="1:31" s="80" customFormat="1">
      <c r="A50" s="223"/>
      <c r="B50" s="139">
        <v>37</v>
      </c>
      <c r="C50" s="80" t="s">
        <v>357</v>
      </c>
      <c r="D50" s="86">
        <f>+'Regulated Co Provided Priceout'!K72</f>
        <v>0.98605658280862685</v>
      </c>
      <c r="E50" s="95">
        <f>+References!B6</f>
        <v>21.666666666666668</v>
      </c>
      <c r="F50" s="86">
        <f>D50*E50*References!$B$50</f>
        <v>256.37471153024296</v>
      </c>
      <c r="G50" s="86">
        <f>+References!B37</f>
        <v>840</v>
      </c>
      <c r="H50" s="86">
        <f t="shared" ref="H50" si="28">F50*G50</f>
        <v>215354.7576854041</v>
      </c>
      <c r="I50" s="86">
        <f t="shared" si="15"/>
        <v>138362.28168787557</v>
      </c>
      <c r="J50" s="103">
        <f>I50*References!$C$55</f>
        <v>276.72456337575136</v>
      </c>
      <c r="K50" s="103">
        <f>J50/References!$G$58</f>
        <v>282.16326021642294</v>
      </c>
      <c r="L50" s="103">
        <f t="shared" si="19"/>
        <v>1.1005892840688301</v>
      </c>
      <c r="M50" s="103">
        <f>+'Proposed Rates'!B40</f>
        <v>85.45</v>
      </c>
      <c r="N50" s="103">
        <f t="shared" si="16"/>
        <v>86.550589284068835</v>
      </c>
      <c r="O50" s="103">
        <f>+'Proposed Rates'!D40</f>
        <v>86.550589284068835</v>
      </c>
      <c r="P50" s="103">
        <f t="shared" si="20"/>
        <v>21907.219100259263</v>
      </c>
      <c r="Q50" s="103">
        <f t="shared" si="21"/>
        <v>22189.382360475684</v>
      </c>
      <c r="R50" s="103">
        <f t="shared" si="22"/>
        <v>282.16326021642089</v>
      </c>
      <c r="S50" s="103">
        <f t="shared" si="23"/>
        <v>22189.382360475684</v>
      </c>
      <c r="T50" s="103">
        <f t="shared" si="24"/>
        <v>0</v>
      </c>
      <c r="U50" s="118">
        <f t="shared" si="25"/>
        <v>86.550589284068835</v>
      </c>
      <c r="V50" s="118">
        <f t="shared" si="26"/>
        <v>22189.382360475684</v>
      </c>
      <c r="W50" s="118">
        <f t="shared" si="27"/>
        <v>282.16326021642089</v>
      </c>
      <c r="X50" s="218">
        <f>I50*(References!$C$55/References!$G$58)</f>
        <v>282.16326021642294</v>
      </c>
      <c r="Y50" s="103">
        <f t="shared" si="17"/>
        <v>-2.0463630789890885E-12</v>
      </c>
      <c r="AA50"/>
      <c r="AB50"/>
      <c r="AC50"/>
      <c r="AD50"/>
      <c r="AE50"/>
    </row>
    <row r="51" spans="1:31" ht="15" customHeight="1">
      <c r="A51" s="235" t="s">
        <v>256</v>
      </c>
      <c r="B51" s="139">
        <v>37</v>
      </c>
      <c r="C51" s="1" t="s">
        <v>100</v>
      </c>
      <c r="D51" s="86">
        <f>+'Regulated Co Provided Priceout'!K73</f>
        <v>1</v>
      </c>
      <c r="E51" s="95">
        <f>+References!B10</f>
        <v>4.333333333333333</v>
      </c>
      <c r="F51" s="86">
        <f>D51*E51*References!$B$50</f>
        <v>52</v>
      </c>
      <c r="G51" s="86">
        <f>+References!B39</f>
        <v>980</v>
      </c>
      <c r="H51" s="86">
        <f t="shared" si="14"/>
        <v>50960</v>
      </c>
      <c r="I51" s="86">
        <f t="shared" si="15"/>
        <v>32741.054577091538</v>
      </c>
      <c r="J51" s="103">
        <f>I51*References!$C$55</f>
        <v>65.482109154183135</v>
      </c>
      <c r="K51" s="103">
        <f>J51/References!$G$58</f>
        <v>66.769083233509022</v>
      </c>
      <c r="L51" s="103">
        <f t="shared" si="19"/>
        <v>1.284020831413635</v>
      </c>
      <c r="M51" s="103">
        <f>+'Proposed Rates'!B41</f>
        <v>111.37</v>
      </c>
      <c r="N51" s="103">
        <f t="shared" si="16"/>
        <v>112.65402083141365</v>
      </c>
      <c r="O51" s="103">
        <f>+'Proposed Rates'!D41</f>
        <v>112.65402083141365</v>
      </c>
      <c r="P51" s="103">
        <f t="shared" si="20"/>
        <v>5791.24</v>
      </c>
      <c r="Q51" s="103">
        <f t="shared" si="21"/>
        <v>5858.00908323351</v>
      </c>
      <c r="R51" s="103">
        <f t="shared" si="22"/>
        <v>66.769083233510173</v>
      </c>
      <c r="S51" s="103">
        <f t="shared" si="23"/>
        <v>5858.00908323351</v>
      </c>
      <c r="T51" s="103">
        <f t="shared" si="24"/>
        <v>0</v>
      </c>
      <c r="U51" s="118">
        <f t="shared" si="25"/>
        <v>112.65402083141365</v>
      </c>
      <c r="V51" s="118">
        <f t="shared" si="26"/>
        <v>5858.00908323351</v>
      </c>
      <c r="W51" s="118">
        <f t="shared" si="27"/>
        <v>66.769083233510173</v>
      </c>
      <c r="X51" s="218">
        <f>I51*(References!$C$55/References!$G$58)</f>
        <v>66.769083233509022</v>
      </c>
      <c r="Y51" s="103">
        <f t="shared" si="17"/>
        <v>1.1510792319313623E-12</v>
      </c>
    </row>
    <row r="52" spans="1:31">
      <c r="A52" s="223"/>
      <c r="B52" s="139">
        <v>37</v>
      </c>
      <c r="C52" s="1" t="s">
        <v>102</v>
      </c>
      <c r="D52" s="86">
        <f>+'Regulated Co Provided Priceout'!K74</f>
        <v>0.99998907020209193</v>
      </c>
      <c r="E52" s="95">
        <f>+References!B9</f>
        <v>8.6666666666666661</v>
      </c>
      <c r="F52" s="86">
        <f>D52*E52*References!$B$50</f>
        <v>103.99886330101756</v>
      </c>
      <c r="G52" s="86">
        <f>+References!B39</f>
        <v>980</v>
      </c>
      <c r="H52" s="86">
        <f t="shared" si="14"/>
        <v>101918.88603499721</v>
      </c>
      <c r="I52" s="86">
        <f t="shared" si="15"/>
        <v>65481.393447963426</v>
      </c>
      <c r="J52" s="103">
        <f>I52*References!$C$55</f>
        <v>130.96278689592697</v>
      </c>
      <c r="K52" s="103">
        <f>J52/References!$G$58</f>
        <v>133.53670692184554</v>
      </c>
      <c r="L52" s="103">
        <f t="shared" si="19"/>
        <v>1.284020831413635</v>
      </c>
      <c r="M52" s="103">
        <f>+'Proposed Rates'!B41</f>
        <v>111.37</v>
      </c>
      <c r="N52" s="103">
        <f t="shared" si="16"/>
        <v>112.65402083141365</v>
      </c>
      <c r="O52" s="103">
        <f>+'Proposed Rates'!D41</f>
        <v>112.65402083141365</v>
      </c>
      <c r="P52" s="103">
        <f t="shared" si="20"/>
        <v>11582.353405834327</v>
      </c>
      <c r="Q52" s="103">
        <f t="shared" si="21"/>
        <v>11715.890112756173</v>
      </c>
      <c r="R52" s="103">
        <f t="shared" si="22"/>
        <v>133.53670692184642</v>
      </c>
      <c r="S52" s="103">
        <f t="shared" si="23"/>
        <v>11715.890112756173</v>
      </c>
      <c r="T52" s="103">
        <f t="shared" si="24"/>
        <v>0</v>
      </c>
      <c r="U52" s="118">
        <f t="shared" si="25"/>
        <v>112.65402083141365</v>
      </c>
      <c r="V52" s="118">
        <f t="shared" si="26"/>
        <v>11715.890112756173</v>
      </c>
      <c r="W52" s="118">
        <f t="shared" si="27"/>
        <v>133.53670692184642</v>
      </c>
      <c r="X52" s="218">
        <f>I52*(References!$C$55/References!$G$58)</f>
        <v>133.53670692184554</v>
      </c>
      <c r="Y52" s="103">
        <f t="shared" si="17"/>
        <v>8.8107299234252423E-13</v>
      </c>
    </row>
    <row r="53" spans="1:31">
      <c r="A53" s="223"/>
      <c r="B53" s="139">
        <v>38</v>
      </c>
      <c r="C53" s="1" t="s">
        <v>104</v>
      </c>
      <c r="D53" s="86">
        <f>+'Regulated Co Provided Priceout'!K75</f>
        <v>48.541666666666664</v>
      </c>
      <c r="E53" s="95">
        <f>+References!B10</f>
        <v>4.333333333333333</v>
      </c>
      <c r="F53" s="86">
        <f>D53*E53*References!$B$50</f>
        <v>2524.1666666666665</v>
      </c>
      <c r="G53" s="89">
        <f>+References!B28</f>
        <v>29</v>
      </c>
      <c r="H53" s="89">
        <f t="shared" si="14"/>
        <v>73200.833333333328</v>
      </c>
      <c r="I53" s="86">
        <f t="shared" si="15"/>
        <v>47030.464663564519</v>
      </c>
      <c r="J53" s="103">
        <f>I53*References!$C$55</f>
        <v>94.060929327129116</v>
      </c>
      <c r="K53" s="103">
        <f>J53/References!$G$58</f>
        <v>95.909586609017936</v>
      </c>
      <c r="L53" s="103">
        <f>K53/F53*E53</f>
        <v>0.16465165083093208</v>
      </c>
      <c r="M53" s="103">
        <f>+'Proposed Rates'!B62</f>
        <v>18.34</v>
      </c>
      <c r="N53" s="103">
        <f t="shared" si="16"/>
        <v>18.504651650830933</v>
      </c>
      <c r="O53" s="103">
        <f>+'Proposed Rates'!D62</f>
        <v>18.504651650830933</v>
      </c>
      <c r="P53" s="103">
        <f>D53*M53*References!$B$50</f>
        <v>10683.05</v>
      </c>
      <c r="Q53" s="103">
        <f>D53*O53*References!$B$50</f>
        <v>10778.959586609019</v>
      </c>
      <c r="R53" s="103">
        <f t="shared" si="22"/>
        <v>95.909586609019243</v>
      </c>
      <c r="S53" s="103">
        <f>D53*N53*References!$B$50</f>
        <v>10778.959586609019</v>
      </c>
      <c r="T53" s="103">
        <f t="shared" si="24"/>
        <v>0</v>
      </c>
      <c r="U53" s="118">
        <f t="shared" si="25"/>
        <v>18.504651650830933</v>
      </c>
      <c r="V53" s="118">
        <f>D53*U53*References!$B$50</f>
        <v>10778.959586609019</v>
      </c>
      <c r="W53" s="118">
        <f t="shared" si="27"/>
        <v>95.909586609019243</v>
      </c>
      <c r="X53" s="218">
        <f>I53*(References!$C$55/References!$G$58)</f>
        <v>95.90958660901795</v>
      </c>
      <c r="Y53" s="103">
        <f t="shared" si="17"/>
        <v>1.2931877790833823E-12</v>
      </c>
    </row>
    <row r="54" spans="1:31">
      <c r="A54" s="223"/>
      <c r="B54" s="139">
        <v>38</v>
      </c>
      <c r="C54" s="1" t="s">
        <v>106</v>
      </c>
      <c r="D54" s="86">
        <f>+'Regulated Co Provided Priceout'!K76</f>
        <v>5.208333333333333</v>
      </c>
      <c r="E54" s="215">
        <f>+References!$B$10</f>
        <v>4.333333333333333</v>
      </c>
      <c r="F54" s="89">
        <f>D54*E54*References!$B$50</f>
        <v>270.83333333333331</v>
      </c>
      <c r="G54" s="89">
        <f>+References!B28*2</f>
        <v>58</v>
      </c>
      <c r="H54" s="89">
        <f t="shared" si="14"/>
        <v>15708.333333333332</v>
      </c>
      <c r="I54" s="86">
        <f t="shared" si="15"/>
        <v>10092.374391322859</v>
      </c>
      <c r="J54" s="103">
        <f>I54*References!$C$55</f>
        <v>20.184748782645737</v>
      </c>
      <c r="K54" s="103">
        <f>J54/References!$G$58</f>
        <v>20.581456353866514</v>
      </c>
      <c r="L54" s="103">
        <f t="shared" ref="L54:L62" si="29">K54/F54*E54</f>
        <v>0.32930330166186422</v>
      </c>
      <c r="M54" s="103">
        <f>+'Proposed Rates'!B62*2</f>
        <v>36.68</v>
      </c>
      <c r="N54" s="103">
        <f t="shared" si="16"/>
        <v>37.009303301661866</v>
      </c>
      <c r="O54" s="103">
        <f>+'Proposed Rates'!D62*2</f>
        <v>37.009303301661866</v>
      </c>
      <c r="P54" s="103">
        <f>D54*M54*References!$B$50</f>
        <v>2292.5</v>
      </c>
      <c r="Q54" s="103">
        <f>D54*O54*References!$B$50</f>
        <v>2313.0814563538665</v>
      </c>
      <c r="R54" s="103">
        <f t="shared" si="22"/>
        <v>20.581456353866542</v>
      </c>
      <c r="S54" s="103">
        <f>D54*N54*References!$B$50</f>
        <v>2313.0814563538665</v>
      </c>
      <c r="T54" s="103">
        <f t="shared" si="24"/>
        <v>0</v>
      </c>
      <c r="U54" s="118">
        <f t="shared" si="25"/>
        <v>37.009303301661866</v>
      </c>
      <c r="V54" s="118">
        <f>D54*U54*References!$B$50</f>
        <v>2313.0814563538665</v>
      </c>
      <c r="W54" s="118">
        <f t="shared" si="27"/>
        <v>20.581456353866542</v>
      </c>
      <c r="X54" s="218">
        <f>I54*(References!$C$55/References!$G$58)</f>
        <v>20.581456353866514</v>
      </c>
      <c r="Y54" s="103">
        <f t="shared" si="17"/>
        <v>2.8421709430404007E-14</v>
      </c>
    </row>
    <row r="55" spans="1:31" s="80" customFormat="1">
      <c r="A55" s="223"/>
      <c r="B55" s="139">
        <v>38</v>
      </c>
      <c r="C55" s="80" t="s">
        <v>359</v>
      </c>
      <c r="D55" s="86">
        <f>+'Regulated Co Provided Priceout'!K77</f>
        <v>0.125</v>
      </c>
      <c r="E55" s="215">
        <f>+References!$B$10</f>
        <v>4.333333333333333</v>
      </c>
      <c r="F55" s="89">
        <f>D55*E55*References!$B$50</f>
        <v>6.5</v>
      </c>
      <c r="G55" s="89">
        <f>+References!B28*3</f>
        <v>87</v>
      </c>
      <c r="H55" s="89">
        <f t="shared" ref="H55" si="30">F55*G55</f>
        <v>565.5</v>
      </c>
      <c r="I55" s="86">
        <f t="shared" si="15"/>
        <v>363.32547808762297</v>
      </c>
      <c r="J55" s="103">
        <f>I55*References!$C$55</f>
        <v>0.72665095617524655</v>
      </c>
      <c r="K55" s="103">
        <f>J55/References!$G$58</f>
        <v>0.74093242873919452</v>
      </c>
      <c r="L55" s="103">
        <f>K55/F55*E55</f>
        <v>0.49395495249279631</v>
      </c>
      <c r="M55" s="103">
        <f>+'Proposed Rates'!B62*3</f>
        <v>55.019999999999996</v>
      </c>
      <c r="N55" s="103">
        <f t="shared" si="16"/>
        <v>55.513954952492796</v>
      </c>
      <c r="O55" s="103">
        <f>+'Proposed Rates'!D62*3</f>
        <v>55.513954952492796</v>
      </c>
      <c r="P55" s="103">
        <f>D55*M55*References!$B$50</f>
        <v>82.53</v>
      </c>
      <c r="Q55" s="103">
        <f>D55*O55*References!$B$50</f>
        <v>83.270932428739201</v>
      </c>
      <c r="R55" s="103">
        <f t="shared" si="22"/>
        <v>0.74093242873919962</v>
      </c>
      <c r="S55" s="103">
        <f>D55*N55*References!$B$50</f>
        <v>83.270932428739201</v>
      </c>
      <c r="T55" s="103">
        <f t="shared" si="24"/>
        <v>0</v>
      </c>
      <c r="U55" s="118">
        <f t="shared" si="25"/>
        <v>55.513954952492796</v>
      </c>
      <c r="V55" s="118">
        <f>D55*U55*References!$B$50</f>
        <v>83.270932428739201</v>
      </c>
      <c r="W55" s="118">
        <f t="shared" si="27"/>
        <v>0.74093242873919962</v>
      </c>
      <c r="X55" s="218">
        <f>I55*(References!$C$55/References!$G$58)</f>
        <v>0.74093242873919463</v>
      </c>
      <c r="Y55" s="103">
        <f t="shared" si="17"/>
        <v>4.9960036108132044E-15</v>
      </c>
      <c r="AA55"/>
      <c r="AB55"/>
      <c r="AC55"/>
      <c r="AD55"/>
      <c r="AE55"/>
    </row>
    <row r="56" spans="1:31">
      <c r="A56" s="223"/>
      <c r="B56" s="139">
        <v>38</v>
      </c>
      <c r="C56" s="1" t="s">
        <v>108</v>
      </c>
      <c r="D56" s="86">
        <f>+'Regulated Co Provided Priceout'!K78</f>
        <v>29.541705258824738</v>
      </c>
      <c r="E56" s="95">
        <f>+References!B10</f>
        <v>4.333333333333333</v>
      </c>
      <c r="F56" s="86">
        <f>D56*E56*References!$B$50</f>
        <v>1536.1686734588861</v>
      </c>
      <c r="G56" s="89">
        <f>+References!B23</f>
        <v>47</v>
      </c>
      <c r="H56" s="89">
        <f t="shared" si="14"/>
        <v>72199.927652567654</v>
      </c>
      <c r="I56" s="86">
        <f t="shared" si="15"/>
        <v>46387.397404528616</v>
      </c>
      <c r="J56" s="103">
        <f>I56*References!$C$55</f>
        <v>92.774794809057312</v>
      </c>
      <c r="K56" s="103">
        <f>J56/References!$G$58</f>
        <v>94.598174624953288</v>
      </c>
      <c r="L56" s="103">
        <f t="shared" si="29"/>
        <v>0.26684922720875204</v>
      </c>
      <c r="M56" s="103">
        <f>+'Proposed Rates'!B66</f>
        <v>34.14</v>
      </c>
      <c r="N56" s="103">
        <f t="shared" si="16"/>
        <v>34.406849227208752</v>
      </c>
      <c r="O56" s="103">
        <f>+'Proposed Rates'!D66</f>
        <v>34.406849227208752</v>
      </c>
      <c r="P56" s="103">
        <f>D56*M56*References!$B$50</f>
        <v>12102.645810435319</v>
      </c>
      <c r="Q56" s="103">
        <f>D56*O56*References!$B$50</f>
        <v>12197.243985060273</v>
      </c>
      <c r="R56" s="103">
        <f t="shared" si="22"/>
        <v>94.598174624954481</v>
      </c>
      <c r="S56" s="103">
        <f>D56*N56*References!$B$50</f>
        <v>12197.243985060273</v>
      </c>
      <c r="T56" s="103">
        <f t="shared" si="24"/>
        <v>0</v>
      </c>
      <c r="U56" s="118">
        <f t="shared" si="25"/>
        <v>34.406849227208752</v>
      </c>
      <c r="V56" s="118">
        <f>D56*U56*References!$B$50</f>
        <v>12197.243985060273</v>
      </c>
      <c r="W56" s="118">
        <f t="shared" si="27"/>
        <v>94.598174624954481</v>
      </c>
      <c r="X56" s="218">
        <f>I56*(References!$C$55/References!$G$58)</f>
        <v>94.598174624953288</v>
      </c>
      <c r="Y56" s="103">
        <f t="shared" si="17"/>
        <v>1.1937117960769683E-12</v>
      </c>
    </row>
    <row r="57" spans="1:31" s="80" customFormat="1">
      <c r="A57" s="223"/>
      <c r="B57" s="139">
        <v>38</v>
      </c>
      <c r="C57" s="80" t="s">
        <v>361</v>
      </c>
      <c r="D57" s="86">
        <f>+'Regulated Co Provided Priceout'!K79</f>
        <v>3.9993825254708235</v>
      </c>
      <c r="E57" s="215">
        <f>+References!$B$10</f>
        <v>4.333333333333333</v>
      </c>
      <c r="F57" s="89">
        <f>D57*E57*References!$B$50</f>
        <v>207.96789132448282</v>
      </c>
      <c r="G57" s="89">
        <f>+References!B23*2</f>
        <v>94</v>
      </c>
      <c r="H57" s="89">
        <f t="shared" ref="H57" si="31">F57*G57</f>
        <v>19548.981784501386</v>
      </c>
      <c r="I57" s="86">
        <f t="shared" ref="I57:I78" si="32">H57*$D$99</f>
        <v>12559.934841697963</v>
      </c>
      <c r="J57" s="103">
        <f>I57*References!$C$55</f>
        <v>25.119869683395947</v>
      </c>
      <c r="K57" s="103">
        <f>J57/References!$G$58</f>
        <v>25.613571269617832</v>
      </c>
      <c r="L57" s="103">
        <f t="shared" si="29"/>
        <v>0.53369845441750408</v>
      </c>
      <c r="M57" s="103">
        <f>+'Proposed Rates'!B66*2</f>
        <v>68.28</v>
      </c>
      <c r="N57" s="103">
        <f t="shared" si="16"/>
        <v>68.813698454417505</v>
      </c>
      <c r="O57" s="103">
        <f>+'Proposed Rates'!D66*2</f>
        <v>68.813698454417505</v>
      </c>
      <c r="P57" s="103">
        <f>D57*M57*References!$B$50</f>
        <v>3276.934066069774</v>
      </c>
      <c r="Q57" s="103">
        <f>D57*O57*References!$B$50</f>
        <v>3302.5476373393922</v>
      </c>
      <c r="R57" s="103">
        <f t="shared" si="22"/>
        <v>25.613571269618205</v>
      </c>
      <c r="S57" s="103">
        <f>D57*N57*References!$B$50</f>
        <v>3302.5476373393922</v>
      </c>
      <c r="T57" s="103">
        <f t="shared" si="24"/>
        <v>0</v>
      </c>
      <c r="U57" s="118">
        <f t="shared" si="25"/>
        <v>68.813698454417505</v>
      </c>
      <c r="V57" s="118">
        <f>D57*U57*References!$B$50</f>
        <v>3302.5476373393922</v>
      </c>
      <c r="W57" s="118">
        <f t="shared" si="27"/>
        <v>25.613571269618205</v>
      </c>
      <c r="X57" s="218">
        <f>I57*(References!$C$55/References!$G$58)</f>
        <v>25.613571269617832</v>
      </c>
      <c r="Y57" s="103">
        <f t="shared" si="17"/>
        <v>3.730349362740526E-13</v>
      </c>
      <c r="AA57"/>
      <c r="AB57"/>
      <c r="AC57"/>
      <c r="AD57"/>
      <c r="AE57"/>
    </row>
    <row r="58" spans="1:31">
      <c r="A58" s="223"/>
      <c r="B58" s="139">
        <v>38</v>
      </c>
      <c r="C58" s="1" t="s">
        <v>110</v>
      </c>
      <c r="D58" s="86">
        <f>+'Regulated Co Provided Priceout'!K80</f>
        <v>1.0000000000000002</v>
      </c>
      <c r="E58" s="215">
        <f>+References!$B$10</f>
        <v>4.333333333333333</v>
      </c>
      <c r="F58" s="89">
        <f>D58*E58*References!$B$50</f>
        <v>52.000000000000007</v>
      </c>
      <c r="G58" s="89">
        <f>+References!B23*5</f>
        <v>235</v>
      </c>
      <c r="H58" s="89">
        <f t="shared" si="14"/>
        <v>12220.000000000002</v>
      </c>
      <c r="I58" s="86">
        <f t="shared" si="32"/>
        <v>7851.1712506290942</v>
      </c>
      <c r="J58" s="103">
        <f>I58*References!$C$55</f>
        <v>15.702342501258203</v>
      </c>
      <c r="K58" s="103">
        <f>J58/References!$G$58</f>
        <v>16.010953632525126</v>
      </c>
      <c r="L58" s="103">
        <f t="shared" si="29"/>
        <v>1.3342461360437603</v>
      </c>
      <c r="M58" s="103">
        <f>+'Proposed Rates'!B66*5</f>
        <v>170.7</v>
      </c>
      <c r="N58" s="103">
        <f t="shared" si="16"/>
        <v>172.03424613604375</v>
      </c>
      <c r="O58" s="103">
        <f>+'Proposed Rates'!D66*5</f>
        <v>172.03424613604375</v>
      </c>
      <c r="P58" s="103">
        <f>D58*M58*References!$B$50</f>
        <v>2048.4</v>
      </c>
      <c r="Q58" s="103">
        <f>D58*O58*References!$B$50</f>
        <v>2064.4109536325254</v>
      </c>
      <c r="R58" s="103">
        <f t="shared" si="22"/>
        <v>16.010953632525343</v>
      </c>
      <c r="S58" s="103">
        <f>D58*N58*References!$B$50</f>
        <v>2064.4109536325254</v>
      </c>
      <c r="T58" s="103">
        <f t="shared" si="24"/>
        <v>0</v>
      </c>
      <c r="U58" s="118">
        <f t="shared" si="25"/>
        <v>172.03424613604375</v>
      </c>
      <c r="V58" s="118">
        <f>D58*U58*References!$B$50</f>
        <v>2064.4109536325254</v>
      </c>
      <c r="W58" s="118">
        <f t="shared" si="27"/>
        <v>16.010953632525343</v>
      </c>
      <c r="X58" s="218">
        <f>I58*(References!$C$55/References!$G$58)</f>
        <v>16.010953632525126</v>
      </c>
      <c r="Y58" s="103">
        <f t="shared" si="17"/>
        <v>2.1671553440683056E-13</v>
      </c>
    </row>
    <row r="59" spans="1:31">
      <c r="A59" s="223"/>
      <c r="B59" s="139">
        <v>38</v>
      </c>
      <c r="C59" s="1" t="s">
        <v>112</v>
      </c>
      <c r="D59" s="86">
        <f>+'Regulated Co Provided Priceout'!K81</f>
        <v>136.19148569458807</v>
      </c>
      <c r="E59" s="95">
        <f>+References!B10</f>
        <v>4.333333333333333</v>
      </c>
      <c r="F59" s="86">
        <f>D59*E59*References!$B$50</f>
        <v>7081.9572561185796</v>
      </c>
      <c r="G59" s="86">
        <f>+References!B24</f>
        <v>68</v>
      </c>
      <c r="H59" s="86">
        <f t="shared" si="14"/>
        <v>481573.09341606341</v>
      </c>
      <c r="I59" s="86">
        <f t="shared" si="32"/>
        <v>309403.66825734172</v>
      </c>
      <c r="J59" s="103">
        <f>I59*References!$C$55</f>
        <v>618.80733651468404</v>
      </c>
      <c r="K59" s="103">
        <f>J59/References!$G$58</f>
        <v>630.96926917809174</v>
      </c>
      <c r="L59" s="103">
        <f t="shared" si="29"/>
        <v>0.38607973298287529</v>
      </c>
      <c r="M59" s="103">
        <f>+'Proposed Rates'!B70</f>
        <v>40.78</v>
      </c>
      <c r="N59" s="103">
        <f t="shared" si="16"/>
        <v>41.16607973298288</v>
      </c>
      <c r="O59" s="103">
        <f>+'Proposed Rates'!D70</f>
        <v>41.16607973298288</v>
      </c>
      <c r="P59" s="103">
        <f>D59*M59*References!$B$50</f>
        <v>66646.665439503617</v>
      </c>
      <c r="Q59" s="103">
        <f>D59*O59*References!$B$50</f>
        <v>67277.634708681726</v>
      </c>
      <c r="R59" s="103">
        <f t="shared" si="22"/>
        <v>630.96926917810924</v>
      </c>
      <c r="S59" s="103">
        <f>D59*N59*References!$B$50</f>
        <v>67277.634708681726</v>
      </c>
      <c r="T59" s="103">
        <f t="shared" si="24"/>
        <v>0</v>
      </c>
      <c r="U59" s="118">
        <f t="shared" si="25"/>
        <v>41.16607973298288</v>
      </c>
      <c r="V59" s="118">
        <f>D59*U59*References!$B$50</f>
        <v>67277.634708681726</v>
      </c>
      <c r="W59" s="118">
        <f t="shared" si="27"/>
        <v>630.96926917810924</v>
      </c>
      <c r="X59" s="218">
        <f>I59*(References!$C$55/References!$G$58)</f>
        <v>630.96926917809174</v>
      </c>
      <c r="Y59" s="103">
        <f t="shared" si="17"/>
        <v>1.7507773009128869E-11</v>
      </c>
    </row>
    <row r="60" spans="1:31">
      <c r="A60" s="223"/>
      <c r="B60" s="139">
        <v>38</v>
      </c>
      <c r="C60" s="1" t="s">
        <v>114</v>
      </c>
      <c r="D60" s="86">
        <f>+'Regulated Co Provided Priceout'!K82</f>
        <v>14.500010776326564</v>
      </c>
      <c r="E60" s="215">
        <f>+References!$B$10</f>
        <v>4.333333333333333</v>
      </c>
      <c r="F60" s="89">
        <f>D60*E60*References!$B$50</f>
        <v>754.00056036898127</v>
      </c>
      <c r="G60" s="89">
        <f>+References!B24*2</f>
        <v>136</v>
      </c>
      <c r="H60" s="86">
        <f t="shared" si="14"/>
        <v>102544.07621018145</v>
      </c>
      <c r="I60" s="86">
        <f t="shared" si="32"/>
        <v>65883.068990482439</v>
      </c>
      <c r="J60" s="103">
        <f>I60*References!$C$55</f>
        <v>131.766137980965</v>
      </c>
      <c r="K60" s="103">
        <f>J60/References!$G$58</f>
        <v>134.35584693055139</v>
      </c>
      <c r="L60" s="103">
        <f>K60/F60*E60</f>
        <v>0.77215946596575069</v>
      </c>
      <c r="M60" s="103">
        <f>+'Proposed Rates'!B70*2</f>
        <v>81.56</v>
      </c>
      <c r="N60" s="103">
        <f t="shared" si="16"/>
        <v>82.332159465965759</v>
      </c>
      <c r="O60" s="103">
        <f>+'Proposed Rates'!D70*2</f>
        <v>82.332159465965759</v>
      </c>
      <c r="P60" s="103">
        <f>D60*M60*References!$B$50</f>
        <v>14191.450547006336</v>
      </c>
      <c r="Q60" s="103">
        <f>D60*O60*References!$B$50</f>
        <v>14325.806393936888</v>
      </c>
      <c r="R60" s="103">
        <f t="shared" si="22"/>
        <v>134.35584693055171</v>
      </c>
      <c r="S60" s="103">
        <f>D60*N60*References!$B$50</f>
        <v>14325.806393936888</v>
      </c>
      <c r="T60" s="103">
        <f t="shared" si="24"/>
        <v>0</v>
      </c>
      <c r="U60" s="118">
        <f t="shared" si="25"/>
        <v>82.332159465965759</v>
      </c>
      <c r="V60" s="118">
        <f>D60*U60*References!$B$50</f>
        <v>14325.806393936888</v>
      </c>
      <c r="W60" s="118">
        <f t="shared" si="27"/>
        <v>134.35584693055171</v>
      </c>
      <c r="X60" s="218">
        <f>I60*(References!$C$55/References!$G$58)</f>
        <v>134.35584693055139</v>
      </c>
      <c r="Y60" s="103">
        <f t="shared" si="17"/>
        <v>3.1263880373444408E-13</v>
      </c>
    </row>
    <row r="61" spans="1:31">
      <c r="A61" s="223"/>
      <c r="B61" s="139">
        <v>38</v>
      </c>
      <c r="C61" s="1" t="s">
        <v>116</v>
      </c>
      <c r="D61" s="86">
        <f>+'Regulated Co Provided Priceout'!K83</f>
        <v>1.4583387214966164</v>
      </c>
      <c r="E61" s="215">
        <f>+References!$B$9</f>
        <v>8.6666666666666661</v>
      </c>
      <c r="F61" s="89">
        <f>D61*E61*References!$B$50</f>
        <v>151.6672270356481</v>
      </c>
      <c r="G61" s="89">
        <f>+References!B24</f>
        <v>68</v>
      </c>
      <c r="H61" s="86">
        <f t="shared" si="14"/>
        <v>10313.37143842407</v>
      </c>
      <c r="I61" s="86">
        <f t="shared" si="32"/>
        <v>6626.1902892319376</v>
      </c>
      <c r="J61" s="103">
        <f>I61*References!$C$55</f>
        <v>13.252380578463887</v>
      </c>
      <c r="K61" s="103">
        <f>J61/References!$G$58</f>
        <v>13.512840580656032</v>
      </c>
      <c r="L61" s="103">
        <f t="shared" si="29"/>
        <v>0.77215946596575047</v>
      </c>
      <c r="M61" s="103">
        <f>+'Proposed Rates'!B70*2</f>
        <v>81.56</v>
      </c>
      <c r="N61" s="103">
        <f t="shared" si="16"/>
        <v>82.332159465965759</v>
      </c>
      <c r="O61" s="103">
        <f>+'Proposed Rates'!D70*2</f>
        <v>82.332159465965759</v>
      </c>
      <c r="P61" s="103">
        <f>D61*M61*References!$B$50</f>
        <v>1427.3052735031683</v>
      </c>
      <c r="Q61" s="103">
        <f>D61*O61*References!$B$50</f>
        <v>1440.8181140838246</v>
      </c>
      <c r="R61" s="103">
        <f t="shared" si="22"/>
        <v>13.512840580656302</v>
      </c>
      <c r="S61" s="103">
        <f>D61*N61*References!$B$50</f>
        <v>1440.8181140838246</v>
      </c>
      <c r="T61" s="103">
        <f t="shared" si="24"/>
        <v>0</v>
      </c>
      <c r="U61" s="118">
        <f t="shared" si="25"/>
        <v>82.332159465965759</v>
      </c>
      <c r="V61" s="118">
        <f>D61*U61*References!$B$50</f>
        <v>1440.8181140838246</v>
      </c>
      <c r="W61" s="118">
        <f t="shared" si="27"/>
        <v>13.512840580656302</v>
      </c>
      <c r="X61" s="218">
        <f>I61*(References!$C$55/References!$G$58)</f>
        <v>13.512840580656032</v>
      </c>
      <c r="Y61" s="103">
        <f t="shared" si="17"/>
        <v>2.7000623958883807E-13</v>
      </c>
    </row>
    <row r="62" spans="1:31">
      <c r="A62" s="223"/>
      <c r="B62" s="139">
        <v>38</v>
      </c>
      <c r="C62" s="1" t="s">
        <v>118</v>
      </c>
      <c r="D62" s="86">
        <f>+'Regulated Co Provided Priceout'!K84</f>
        <v>0.99996767311049328</v>
      </c>
      <c r="E62" s="215">
        <f>+References!$B$9</f>
        <v>8.6666666666666661</v>
      </c>
      <c r="F62" s="89">
        <f>D62*E62*References!$B$50</f>
        <v>103.99663800349128</v>
      </c>
      <c r="G62" s="89">
        <f>+References!B24*4</f>
        <v>272</v>
      </c>
      <c r="H62" s="86">
        <f t="shared" si="14"/>
        <v>28287.085536949628</v>
      </c>
      <c r="I62" s="86">
        <f t="shared" si="32"/>
        <v>18174.038685088784</v>
      </c>
      <c r="J62" s="103">
        <f>I62*References!$C$55</f>
        <v>36.348077370177599</v>
      </c>
      <c r="K62" s="103">
        <f>J62/References!$G$58</f>
        <v>37.062456213696599</v>
      </c>
      <c r="L62" s="103">
        <f t="shared" si="29"/>
        <v>3.0886378638630014</v>
      </c>
      <c r="M62" s="103">
        <f>+'Proposed Rates'!B70*8</f>
        <v>326.24</v>
      </c>
      <c r="N62" s="103">
        <f t="shared" si="16"/>
        <v>329.32863786386304</v>
      </c>
      <c r="O62" s="103">
        <f>+'Proposed Rates'!D70*8</f>
        <v>329.32863786386304</v>
      </c>
      <c r="P62" s="103">
        <f>D62*M62*References!$B$50</f>
        <v>3914.7534441068083</v>
      </c>
      <c r="Q62" s="103">
        <f>D62*O62*References!$B$50</f>
        <v>3951.8159003205046</v>
      </c>
      <c r="R62" s="103">
        <f t="shared" si="22"/>
        <v>37.06245621369635</v>
      </c>
      <c r="S62" s="103">
        <f>D62*N62*References!$B$50</f>
        <v>3951.8159003205046</v>
      </c>
      <c r="T62" s="103">
        <f t="shared" si="24"/>
        <v>0</v>
      </c>
      <c r="U62" s="118">
        <f t="shared" si="25"/>
        <v>329.32863786386304</v>
      </c>
      <c r="V62" s="118">
        <f>D62*U62*References!$B$50</f>
        <v>3951.8159003205046</v>
      </c>
      <c r="W62" s="118">
        <f t="shared" si="27"/>
        <v>37.06245621369635</v>
      </c>
      <c r="X62" s="218">
        <f>I62*(References!$C$55/References!$G$58)</f>
        <v>37.062456213696606</v>
      </c>
      <c r="Y62" s="103">
        <f t="shared" si="17"/>
        <v>-2.5579538487363607E-13</v>
      </c>
    </row>
    <row r="63" spans="1:31">
      <c r="A63" s="223"/>
      <c r="B63" s="139">
        <v>38</v>
      </c>
      <c r="C63" s="1" t="s">
        <v>120</v>
      </c>
      <c r="D63" s="86">
        <f>+'Regulated Co Provided Priceout'!K85</f>
        <v>2.4166666666666665</v>
      </c>
      <c r="E63" s="95">
        <f>+References!B12</f>
        <v>1</v>
      </c>
      <c r="F63" s="86">
        <f>D63*E63*References!$B$50</f>
        <v>29</v>
      </c>
      <c r="G63" s="86">
        <f>+References!B28</f>
        <v>29</v>
      </c>
      <c r="H63" s="86">
        <f t="shared" si="14"/>
        <v>841</v>
      </c>
      <c r="I63" s="86">
        <f t="shared" si="32"/>
        <v>540.33019818159312</v>
      </c>
      <c r="J63" s="103">
        <f>I63*References!$C$55</f>
        <v>1.0806603963631871</v>
      </c>
      <c r="K63" s="103">
        <f>J63/References!$G$58</f>
        <v>1.1018995094070072</v>
      </c>
      <c r="L63" s="103">
        <f>K63/F63</f>
        <v>3.7996534807138181E-2</v>
      </c>
      <c r="M63" s="103">
        <f>+'Proposed Rates'!B61</f>
        <v>11.6</v>
      </c>
      <c r="N63" s="103">
        <f t="shared" si="16"/>
        <v>11.637996534807138</v>
      </c>
      <c r="O63" s="103">
        <f>+'Proposed Rates'!D61</f>
        <v>11.637996534807138</v>
      </c>
      <c r="P63" s="103">
        <f t="shared" si="20"/>
        <v>336.4</v>
      </c>
      <c r="Q63" s="103">
        <f t="shared" si="21"/>
        <v>337.501899509407</v>
      </c>
      <c r="R63" s="103">
        <f t="shared" si="22"/>
        <v>1.1018995094070192</v>
      </c>
      <c r="S63" s="103">
        <f t="shared" si="23"/>
        <v>337.501899509407</v>
      </c>
      <c r="T63" s="103">
        <f t="shared" si="24"/>
        <v>0</v>
      </c>
      <c r="U63" s="118">
        <f t="shared" si="25"/>
        <v>11.637996534807138</v>
      </c>
      <c r="V63" s="118">
        <f t="shared" si="26"/>
        <v>337.501899509407</v>
      </c>
      <c r="W63" s="118">
        <f t="shared" si="27"/>
        <v>1.1018995094070192</v>
      </c>
      <c r="X63" s="218">
        <f>I63*(References!$C$55/References!$G$58)</f>
        <v>1.1018995094070074</v>
      </c>
      <c r="Y63" s="103">
        <f t="shared" si="17"/>
        <v>1.1768364061026659E-14</v>
      </c>
    </row>
    <row r="64" spans="1:31">
      <c r="A64" s="223"/>
      <c r="B64" s="139">
        <v>38</v>
      </c>
      <c r="C64" s="1" t="s">
        <v>122</v>
      </c>
      <c r="D64" s="86">
        <f>+'Regulated Co Provided Priceout'!K86</f>
        <v>247.24812499999999</v>
      </c>
      <c r="E64" s="95">
        <f>+References!B12</f>
        <v>1</v>
      </c>
      <c r="F64" s="86">
        <f>D64*E64*References!$B$50</f>
        <v>2966.9775</v>
      </c>
      <c r="G64" s="86">
        <f>+References!B28</f>
        <v>29</v>
      </c>
      <c r="H64" s="86">
        <f t="shared" si="14"/>
        <v>86042.347500000003</v>
      </c>
      <c r="I64" s="86">
        <f t="shared" si="32"/>
        <v>55280.949675011296</v>
      </c>
      <c r="J64" s="103">
        <f>I64*References!$C$55</f>
        <v>110.56189935002268</v>
      </c>
      <c r="K64" s="103">
        <f>J64/References!$G$58</f>
        <v>112.73486385074581</v>
      </c>
      <c r="L64" s="103">
        <f t="shared" ref="L64:L78" si="33">K64/F64</f>
        <v>3.7996534807138174E-2</v>
      </c>
      <c r="M64" s="103">
        <f>+'Proposed Rates'!B60</f>
        <v>4.22</v>
      </c>
      <c r="N64" s="103">
        <f t="shared" si="16"/>
        <v>4.2579965348071376</v>
      </c>
      <c r="O64" s="103">
        <f>+'Proposed Rates'!D60</f>
        <v>4.2579965348071376</v>
      </c>
      <c r="P64" s="103">
        <f t="shared" si="20"/>
        <v>12520.645049999999</v>
      </c>
      <c r="Q64" s="103">
        <f t="shared" si="21"/>
        <v>12633.379913850744</v>
      </c>
      <c r="R64" s="103">
        <f t="shared" si="22"/>
        <v>112.73486385074466</v>
      </c>
      <c r="S64" s="103">
        <f t="shared" si="23"/>
        <v>12633.379913850744</v>
      </c>
      <c r="T64" s="103">
        <f t="shared" si="24"/>
        <v>0</v>
      </c>
      <c r="U64" s="118">
        <f t="shared" si="25"/>
        <v>4.2579965348071376</v>
      </c>
      <c r="V64" s="118">
        <f t="shared" si="26"/>
        <v>12633.379913850744</v>
      </c>
      <c r="W64" s="118">
        <f t="shared" si="27"/>
        <v>112.73486385074466</v>
      </c>
      <c r="X64" s="218">
        <f>I64*(References!$C$55/References!$G$58)</f>
        <v>112.73486385074582</v>
      </c>
      <c r="Y64" s="103">
        <f t="shared" si="17"/>
        <v>-1.1652900866465643E-12</v>
      </c>
    </row>
    <row r="65" spans="1:31">
      <c r="A65" s="223"/>
      <c r="B65" s="139">
        <v>21</v>
      </c>
      <c r="C65" s="1" t="s">
        <v>124</v>
      </c>
      <c r="D65" s="86">
        <f>+'Regulated Co Provided Priceout'!K87</f>
        <v>0.16666666666666666</v>
      </c>
      <c r="E65" s="95">
        <f>+References!B12</f>
        <v>1</v>
      </c>
      <c r="F65" s="86">
        <f>D65*E65*References!$B$50</f>
        <v>2</v>
      </c>
      <c r="G65" s="89">
        <f>References!$B$26</f>
        <v>34</v>
      </c>
      <c r="H65" s="86">
        <f t="shared" si="14"/>
        <v>68</v>
      </c>
      <c r="I65" s="86">
        <f t="shared" si="32"/>
        <v>43.689005322649621</v>
      </c>
      <c r="J65" s="103">
        <f>I65*References!$C$55</f>
        <v>8.737801064529932E-2</v>
      </c>
      <c r="K65" s="103">
        <f>J65/References!$G$58</f>
        <v>8.9095322996048151E-2</v>
      </c>
      <c r="L65" s="103">
        <f t="shared" si="33"/>
        <v>4.4547661498024076E-2</v>
      </c>
      <c r="M65" s="103">
        <f>+'Proposed Rates'!B7</f>
        <v>4.12</v>
      </c>
      <c r="N65" s="103">
        <f t="shared" si="16"/>
        <v>4.1645476614980241</v>
      </c>
      <c r="O65" s="103">
        <f>+'Proposed Rates'!D7</f>
        <v>4.1645476614980241</v>
      </c>
      <c r="P65" s="103">
        <f t="shared" si="20"/>
        <v>8.24</v>
      </c>
      <c r="Q65" s="103">
        <f t="shared" si="21"/>
        <v>8.3290953229960483</v>
      </c>
      <c r="R65" s="103">
        <f t="shared" si="22"/>
        <v>8.9095322996048054E-2</v>
      </c>
      <c r="S65" s="103">
        <f t="shared" si="23"/>
        <v>8.3290953229960483</v>
      </c>
      <c r="T65" s="104">
        <f t="shared" si="24"/>
        <v>0</v>
      </c>
      <c r="U65" s="118">
        <f t="shared" si="25"/>
        <v>4.1645476614980241</v>
      </c>
      <c r="V65" s="118">
        <f t="shared" si="26"/>
        <v>8.3290953229960483</v>
      </c>
      <c r="W65" s="118">
        <f t="shared" si="27"/>
        <v>8.9095322996048054E-2</v>
      </c>
      <c r="X65" s="218">
        <f>I65*(References!$C$55/References!$G$58)</f>
        <v>8.9095322996048151E-2</v>
      </c>
      <c r="Y65" s="103">
        <f t="shared" si="17"/>
        <v>0</v>
      </c>
    </row>
    <row r="66" spans="1:31">
      <c r="A66" s="223"/>
      <c r="B66" s="139">
        <v>21</v>
      </c>
      <c r="C66" s="1" t="s">
        <v>126</v>
      </c>
      <c r="D66" s="86">
        <f>+'Regulated Co Provided Priceout'!K88</f>
        <v>0.16666666666666666</v>
      </c>
      <c r="E66" s="95">
        <f>+References!B12</f>
        <v>1</v>
      </c>
      <c r="F66" s="86">
        <f>D66*E66*References!$B$50</f>
        <v>2</v>
      </c>
      <c r="G66" s="89">
        <f>References!$B$26</f>
        <v>34</v>
      </c>
      <c r="H66" s="86">
        <f t="shared" si="14"/>
        <v>68</v>
      </c>
      <c r="I66" s="86">
        <f t="shared" si="32"/>
        <v>43.689005322649621</v>
      </c>
      <c r="J66" s="103">
        <f>I66*References!$C$55</f>
        <v>8.737801064529932E-2</v>
      </c>
      <c r="K66" s="103">
        <f>J66/References!$G$58</f>
        <v>8.9095322996048151E-2</v>
      </c>
      <c r="L66" s="103">
        <f t="shared" si="33"/>
        <v>4.4547661498024076E-2</v>
      </c>
      <c r="M66" s="103">
        <f>+'Proposed Rates'!B7</f>
        <v>4.12</v>
      </c>
      <c r="N66" s="103">
        <f t="shared" si="16"/>
        <v>4.1645476614980241</v>
      </c>
      <c r="O66" s="103">
        <f>+'Proposed Rates'!D7</f>
        <v>4.1645476614980241</v>
      </c>
      <c r="P66" s="103">
        <f t="shared" si="20"/>
        <v>8.24</v>
      </c>
      <c r="Q66" s="103">
        <f t="shared" si="21"/>
        <v>8.3290953229960483</v>
      </c>
      <c r="R66" s="103">
        <f t="shared" si="22"/>
        <v>8.9095322996048054E-2</v>
      </c>
      <c r="S66" s="103">
        <f t="shared" si="23"/>
        <v>8.3290953229960483</v>
      </c>
      <c r="T66" s="104">
        <f t="shared" si="24"/>
        <v>0</v>
      </c>
      <c r="U66" s="118">
        <f t="shared" si="25"/>
        <v>4.1645476614980241</v>
      </c>
      <c r="V66" s="118">
        <f t="shared" si="26"/>
        <v>8.3290953229960483</v>
      </c>
      <c r="W66" s="118">
        <f t="shared" si="27"/>
        <v>8.9095322996048054E-2</v>
      </c>
      <c r="X66" s="218">
        <f>I66*(References!$C$55/References!$G$58)</f>
        <v>8.9095322996048151E-2</v>
      </c>
      <c r="Y66" s="103">
        <f t="shared" si="17"/>
        <v>0</v>
      </c>
    </row>
    <row r="67" spans="1:31">
      <c r="A67" s="223"/>
      <c r="B67" s="139">
        <v>37</v>
      </c>
      <c r="C67" s="1" t="s">
        <v>128</v>
      </c>
      <c r="D67" s="86">
        <f>+'Regulated Co Provided Priceout'!K89</f>
        <v>1.5</v>
      </c>
      <c r="E67" s="95">
        <f>+References!B12</f>
        <v>1</v>
      </c>
      <c r="F67" s="86">
        <f>D67*E67*References!$B$50</f>
        <v>18</v>
      </c>
      <c r="G67" s="86">
        <f>+References!B29</f>
        <v>175</v>
      </c>
      <c r="H67" s="86">
        <f t="shared" si="14"/>
        <v>3150</v>
      </c>
      <c r="I67" s="86">
        <f t="shared" si="32"/>
        <v>2023.8289230345044</v>
      </c>
      <c r="J67" s="103">
        <f>I67*References!$C$55</f>
        <v>4.0476578460690122</v>
      </c>
      <c r="K67" s="103">
        <f>J67/References!$G$58</f>
        <v>4.1272098152581123</v>
      </c>
      <c r="L67" s="103">
        <f t="shared" si="33"/>
        <v>0.22928943418100622</v>
      </c>
      <c r="M67" s="103">
        <f>+'Proposed Rates'!B43</f>
        <v>37.93</v>
      </c>
      <c r="N67" s="103">
        <f t="shared" si="16"/>
        <v>38.159289434181005</v>
      </c>
      <c r="O67" s="103">
        <f>+'Proposed Rates'!D43</f>
        <v>38.159289434181005</v>
      </c>
      <c r="P67" s="103">
        <f t="shared" si="20"/>
        <v>682.74</v>
      </c>
      <c r="Q67" s="103">
        <f t="shared" si="21"/>
        <v>686.86720981525809</v>
      </c>
      <c r="R67" s="103">
        <f t="shared" si="22"/>
        <v>4.1272098152580838</v>
      </c>
      <c r="S67" s="103">
        <f t="shared" si="23"/>
        <v>686.86720981525809</v>
      </c>
      <c r="T67" s="103">
        <f t="shared" si="24"/>
        <v>0</v>
      </c>
      <c r="U67" s="118">
        <f t="shared" si="25"/>
        <v>38.159289434181005</v>
      </c>
      <c r="V67" s="118">
        <f t="shared" si="26"/>
        <v>686.86720981525809</v>
      </c>
      <c r="W67" s="118">
        <f t="shared" si="27"/>
        <v>4.1272098152580838</v>
      </c>
      <c r="X67" s="218">
        <f>I67*(References!$C$55/References!$G$58)</f>
        <v>4.1272098152581131</v>
      </c>
      <c r="Y67" s="103">
        <f t="shared" si="17"/>
        <v>-2.9309887850104133E-14</v>
      </c>
    </row>
    <row r="68" spans="1:31">
      <c r="A68" s="223"/>
      <c r="B68" s="139">
        <v>37</v>
      </c>
      <c r="C68" s="1" t="s">
        <v>130</v>
      </c>
      <c r="D68" s="86">
        <f>+'Regulated Co Provided Priceout'!K90</f>
        <v>2.416666666666667</v>
      </c>
      <c r="E68" s="95">
        <f>+References!B12</f>
        <v>1</v>
      </c>
      <c r="F68" s="86">
        <f>D68*E68*References!$B$50</f>
        <v>29.000000000000004</v>
      </c>
      <c r="G68" s="86">
        <f>+References!B30</f>
        <v>250</v>
      </c>
      <c r="H68" s="86">
        <f t="shared" si="14"/>
        <v>7250.0000000000009</v>
      </c>
      <c r="I68" s="86">
        <f t="shared" si="32"/>
        <v>4658.0189498413201</v>
      </c>
      <c r="J68" s="103">
        <f>I68*References!$C$55</f>
        <v>9.3160378996826481</v>
      </c>
      <c r="K68" s="103">
        <f>J68/References!$G$58</f>
        <v>9.4991337017845456</v>
      </c>
      <c r="L68" s="103">
        <f t="shared" si="33"/>
        <v>0.32755633454429461</v>
      </c>
      <c r="M68" s="103">
        <f>+'Proposed Rates'!B44</f>
        <v>54.53</v>
      </c>
      <c r="N68" s="103">
        <f t="shared" si="16"/>
        <v>54.857556334544299</v>
      </c>
      <c r="O68" s="103">
        <f>+'Proposed Rates'!D44</f>
        <v>54.857556334544299</v>
      </c>
      <c r="P68" s="103">
        <f t="shared" si="20"/>
        <v>1581.3700000000001</v>
      </c>
      <c r="Q68" s="103">
        <f t="shared" si="21"/>
        <v>1590.8691337017849</v>
      </c>
      <c r="R68" s="103">
        <f t="shared" si="22"/>
        <v>9.4991337017847854</v>
      </c>
      <c r="S68" s="103">
        <f t="shared" si="23"/>
        <v>1590.8691337017849</v>
      </c>
      <c r="T68" s="103">
        <f t="shared" si="24"/>
        <v>0</v>
      </c>
      <c r="U68" s="118">
        <f t="shared" si="25"/>
        <v>54.857556334544299</v>
      </c>
      <c r="V68" s="118">
        <f t="shared" si="26"/>
        <v>1590.8691337017849</v>
      </c>
      <c r="W68" s="118">
        <f t="shared" si="27"/>
        <v>9.4991337017847854</v>
      </c>
      <c r="X68" s="218">
        <f>I68*(References!$C$55/References!$G$58)</f>
        <v>9.4991337017845456</v>
      </c>
      <c r="Y68" s="103">
        <f t="shared" si="17"/>
        <v>2.3980817331903381E-13</v>
      </c>
    </row>
    <row r="69" spans="1:31">
      <c r="A69" s="223"/>
      <c r="B69" s="139">
        <v>37</v>
      </c>
      <c r="C69" s="1" t="s">
        <v>132</v>
      </c>
      <c r="D69" s="86">
        <f>+'Regulated Co Provided Priceout'!K91</f>
        <v>1.5</v>
      </c>
      <c r="E69" s="95">
        <f>+References!B12</f>
        <v>1</v>
      </c>
      <c r="F69" s="86">
        <f>D69*E69*References!$B$50</f>
        <v>18</v>
      </c>
      <c r="G69" s="86">
        <f>+References!B32</f>
        <v>324</v>
      </c>
      <c r="H69" s="86">
        <f t="shared" si="14"/>
        <v>5832</v>
      </c>
      <c r="I69" s="86">
        <f t="shared" si="32"/>
        <v>3746.9746917895968</v>
      </c>
      <c r="J69" s="103">
        <f>I69*References!$C$55</f>
        <v>7.4939493835792002</v>
      </c>
      <c r="K69" s="103">
        <f>J69/References!$G$58</f>
        <v>7.6412341722493062</v>
      </c>
      <c r="L69" s="103">
        <f t="shared" si="33"/>
        <v>0.42451300956940591</v>
      </c>
      <c r="M69" s="103">
        <f>+'Proposed Rates'!B45</f>
        <v>64.209999999999994</v>
      </c>
      <c r="N69" s="103">
        <f t="shared" si="16"/>
        <v>64.634513009569403</v>
      </c>
      <c r="O69" s="103">
        <f>+'Proposed Rates'!D45</f>
        <v>64.634513009569403</v>
      </c>
      <c r="P69" s="103">
        <f t="shared" si="20"/>
        <v>1155.78</v>
      </c>
      <c r="Q69" s="103">
        <f t="shared" si="21"/>
        <v>1163.4212341722493</v>
      </c>
      <c r="R69" s="103">
        <f t="shared" si="22"/>
        <v>7.6412341722493693</v>
      </c>
      <c r="S69" s="103">
        <f t="shared" si="23"/>
        <v>1163.4212341722493</v>
      </c>
      <c r="T69" s="103">
        <f t="shared" si="24"/>
        <v>0</v>
      </c>
      <c r="U69" s="118">
        <f t="shared" si="25"/>
        <v>64.634513009569403</v>
      </c>
      <c r="V69" s="118">
        <f t="shared" si="26"/>
        <v>1163.4212341722493</v>
      </c>
      <c r="W69" s="118">
        <f t="shared" si="27"/>
        <v>7.6412341722493693</v>
      </c>
      <c r="X69" s="218">
        <f>I69*(References!$C$55/References!$G$58)</f>
        <v>7.6412341722493062</v>
      </c>
      <c r="Y69" s="103">
        <f t="shared" si="17"/>
        <v>6.3060667798708891E-14</v>
      </c>
    </row>
    <row r="70" spans="1:31">
      <c r="A70" s="223"/>
      <c r="B70" s="139">
        <v>37</v>
      </c>
      <c r="C70" s="1" t="s">
        <v>134</v>
      </c>
      <c r="D70" s="86">
        <f>+'Regulated Co Provided Priceout'!K92</f>
        <v>0.4049834310476676</v>
      </c>
      <c r="E70" s="95">
        <f>+References!B12</f>
        <v>1</v>
      </c>
      <c r="F70" s="86">
        <f>D70*E70*References!$B$50</f>
        <v>4.8598011725720109</v>
      </c>
      <c r="G70" s="86">
        <f>+References!B33</f>
        <v>473</v>
      </c>
      <c r="H70" s="86">
        <f t="shared" si="14"/>
        <v>2298.6859546265614</v>
      </c>
      <c r="I70" s="86">
        <f t="shared" si="32"/>
        <v>1476.8721015702906</v>
      </c>
      <c r="J70" s="103">
        <f>I70*References!$C$55</f>
        <v>2.9537442031405838</v>
      </c>
      <c r="K70" s="103">
        <f>J70/References!$G$58</f>
        <v>3.0117965822637172</v>
      </c>
      <c r="L70" s="103">
        <f t="shared" si="33"/>
        <v>0.61973658495780559</v>
      </c>
      <c r="M70" s="103">
        <f>+'Proposed Rates'!B46</f>
        <v>82.71</v>
      </c>
      <c r="N70" s="103">
        <f t="shared" si="16"/>
        <v>83.3297365849578</v>
      </c>
      <c r="O70" s="103">
        <f>+'Proposed Rates'!D46</f>
        <v>83.3297365849578</v>
      </c>
      <c r="P70" s="103">
        <f t="shared" si="20"/>
        <v>401.95415498343101</v>
      </c>
      <c r="Q70" s="103">
        <f t="shared" si="21"/>
        <v>404.9659515656947</v>
      </c>
      <c r="R70" s="103">
        <f t="shared" si="22"/>
        <v>3.0117965822636847</v>
      </c>
      <c r="S70" s="103">
        <f t="shared" si="23"/>
        <v>404.9659515656947</v>
      </c>
      <c r="T70" s="103">
        <f t="shared" si="24"/>
        <v>0</v>
      </c>
      <c r="U70" s="118">
        <f t="shared" si="25"/>
        <v>83.3297365849578</v>
      </c>
      <c r="V70" s="118">
        <f t="shared" si="26"/>
        <v>404.9659515656947</v>
      </c>
      <c r="W70" s="118">
        <f t="shared" si="27"/>
        <v>3.0117965822636847</v>
      </c>
      <c r="X70" s="218">
        <f>I70*(References!$C$55/References!$G$58)</f>
        <v>3.0117965822637172</v>
      </c>
      <c r="Y70" s="103">
        <f t="shared" si="17"/>
        <v>-3.2418512319054571E-14</v>
      </c>
    </row>
    <row r="71" spans="1:31">
      <c r="A71" s="223"/>
      <c r="B71" s="139">
        <v>37</v>
      </c>
      <c r="C71" s="1" t="s">
        <v>136</v>
      </c>
      <c r="D71" s="86">
        <f>+'Regulated Co Provided Priceout'!K93</f>
        <v>1.1666666666666665</v>
      </c>
      <c r="E71" s="95">
        <f>+References!B12</f>
        <v>1</v>
      </c>
      <c r="F71" s="86">
        <f>D71*E71*References!$B$50</f>
        <v>13.999999999999998</v>
      </c>
      <c r="G71" s="86">
        <f>+References!B35</f>
        <v>613</v>
      </c>
      <c r="H71" s="86">
        <f t="shared" si="14"/>
        <v>8581.9999999999982</v>
      </c>
      <c r="I71" s="86">
        <f t="shared" si="32"/>
        <v>5513.8094658673372</v>
      </c>
      <c r="J71" s="103">
        <f>I71*References!$C$55</f>
        <v>11.027618931734684</v>
      </c>
      <c r="K71" s="103">
        <f>J71/References!$G$58</f>
        <v>11.244353852236545</v>
      </c>
      <c r="L71" s="103">
        <f t="shared" si="33"/>
        <v>0.80316813230261042</v>
      </c>
      <c r="M71" s="103">
        <f>+'Proposed Rates'!B47</f>
        <v>102.43</v>
      </c>
      <c r="N71" s="103">
        <f t="shared" si="16"/>
        <v>103.23316813230262</v>
      </c>
      <c r="O71" s="103">
        <f>+'Proposed Rates'!D47</f>
        <v>103.23316813230262</v>
      </c>
      <c r="P71" s="103">
        <f t="shared" si="20"/>
        <v>1434.02</v>
      </c>
      <c r="Q71" s="103">
        <f t="shared" si="21"/>
        <v>1445.2643538522366</v>
      </c>
      <c r="R71" s="103">
        <f t="shared" si="22"/>
        <v>11.2443538522366</v>
      </c>
      <c r="S71" s="103">
        <f t="shared" si="23"/>
        <v>1445.2643538522366</v>
      </c>
      <c r="T71" s="103">
        <f t="shared" si="24"/>
        <v>0</v>
      </c>
      <c r="U71" s="118">
        <f t="shared" si="25"/>
        <v>103.23316813230262</v>
      </c>
      <c r="V71" s="118">
        <f t="shared" si="26"/>
        <v>1445.2643538522366</v>
      </c>
      <c r="W71" s="118">
        <f t="shared" si="27"/>
        <v>11.2443538522366</v>
      </c>
      <c r="X71" s="218">
        <f>I71*(References!$C$55/References!$G$58)</f>
        <v>11.244353852236545</v>
      </c>
      <c r="Y71" s="103">
        <f t="shared" si="17"/>
        <v>5.5067062021407764E-14</v>
      </c>
    </row>
    <row r="72" spans="1:31" s="80" customFormat="1">
      <c r="A72" s="223"/>
      <c r="B72" s="139">
        <v>37</v>
      </c>
      <c r="C72" s="80" t="s">
        <v>363</v>
      </c>
      <c r="D72" s="86">
        <f>+'Regulated Co Provided Priceout'!K94</f>
        <v>5.1580635308491142E-2</v>
      </c>
      <c r="E72" s="95">
        <f>+References!B12</f>
        <v>1</v>
      </c>
      <c r="F72" s="86">
        <f>D72*E72*References!$B$50</f>
        <v>0.61896762370189373</v>
      </c>
      <c r="G72" s="86">
        <f>+References!B37</f>
        <v>840</v>
      </c>
      <c r="H72" s="86">
        <f t="shared" ref="H72" si="34">F72*G72</f>
        <v>519.93280390959069</v>
      </c>
      <c r="I72" s="86">
        <f t="shared" si="32"/>
        <v>334.04922113862131</v>
      </c>
      <c r="J72" s="103">
        <f>I72*References!$C$55</f>
        <v>0.66809844227724324</v>
      </c>
      <c r="K72" s="103">
        <f>J72/References!$G$58</f>
        <v>0.68122913383185224</v>
      </c>
      <c r="L72" s="103">
        <f t="shared" si="33"/>
        <v>1.1005892840688301</v>
      </c>
      <c r="M72" s="103">
        <f>+'Proposed Rates'!B48</f>
        <v>138.06</v>
      </c>
      <c r="N72" s="103">
        <f t="shared" si="16"/>
        <v>139.16058928406883</v>
      </c>
      <c r="O72" s="103">
        <f>+'Proposed Rates'!D48</f>
        <v>139.16058928406883</v>
      </c>
      <c r="P72" s="103">
        <f t="shared" si="20"/>
        <v>85.454670128283453</v>
      </c>
      <c r="Q72" s="103">
        <f t="shared" si="21"/>
        <v>86.135899262115302</v>
      </c>
      <c r="R72" s="103">
        <f t="shared" si="22"/>
        <v>0.6812291338318488</v>
      </c>
      <c r="S72" s="103">
        <f t="shared" si="23"/>
        <v>86.135899262115302</v>
      </c>
      <c r="T72" s="103">
        <f t="shared" si="24"/>
        <v>0</v>
      </c>
      <c r="U72" s="118">
        <f t="shared" si="25"/>
        <v>139.16058928406883</v>
      </c>
      <c r="V72" s="118">
        <f t="shared" si="26"/>
        <v>86.135899262115302</v>
      </c>
      <c r="W72" s="118">
        <f t="shared" si="27"/>
        <v>0.6812291338318488</v>
      </c>
      <c r="X72" s="218">
        <f>I72*(References!$C$55/References!$G$58)</f>
        <v>0.68122913383185224</v>
      </c>
      <c r="Y72" s="103">
        <f t="shared" si="17"/>
        <v>-3.4416913763379853E-15</v>
      </c>
      <c r="AA72"/>
      <c r="AB72"/>
      <c r="AC72"/>
      <c r="AD72"/>
      <c r="AE72"/>
    </row>
    <row r="73" spans="1:31">
      <c r="A73" s="223"/>
      <c r="B73" s="139">
        <v>37</v>
      </c>
      <c r="C73" s="1" t="s">
        <v>138</v>
      </c>
      <c r="D73" s="86">
        <f>+'Regulated Co Provided Priceout'!K95</f>
        <v>0.75</v>
      </c>
      <c r="E73" s="95">
        <f>+References!B12</f>
        <v>1</v>
      </c>
      <c r="F73" s="86">
        <f>D73*E73*References!$B$50</f>
        <v>9</v>
      </c>
      <c r="G73" s="86">
        <f>+References!B30</f>
        <v>250</v>
      </c>
      <c r="H73" s="86">
        <f t="shared" si="14"/>
        <v>2250</v>
      </c>
      <c r="I73" s="86">
        <f t="shared" si="32"/>
        <v>1445.592087881789</v>
      </c>
      <c r="J73" s="103">
        <f>I73*References!$C$55</f>
        <v>2.8911841757635806</v>
      </c>
      <c r="K73" s="103">
        <f>J73/References!$G$58</f>
        <v>2.9480070108986522</v>
      </c>
      <c r="L73" s="103">
        <f t="shared" si="33"/>
        <v>0.32755633454429467</v>
      </c>
      <c r="M73" s="103">
        <f>+'Proposed Rates'!B52</f>
        <v>27.33</v>
      </c>
      <c r="N73" s="103">
        <f t="shared" si="16"/>
        <v>27.657556334544292</v>
      </c>
      <c r="O73" s="103">
        <f>+'Proposed Rates'!D52</f>
        <v>27.657556334544292</v>
      </c>
      <c r="P73" s="103">
        <f t="shared" si="20"/>
        <v>245.96999999999997</v>
      </c>
      <c r="Q73" s="103">
        <f t="shared" si="21"/>
        <v>248.91800701089863</v>
      </c>
      <c r="R73" s="103">
        <f t="shared" si="22"/>
        <v>2.9480070108986638</v>
      </c>
      <c r="S73" s="103">
        <f t="shared" si="23"/>
        <v>248.91800701089863</v>
      </c>
      <c r="T73" s="103">
        <f t="shared" si="24"/>
        <v>0</v>
      </c>
      <c r="U73" s="118">
        <f t="shared" si="25"/>
        <v>27.657556334544292</v>
      </c>
      <c r="V73" s="118">
        <f t="shared" si="26"/>
        <v>248.91800701089863</v>
      </c>
      <c r="W73" s="118">
        <f t="shared" si="27"/>
        <v>2.9480070108986638</v>
      </c>
      <c r="X73" s="218">
        <f>I73*(References!$C$55/References!$G$58)</f>
        <v>2.9480070108986522</v>
      </c>
      <c r="Y73" s="103">
        <f t="shared" si="17"/>
        <v>1.1546319456101628E-14</v>
      </c>
    </row>
    <row r="74" spans="1:31">
      <c r="A74" s="223"/>
      <c r="B74" s="139">
        <v>37</v>
      </c>
      <c r="C74" s="1" t="s">
        <v>140</v>
      </c>
      <c r="D74" s="86">
        <f>+'Regulated Co Provided Priceout'!K96</f>
        <v>1.0833333333333333</v>
      </c>
      <c r="E74" s="95">
        <f>+References!B12</f>
        <v>1</v>
      </c>
      <c r="F74" s="86">
        <f>D74*E74*References!$B$50</f>
        <v>13</v>
      </c>
      <c r="G74" s="86">
        <f>+References!B29</f>
        <v>175</v>
      </c>
      <c r="H74" s="86">
        <f t="shared" si="14"/>
        <v>2275</v>
      </c>
      <c r="I74" s="86">
        <f t="shared" si="32"/>
        <v>1461.6542221915865</v>
      </c>
      <c r="J74" s="103">
        <f>I74*References!$C$55</f>
        <v>2.9233084443831756</v>
      </c>
      <c r="K74" s="103">
        <f>J74/References!$G$58</f>
        <v>2.9807626443530815</v>
      </c>
      <c r="L74" s="103">
        <f t="shared" si="33"/>
        <v>0.22928943418100628</v>
      </c>
      <c r="M74" s="103">
        <f>+'Proposed Rates'!B51</f>
        <v>18.13</v>
      </c>
      <c r="N74" s="103">
        <f t="shared" si="16"/>
        <v>18.359289434181004</v>
      </c>
      <c r="O74" s="103">
        <f>+'Proposed Rates'!D51</f>
        <v>18.359289434181004</v>
      </c>
      <c r="P74" s="103">
        <f t="shared" si="20"/>
        <v>235.69</v>
      </c>
      <c r="Q74" s="103">
        <f t="shared" si="21"/>
        <v>238.67076264435306</v>
      </c>
      <c r="R74" s="103">
        <f t="shared" si="22"/>
        <v>2.9807626443530637</v>
      </c>
      <c r="S74" s="103">
        <f t="shared" si="23"/>
        <v>238.67076264435306</v>
      </c>
      <c r="T74" s="103">
        <f t="shared" si="24"/>
        <v>0</v>
      </c>
      <c r="U74" s="118">
        <f t="shared" si="25"/>
        <v>18.359289434181004</v>
      </c>
      <c r="V74" s="118">
        <f t="shared" si="26"/>
        <v>238.67076264435306</v>
      </c>
      <c r="W74" s="118">
        <f t="shared" si="27"/>
        <v>2.9807626443530637</v>
      </c>
      <c r="X74" s="218">
        <f>I74*(References!$C$55/References!$G$58)</f>
        <v>2.9807626443530815</v>
      </c>
      <c r="Y74" s="103">
        <f t="shared" si="17"/>
        <v>-1.7763568394002505E-14</v>
      </c>
    </row>
    <row r="75" spans="1:31">
      <c r="A75" s="223"/>
      <c r="B75" s="139">
        <v>37</v>
      </c>
      <c r="C75" s="1" t="s">
        <v>142</v>
      </c>
      <c r="D75" s="86">
        <f>+'Regulated Co Provided Priceout'!K97</f>
        <v>1.5</v>
      </c>
      <c r="E75" s="95">
        <f>+References!B12</f>
        <v>1</v>
      </c>
      <c r="F75" s="86">
        <f>D75*E75*References!$B$50</f>
        <v>18</v>
      </c>
      <c r="G75" s="86">
        <f>+References!B32</f>
        <v>324</v>
      </c>
      <c r="H75" s="86">
        <f t="shared" si="14"/>
        <v>5832</v>
      </c>
      <c r="I75" s="86">
        <f t="shared" si="32"/>
        <v>3746.9746917895968</v>
      </c>
      <c r="J75" s="103">
        <f>I75*References!$C$55</f>
        <v>7.4939493835792002</v>
      </c>
      <c r="K75" s="103">
        <f>J75/References!$G$58</f>
        <v>7.6412341722493062</v>
      </c>
      <c r="L75" s="103">
        <f t="shared" si="33"/>
        <v>0.42451300956940591</v>
      </c>
      <c r="M75" s="103">
        <f>+'Proposed Rates'!B53</f>
        <v>37.76</v>
      </c>
      <c r="N75" s="103">
        <f t="shared" si="16"/>
        <v>38.184513009569407</v>
      </c>
      <c r="O75" s="103">
        <f>+'Proposed Rates'!D53</f>
        <v>38.184513009569407</v>
      </c>
      <c r="P75" s="103">
        <f t="shared" si="20"/>
        <v>679.68</v>
      </c>
      <c r="Q75" s="103">
        <f t="shared" si="21"/>
        <v>687.32123417224932</v>
      </c>
      <c r="R75" s="103">
        <f t="shared" si="22"/>
        <v>7.6412341722493693</v>
      </c>
      <c r="S75" s="103">
        <f t="shared" si="23"/>
        <v>687.32123417224932</v>
      </c>
      <c r="T75" s="103">
        <f t="shared" si="24"/>
        <v>0</v>
      </c>
      <c r="U75" s="118">
        <f t="shared" si="25"/>
        <v>38.184513009569407</v>
      </c>
      <c r="V75" s="118">
        <f t="shared" si="26"/>
        <v>687.32123417224932</v>
      </c>
      <c r="W75" s="118">
        <f t="shared" si="27"/>
        <v>7.6412341722493693</v>
      </c>
      <c r="X75" s="218">
        <f>I75*(References!$C$55/References!$G$58)</f>
        <v>7.6412341722493062</v>
      </c>
      <c r="Y75" s="103">
        <f t="shared" si="17"/>
        <v>6.3060667798708891E-14</v>
      </c>
    </row>
    <row r="76" spans="1:31">
      <c r="A76" s="223"/>
      <c r="B76" s="139">
        <v>37</v>
      </c>
      <c r="C76" s="1" t="s">
        <v>144</v>
      </c>
      <c r="D76" s="86">
        <f>+'Regulated Co Provided Priceout'!K98</f>
        <v>0.99999999999999989</v>
      </c>
      <c r="E76" s="95">
        <f>+References!B12</f>
        <v>1</v>
      </c>
      <c r="F76" s="86">
        <f>D76*E76*References!$B$50</f>
        <v>11.999999999999998</v>
      </c>
      <c r="G76" s="86">
        <f>+References!B33</f>
        <v>473</v>
      </c>
      <c r="H76" s="86">
        <f t="shared" si="14"/>
        <v>5675.9999999999991</v>
      </c>
      <c r="I76" s="86">
        <f t="shared" si="32"/>
        <v>3646.746973696459</v>
      </c>
      <c r="J76" s="103">
        <f>I76*References!$C$55</f>
        <v>7.2934939473929248</v>
      </c>
      <c r="K76" s="103">
        <f>J76/References!$G$58</f>
        <v>7.4368390194936653</v>
      </c>
      <c r="L76" s="103">
        <f t="shared" si="33"/>
        <v>0.61973658495780548</v>
      </c>
      <c r="M76" s="103">
        <f>+'Proposed Rates'!B54</f>
        <v>50.65</v>
      </c>
      <c r="N76" s="103">
        <f t="shared" si="16"/>
        <v>51.269736584957805</v>
      </c>
      <c r="O76" s="103">
        <f>+'Proposed Rates'!D54</f>
        <v>51.269736584957805</v>
      </c>
      <c r="P76" s="103">
        <f t="shared" si="20"/>
        <v>607.79999999999984</v>
      </c>
      <c r="Q76" s="103">
        <f t="shared" si="21"/>
        <v>615.23683901949357</v>
      </c>
      <c r="R76" s="103">
        <f t="shared" si="22"/>
        <v>7.4368390194937319</v>
      </c>
      <c r="S76" s="103">
        <f t="shared" si="23"/>
        <v>615.23683901949357</v>
      </c>
      <c r="T76" s="103">
        <f t="shared" si="24"/>
        <v>0</v>
      </c>
      <c r="U76" s="118">
        <f t="shared" si="25"/>
        <v>51.269736584957805</v>
      </c>
      <c r="V76" s="118">
        <f t="shared" si="26"/>
        <v>615.23683901949357</v>
      </c>
      <c r="W76" s="118">
        <f t="shared" si="27"/>
        <v>7.4368390194937319</v>
      </c>
      <c r="X76" s="218">
        <f>I76*(References!$C$55/References!$G$58)</f>
        <v>7.4368390194936653</v>
      </c>
      <c r="Y76" s="103">
        <f t="shared" si="17"/>
        <v>6.6613381477509392E-14</v>
      </c>
    </row>
    <row r="77" spans="1:31">
      <c r="A77" s="223"/>
      <c r="B77" s="139">
        <v>37</v>
      </c>
      <c r="C77" s="1" t="s">
        <v>146</v>
      </c>
      <c r="D77" s="86">
        <f>+'Regulated Co Provided Priceout'!K99</f>
        <v>6.5</v>
      </c>
      <c r="E77" s="95">
        <f>+References!B12</f>
        <v>1</v>
      </c>
      <c r="F77" s="86">
        <f>D77*E77*References!$B$50</f>
        <v>78</v>
      </c>
      <c r="G77" s="86">
        <f>+References!B35</f>
        <v>613</v>
      </c>
      <c r="H77" s="86">
        <f t="shared" si="14"/>
        <v>47814</v>
      </c>
      <c r="I77" s="86">
        <f t="shared" si="32"/>
        <v>30719.795595546602</v>
      </c>
      <c r="J77" s="103">
        <f>I77*References!$C$55</f>
        <v>61.439591191093257</v>
      </c>
      <c r="K77" s="103">
        <f>J77/References!$G$58</f>
        <v>62.647114319603617</v>
      </c>
      <c r="L77" s="103">
        <f t="shared" si="33"/>
        <v>0.80316813230261042</v>
      </c>
      <c r="M77" s="103">
        <f>+'Proposed Rates'!B55</f>
        <v>66.47</v>
      </c>
      <c r="N77" s="103">
        <f t="shared" si="16"/>
        <v>67.273168132302615</v>
      </c>
      <c r="O77" s="103">
        <f>+'Proposed Rates'!D55</f>
        <v>67.273168132302615</v>
      </c>
      <c r="P77" s="103">
        <f t="shared" si="20"/>
        <v>5184.66</v>
      </c>
      <c r="Q77" s="103">
        <f t="shared" si="21"/>
        <v>5247.3071143196039</v>
      </c>
      <c r="R77" s="103">
        <f t="shared" si="22"/>
        <v>62.647114319604043</v>
      </c>
      <c r="S77" s="103">
        <f t="shared" si="23"/>
        <v>5247.3071143196039</v>
      </c>
      <c r="T77" s="103">
        <f t="shared" si="24"/>
        <v>0</v>
      </c>
      <c r="U77" s="118">
        <f t="shared" si="25"/>
        <v>67.273168132302615</v>
      </c>
      <c r="V77" s="118">
        <f t="shared" si="26"/>
        <v>5247.3071143196039</v>
      </c>
      <c r="W77" s="118">
        <f t="shared" si="27"/>
        <v>62.647114319604043</v>
      </c>
      <c r="X77" s="218">
        <f>I77*(References!$C$55/References!$G$58)</f>
        <v>62.647114319603624</v>
      </c>
      <c r="Y77" s="103">
        <f t="shared" si="17"/>
        <v>4.1922021409845911E-13</v>
      </c>
    </row>
    <row r="78" spans="1:31">
      <c r="A78" s="223"/>
      <c r="B78" s="139">
        <v>30</v>
      </c>
      <c r="C78" s="1" t="s">
        <v>148</v>
      </c>
      <c r="D78" s="86">
        <f>+'Regulated Co Provided Priceout'!K100</f>
        <v>22.254260395364692</v>
      </c>
      <c r="E78" s="95">
        <f>+References!B12</f>
        <v>1</v>
      </c>
      <c r="F78" s="86">
        <f>D78*E78*References!$B$50</f>
        <v>267.0511247443763</v>
      </c>
      <c r="G78" s="86">
        <f>+References!B48</f>
        <v>125</v>
      </c>
      <c r="H78" s="86">
        <f t="shared" si="14"/>
        <v>33381.390593047036</v>
      </c>
      <c r="I78" s="86">
        <f t="shared" si="32"/>
        <v>21447.055166133498</v>
      </c>
      <c r="J78" s="103">
        <f>I78*References!$C$55</f>
        <v>42.894110332267033</v>
      </c>
      <c r="K78" s="103">
        <f>J78/References!$G$58</f>
        <v>43.737143778599538</v>
      </c>
      <c r="L78" s="103">
        <f t="shared" si="33"/>
        <v>0.16377816727214731</v>
      </c>
      <c r="M78" s="103">
        <f>+'Proposed Rates'!B27</f>
        <v>20.62</v>
      </c>
      <c r="N78" s="103">
        <f t="shared" si="16"/>
        <v>20.78377816727215</v>
      </c>
      <c r="O78" s="103">
        <f>+'Proposed Rates'!D27</f>
        <v>20.78377816727215</v>
      </c>
      <c r="P78" s="103">
        <f t="shared" si="20"/>
        <v>5506.5941922290394</v>
      </c>
      <c r="Q78" s="103">
        <f t="shared" si="21"/>
        <v>5550.331336007639</v>
      </c>
      <c r="R78" s="103">
        <f t="shared" si="22"/>
        <v>43.737143778599602</v>
      </c>
      <c r="S78" s="103">
        <f t="shared" si="23"/>
        <v>5550.331336007639</v>
      </c>
      <c r="T78" s="103">
        <f t="shared" si="24"/>
        <v>0</v>
      </c>
      <c r="U78" s="118">
        <f t="shared" si="25"/>
        <v>20.78377816727215</v>
      </c>
      <c r="V78" s="118">
        <f t="shared" si="26"/>
        <v>5550.331336007639</v>
      </c>
      <c r="W78" s="118">
        <f t="shared" si="27"/>
        <v>43.737143778599602</v>
      </c>
      <c r="X78" s="218">
        <f>I78*(References!$C$55/References!$G$58)</f>
        <v>43.737143778599538</v>
      </c>
      <c r="Y78" s="103">
        <f t="shared" si="17"/>
        <v>6.3948846218409017E-14</v>
      </c>
    </row>
    <row r="79" spans="1:31">
      <c r="A79" s="70"/>
      <c r="B79" s="68"/>
      <c r="C79" s="66" t="s">
        <v>0</v>
      </c>
      <c r="D79" s="87">
        <f>SUM(D25:D78)</f>
        <v>1030.718207219533</v>
      </c>
      <c r="E79" s="96"/>
      <c r="F79" s="87">
        <f>SUM(F25:F78)</f>
        <v>43728.070828124888</v>
      </c>
      <c r="G79" s="88"/>
      <c r="H79" s="87">
        <f>SUM(H25:H78)</f>
        <v>9157331.9870257415</v>
      </c>
      <c r="I79" s="87">
        <f>SUM(I25:I78)</f>
        <v>5883451.8518005451</v>
      </c>
      <c r="J79" s="105"/>
      <c r="K79" s="105"/>
      <c r="L79" s="106"/>
      <c r="M79" s="106"/>
      <c r="N79" s="106"/>
      <c r="O79" s="106"/>
      <c r="P79" s="105">
        <f>SUM(P25:P78)</f>
        <v>911462.30913986242</v>
      </c>
      <c r="Q79" s="105">
        <f>SUM(Q25:Q78)</f>
        <v>923460.47753936436</v>
      </c>
      <c r="R79" s="105">
        <f>SUM(R25:R78)</f>
        <v>11998.168399501505</v>
      </c>
      <c r="S79" s="105">
        <f>SUM(S25:S78)</f>
        <v>923460.47753936436</v>
      </c>
      <c r="T79" s="105">
        <f>SUM(T25:T78)</f>
        <v>0</v>
      </c>
      <c r="U79" s="105"/>
      <c r="V79" s="105">
        <f>SUM(V25:V78)</f>
        <v>923460.47753936436</v>
      </c>
      <c r="W79" s="105">
        <f>SUM(W25:W78)</f>
        <v>11998.168399501505</v>
      </c>
    </row>
    <row r="80" spans="1:31">
      <c r="C80" s="69" t="s">
        <v>441</v>
      </c>
      <c r="D80" s="90">
        <f>+D24+D79</f>
        <v>4676.67831641461</v>
      </c>
      <c r="F80" s="90">
        <f>+F24+F79</f>
        <v>217836.38728423161</v>
      </c>
      <c r="H80" s="90">
        <f>+H24+H79</f>
        <v>18119780.2258568</v>
      </c>
      <c r="I80" s="90">
        <f>+I24+I79</f>
        <v>11641693.746069103</v>
      </c>
      <c r="P80" s="107">
        <f>+P24+P79</f>
        <v>1940842.6749472113</v>
      </c>
      <c r="Q80" s="107">
        <f>+Q24+Q79</f>
        <v>1964583.3806736479</v>
      </c>
      <c r="R80" s="107">
        <f>+R24+R79</f>
        <v>23740.705726436339</v>
      </c>
      <c r="S80" s="107">
        <f>+S24+S79</f>
        <v>1964583.3806736479</v>
      </c>
      <c r="T80" s="107">
        <f>+T24+T79</f>
        <v>0</v>
      </c>
      <c r="U80" s="107"/>
      <c r="V80" s="107">
        <f>+V24+V79</f>
        <v>1964583.670121331</v>
      </c>
      <c r="W80" s="107">
        <f>+W24+W79</f>
        <v>23740.995174119475</v>
      </c>
    </row>
    <row r="82" spans="1:31">
      <c r="W82" s="1"/>
      <c r="Z82"/>
      <c r="AE82" s="1"/>
    </row>
    <row r="83" spans="1:31" ht="15" customHeight="1">
      <c r="A83" s="39"/>
      <c r="B83" s="40"/>
      <c r="C83" s="41" t="s">
        <v>329</v>
      </c>
      <c r="D83" s="91"/>
      <c r="E83" s="97"/>
      <c r="F83" s="42"/>
      <c r="G83" s="42"/>
      <c r="H83" s="42"/>
      <c r="I83" s="42"/>
      <c r="J83" s="108"/>
      <c r="K83" s="109"/>
      <c r="L83" s="109"/>
      <c r="M83" s="109"/>
      <c r="N83" s="109"/>
      <c r="O83" s="109"/>
      <c r="Q83" s="103" t="s">
        <v>255</v>
      </c>
      <c r="R83" s="103">
        <f>+R24</f>
        <v>11742.537326934833</v>
      </c>
      <c r="S83" s="65">
        <f>+R24/P24</f>
        <v>1.1407384206055936E-2</v>
      </c>
      <c r="W83" s="1"/>
      <c r="Z83"/>
      <c r="AE83" s="1"/>
    </row>
    <row r="84" spans="1:31">
      <c r="A84" s="223" t="s">
        <v>460</v>
      </c>
      <c r="B84" s="139">
        <v>26</v>
      </c>
      <c r="C84" s="44" t="s">
        <v>330</v>
      </c>
      <c r="D84" s="35">
        <v>0</v>
      </c>
      <c r="E84" s="98">
        <f>+References!B10</f>
        <v>4.333333333333333</v>
      </c>
      <c r="F84" s="34">
        <f>E84*References!$B$50</f>
        <v>52</v>
      </c>
      <c r="G84" s="34">
        <f>+References!B21</f>
        <v>117</v>
      </c>
      <c r="H84" s="34">
        <f>F84*G84/References!B50</f>
        <v>507</v>
      </c>
      <c r="I84" s="86">
        <f t="shared" ref="I84:I89" si="35">H84*$D$99</f>
        <v>325.7400838026964</v>
      </c>
      <c r="J84" s="103">
        <f>I84*References!$C$55</f>
        <v>0.6514801676053934</v>
      </c>
      <c r="K84" s="103">
        <f>J84/References!$G$58</f>
        <v>0.66428424645582951</v>
      </c>
      <c r="L84" s="103">
        <f>K84</f>
        <v>0.66428424645582951</v>
      </c>
      <c r="M84" s="110">
        <f>'Proposed Rates'!B15</f>
        <v>50.17</v>
      </c>
      <c r="N84" s="110">
        <f t="shared" ref="N84:N89" si="36">K84+M84</f>
        <v>50.83428424645583</v>
      </c>
      <c r="O84" s="110">
        <f>'Proposed Rates'!D15</f>
        <v>50.83428424645583</v>
      </c>
      <c r="Q84" s="103" t="s">
        <v>256</v>
      </c>
      <c r="R84" s="103">
        <f>+R79</f>
        <v>11998.168399501505</v>
      </c>
      <c r="S84" s="65">
        <f>+R79/P79</f>
        <v>1.3163647338115442E-2</v>
      </c>
      <c r="W84" s="1"/>
      <c r="Z84"/>
      <c r="AE84" s="1"/>
    </row>
    <row r="85" spans="1:31">
      <c r="A85" s="224"/>
      <c r="B85" s="139">
        <v>26</v>
      </c>
      <c r="C85" s="45" t="s">
        <v>331</v>
      </c>
      <c r="D85" s="92">
        <v>0</v>
      </c>
      <c r="E85" s="99">
        <f>+References!B10</f>
        <v>4.333333333333333</v>
      </c>
      <c r="F85" s="157">
        <f>E85*References!$B$50</f>
        <v>52</v>
      </c>
      <c r="G85" s="46">
        <f>+References!B22</f>
        <v>157</v>
      </c>
      <c r="H85" s="46">
        <f>F85*G85/References!$B$50</f>
        <v>680.33333333333337</v>
      </c>
      <c r="I85" s="46">
        <f t="shared" si="35"/>
        <v>437.10421501729354</v>
      </c>
      <c r="J85" s="103">
        <f>I85*References!$C$55</f>
        <v>0.87420843003458781</v>
      </c>
      <c r="K85" s="111">
        <f>J85/References!$G$58</f>
        <v>0.89138997173987389</v>
      </c>
      <c r="L85" s="111">
        <f>K85</f>
        <v>0.89138997173987389</v>
      </c>
      <c r="M85" s="112">
        <f>'Proposed Rates'!B16</f>
        <v>59.02</v>
      </c>
      <c r="N85" s="112">
        <f t="shared" si="36"/>
        <v>59.911389971739879</v>
      </c>
      <c r="O85" s="112">
        <f>'Proposed Rates'!D16</f>
        <v>59.911389971739879</v>
      </c>
      <c r="Q85" s="103" t="s">
        <v>0</v>
      </c>
      <c r="R85" s="114">
        <f>SUM(R83:R84)</f>
        <v>23740.705726436339</v>
      </c>
      <c r="W85" s="1"/>
      <c r="Z85"/>
      <c r="AE85" s="1"/>
    </row>
    <row r="86" spans="1:31">
      <c r="A86" s="223" t="s">
        <v>464</v>
      </c>
      <c r="B86" s="149">
        <v>38</v>
      </c>
      <c r="C86" s="47" t="s">
        <v>315</v>
      </c>
      <c r="D86" s="93">
        <v>0</v>
      </c>
      <c r="E86" s="100">
        <v>1</v>
      </c>
      <c r="F86" s="48">
        <f t="shared" ref="F86:F89" si="37">E86*12</f>
        <v>12</v>
      </c>
      <c r="G86" s="49">
        <f>+References!B23</f>
        <v>47</v>
      </c>
      <c r="H86" s="48">
        <f>F86*G86/References!$B$50</f>
        <v>47</v>
      </c>
      <c r="I86" s="48">
        <f t="shared" si="35"/>
        <v>30.19681250241959</v>
      </c>
      <c r="J86" s="114">
        <f>References!$C$55*I86</f>
        <v>6.0393625004839233E-2</v>
      </c>
      <c r="K86" s="115">
        <f>J86/[25]References!$G$56</f>
        <v>6.1580590894327394E-2</v>
      </c>
      <c r="L86" s="114">
        <f t="shared" ref="L86:L89" si="38">K86</f>
        <v>6.1580590894327394E-2</v>
      </c>
      <c r="M86" s="115">
        <f>'Proposed Rates'!B64</f>
        <v>7.88</v>
      </c>
      <c r="N86" s="115">
        <f t="shared" si="36"/>
        <v>7.9415805908943273</v>
      </c>
      <c r="O86" s="115">
        <f>'Proposed Rates'!D64</f>
        <v>7.9415805908943273</v>
      </c>
      <c r="W86" s="1"/>
      <c r="Z86"/>
      <c r="AE86" s="1"/>
    </row>
    <row r="87" spans="1:31">
      <c r="A87" s="223"/>
      <c r="B87" s="32">
        <v>38</v>
      </c>
      <c r="C87" s="50" t="s">
        <v>332</v>
      </c>
      <c r="D87" s="35">
        <v>0</v>
      </c>
      <c r="E87" s="101">
        <v>1</v>
      </c>
      <c r="F87" s="34">
        <f t="shared" si="37"/>
        <v>12</v>
      </c>
      <c r="G87" s="159">
        <f>+References!B23</f>
        <v>47</v>
      </c>
      <c r="H87" s="34">
        <f>F87*G87/References!$B$50</f>
        <v>47</v>
      </c>
      <c r="I87" s="34">
        <f t="shared" si="35"/>
        <v>30.19681250241959</v>
      </c>
      <c r="J87" s="113">
        <f>References!$C$55*I87</f>
        <v>6.0393625004839233E-2</v>
      </c>
      <c r="K87" s="110">
        <f>J87/[25]References!$G$56</f>
        <v>6.1580590894327394E-2</v>
      </c>
      <c r="L87" s="113">
        <f t="shared" si="38"/>
        <v>6.1580590894327394E-2</v>
      </c>
      <c r="M87" s="110">
        <f>'Proposed Rates'!B65</f>
        <v>15.8</v>
      </c>
      <c r="N87" s="110">
        <f t="shared" si="36"/>
        <v>15.861580590894327</v>
      </c>
      <c r="O87" s="110">
        <f>'Proposed Rates'!D65</f>
        <v>15.861580590894327</v>
      </c>
      <c r="Q87" s="103" t="s">
        <v>461</v>
      </c>
      <c r="R87" s="103">
        <f>+'Disposal Schedule'!C22/References!B53*References!B55</f>
        <v>2208.6823529411763</v>
      </c>
      <c r="S87" s="65">
        <f>+References!D55</f>
        <v>3.9215686274509803E-2</v>
      </c>
      <c r="W87" s="1"/>
      <c r="Z87"/>
      <c r="AE87" s="1"/>
    </row>
    <row r="88" spans="1:31">
      <c r="A88" s="223"/>
      <c r="B88" s="32">
        <v>38</v>
      </c>
      <c r="C88" s="52" t="s">
        <v>316</v>
      </c>
      <c r="D88" s="35">
        <v>0</v>
      </c>
      <c r="E88" s="101">
        <v>1</v>
      </c>
      <c r="F88" s="34">
        <f t="shared" si="37"/>
        <v>12</v>
      </c>
      <c r="G88" s="51">
        <f>+References!B24</f>
        <v>68</v>
      </c>
      <c r="H88" s="34">
        <f>F88*G88/References!$B$50</f>
        <v>68</v>
      </c>
      <c r="I88" s="34">
        <f t="shared" si="35"/>
        <v>43.689005322649621</v>
      </c>
      <c r="J88" s="113">
        <f>References!$C$55*I88</f>
        <v>8.737801064529932E-2</v>
      </c>
      <c r="K88" s="110">
        <f>J88/[25]References!$G$56</f>
        <v>8.9095322996048151E-2</v>
      </c>
      <c r="L88" s="113">
        <f t="shared" si="38"/>
        <v>8.9095322996048151E-2</v>
      </c>
      <c r="M88" s="110">
        <f>'Proposed Rates'!B68</f>
        <v>9.41</v>
      </c>
      <c r="N88" s="110">
        <f t="shared" si="36"/>
        <v>9.4990953229960482</v>
      </c>
      <c r="O88" s="110">
        <f>'Proposed Rates'!D68</f>
        <v>9.4990953229960482</v>
      </c>
      <c r="W88" s="1"/>
      <c r="Z88"/>
      <c r="AE88" s="1"/>
    </row>
    <row r="89" spans="1:31">
      <c r="A89" s="223"/>
      <c r="B89" s="32">
        <v>38</v>
      </c>
      <c r="C89" s="52" t="s">
        <v>333</v>
      </c>
      <c r="D89" s="156">
        <v>0</v>
      </c>
      <c r="E89" s="160">
        <v>1</v>
      </c>
      <c r="F89" s="157">
        <f t="shared" si="37"/>
        <v>12</v>
      </c>
      <c r="G89" s="159">
        <f>+References!B24</f>
        <v>68</v>
      </c>
      <c r="H89" s="157">
        <f>F89*G89/References!$B$50</f>
        <v>68</v>
      </c>
      <c r="I89" s="157">
        <f t="shared" si="35"/>
        <v>43.689005322649621</v>
      </c>
      <c r="J89" s="113">
        <f>References!$C$55*I89</f>
        <v>8.737801064529932E-2</v>
      </c>
      <c r="K89" s="110">
        <f>J89/[25]References!$G$56</f>
        <v>8.9095322996048151E-2</v>
      </c>
      <c r="L89" s="113">
        <f t="shared" si="38"/>
        <v>8.9095322996048151E-2</v>
      </c>
      <c r="M89" s="110">
        <f>'Proposed Rates'!B69</f>
        <v>18.86</v>
      </c>
      <c r="N89" s="110">
        <f t="shared" si="36"/>
        <v>18.949095322996047</v>
      </c>
      <c r="O89" s="110">
        <f>'Proposed Rates'!D69</f>
        <v>18.949095322996047</v>
      </c>
      <c r="Q89" s="103" t="s">
        <v>252</v>
      </c>
      <c r="R89" s="103">
        <f>+R85+R87</f>
        <v>25949.388079377517</v>
      </c>
      <c r="W89" s="1"/>
      <c r="Z89"/>
      <c r="AE89" s="1"/>
    </row>
    <row r="90" spans="1:31">
      <c r="A90" s="174"/>
      <c r="B90" s="158"/>
      <c r="C90" s="52"/>
      <c r="D90" s="156"/>
      <c r="E90" s="160"/>
      <c r="F90" s="157"/>
      <c r="G90" s="159"/>
      <c r="H90" s="157"/>
      <c r="I90" s="157"/>
      <c r="J90" s="116"/>
      <c r="K90" s="110"/>
      <c r="L90" s="110"/>
      <c r="M90" s="110"/>
      <c r="N90" s="110"/>
      <c r="O90" s="110"/>
      <c r="W90" s="1"/>
      <c r="Z90"/>
      <c r="AE90" s="1"/>
    </row>
    <row r="91" spans="1:31">
      <c r="A91" s="55"/>
      <c r="B91" s="43"/>
      <c r="C91" s="52"/>
      <c r="D91" s="35"/>
      <c r="E91" s="101"/>
      <c r="F91" s="34"/>
      <c r="G91" s="51"/>
      <c r="H91" s="34"/>
      <c r="I91" s="34"/>
      <c r="J91" s="116"/>
      <c r="K91" s="110"/>
      <c r="L91" s="110"/>
      <c r="M91" s="110"/>
      <c r="N91" s="110"/>
      <c r="O91" s="110"/>
      <c r="P91" s="116"/>
    </row>
    <row r="92" spans="1:31" customFormat="1">
      <c r="D92" s="86"/>
      <c r="E92" s="95"/>
      <c r="F92" s="86"/>
      <c r="G92" s="86"/>
      <c r="H92" s="86"/>
      <c r="I92" s="86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</row>
    <row r="94" spans="1:31">
      <c r="C94" s="222" t="s">
        <v>270</v>
      </c>
      <c r="D94" s="222"/>
      <c r="E94" s="102"/>
      <c r="F94" s="94"/>
    </row>
    <row r="95" spans="1:31">
      <c r="C95" s="15"/>
      <c r="D95" s="33" t="s">
        <v>0</v>
      </c>
    </row>
    <row r="96" spans="1:31">
      <c r="C96" s="15" t="s">
        <v>271</v>
      </c>
      <c r="D96" s="163">
        <f>References!B60</f>
        <v>5820.8468730345521</v>
      </c>
    </row>
    <row r="97" spans="3:4">
      <c r="C97" s="15" t="s">
        <v>272</v>
      </c>
      <c r="D97" s="35">
        <f>D96*References!G19</f>
        <v>11641693.746069103</v>
      </c>
    </row>
    <row r="98" spans="3:4" ht="15" customHeight="1">
      <c r="C98" s="15" t="s">
        <v>273</v>
      </c>
      <c r="D98" s="35">
        <f>+F80</f>
        <v>217836.38728423161</v>
      </c>
    </row>
    <row r="99" spans="3:4">
      <c r="C99" s="21" t="s">
        <v>274</v>
      </c>
      <c r="D99" s="155">
        <f>D97/H80</f>
        <v>0.64248537239190617</v>
      </c>
    </row>
  </sheetData>
  <mergeCells count="6">
    <mergeCell ref="C94:D94"/>
    <mergeCell ref="A84:A85"/>
    <mergeCell ref="A86:A89"/>
    <mergeCell ref="A6:A23"/>
    <mergeCell ref="A25:A50"/>
    <mergeCell ref="A51:A78"/>
  </mergeCells>
  <printOptions horizontalCentered="1" verticalCentered="1"/>
  <pageMargins left="0.5" right="0.5" top="0.5" bottom="0.5" header="0.3" footer="0.3"/>
  <pageSetup scale="46" fitToHeight="0" orientation="landscape" r:id="rId1"/>
  <headerFooter>
    <oddFooter>&amp;L&amp;F - &amp;A&amp;R&amp;P of &amp;N</oddFooter>
  </headerFooter>
  <rowBreaks count="1" manualBreakCount="1">
    <brk id="50" max="2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zoomScale="85" zoomScaleNormal="85" workbookViewId="0"/>
  </sheetViews>
  <sheetFormatPr defaultRowHeight="15"/>
  <cols>
    <col min="1" max="1" width="26.28515625" style="1" customWidth="1"/>
    <col min="2" max="2" width="14" style="153" customWidth="1"/>
    <col min="3" max="3" width="12.28515625" style="153" customWidth="1"/>
    <col min="4" max="4" width="12" style="153" customWidth="1"/>
    <col min="5" max="16384" width="9.140625" style="1"/>
  </cols>
  <sheetData>
    <row r="1" spans="1:6">
      <c r="A1" s="151" t="s">
        <v>421</v>
      </c>
      <c r="C1" s="85"/>
    </row>
    <row r="2" spans="1:6">
      <c r="A2" s="37" t="s">
        <v>443</v>
      </c>
    </row>
    <row r="3" spans="1:6">
      <c r="A3" s="7"/>
    </row>
    <row r="4" spans="1:6" customFormat="1">
      <c r="A4" s="152" t="s">
        <v>329</v>
      </c>
      <c r="B4" s="153"/>
      <c r="C4" s="153"/>
      <c r="D4" s="153"/>
    </row>
    <row r="5" spans="1:6" customFormat="1" ht="45">
      <c r="B5" s="168" t="s">
        <v>444</v>
      </c>
      <c r="C5" s="168" t="s">
        <v>445</v>
      </c>
      <c r="D5" s="168" t="s">
        <v>446</v>
      </c>
    </row>
    <row r="6" spans="1:6">
      <c r="A6" s="7" t="s">
        <v>449</v>
      </c>
    </row>
    <row r="7" spans="1:6">
      <c r="A7" s="1" t="s">
        <v>275</v>
      </c>
      <c r="B7" s="153">
        <v>4.12</v>
      </c>
      <c r="C7" s="153">
        <f>'Whitman DF Calc'!L21</f>
        <v>4.4547661498024083E-2</v>
      </c>
      <c r="D7" s="153">
        <f>SUM(B7:C7)</f>
        <v>4.1645476614980241</v>
      </c>
    </row>
    <row r="9" spans="1:6">
      <c r="A9" s="7" t="s">
        <v>450</v>
      </c>
    </row>
    <row r="10" spans="1:6">
      <c r="A10" s="1" t="s">
        <v>276</v>
      </c>
      <c r="B10" s="153">
        <v>14.16</v>
      </c>
      <c r="C10" s="153">
        <f>'Whitman DF Calc'!L6</f>
        <v>0.11355286264202213</v>
      </c>
      <c r="D10" s="153">
        <f t="shared" ref="D10:D66" si="0">SUM(B10:C10)</f>
        <v>14.273552862642022</v>
      </c>
    </row>
    <row r="11" spans="1:6">
      <c r="A11" s="1" t="s">
        <v>277</v>
      </c>
      <c r="B11" s="153">
        <v>18.010000000000002</v>
      </c>
      <c r="C11" s="153">
        <f>'Whitman DF Calc'!L8</f>
        <v>0.19303986649143767</v>
      </c>
      <c r="D11" s="153">
        <f t="shared" si="0"/>
        <v>18.203039866491441</v>
      </c>
    </row>
    <row r="12" spans="1:6">
      <c r="A12" s="1" t="s">
        <v>278</v>
      </c>
      <c r="B12" s="153">
        <v>23.9</v>
      </c>
      <c r="C12" s="153">
        <f>'Whitman DF Calc'!L9</f>
        <v>0.28955979973715651</v>
      </c>
      <c r="D12" s="153">
        <f t="shared" si="0"/>
        <v>24.189559799737154</v>
      </c>
    </row>
    <row r="13" spans="1:6">
      <c r="A13" s="1" t="s">
        <v>279</v>
      </c>
      <c r="B13" s="153">
        <v>31.67</v>
      </c>
      <c r="C13" s="153">
        <f>'Whitman DF Calc'!L10</f>
        <v>0.43717852117178529</v>
      </c>
      <c r="D13" s="153">
        <f t="shared" si="0"/>
        <v>32.107178521171789</v>
      </c>
    </row>
    <row r="14" spans="1:6">
      <c r="A14" s="1" t="s">
        <v>280</v>
      </c>
      <c r="B14" s="153">
        <v>41.38</v>
      </c>
      <c r="C14" s="153">
        <f>'Whitman DF Calc'!L11</f>
        <v>0.55073138381380737</v>
      </c>
      <c r="D14" s="153">
        <f t="shared" si="0"/>
        <v>41.930731383813807</v>
      </c>
    </row>
    <row r="15" spans="1:6">
      <c r="A15" s="53" t="s">
        <v>281</v>
      </c>
      <c r="B15" s="84">
        <v>50.17</v>
      </c>
      <c r="C15" s="84">
        <f>'Whitman DF Calc'!L84</f>
        <v>0.66428424645582951</v>
      </c>
      <c r="D15" s="84">
        <f t="shared" si="0"/>
        <v>50.83428424645583</v>
      </c>
      <c r="F15" s="167"/>
    </row>
    <row r="16" spans="1:6">
      <c r="A16" s="53" t="s">
        <v>282</v>
      </c>
      <c r="B16" s="84">
        <v>59.02</v>
      </c>
      <c r="C16" s="84">
        <f>'Whitman DF Calc'!L85</f>
        <v>0.89138997173987389</v>
      </c>
      <c r="D16" s="84">
        <f t="shared" si="0"/>
        <v>59.911389971739879</v>
      </c>
      <c r="F16" s="167"/>
    </row>
    <row r="17" spans="1:6">
      <c r="A17" s="1" t="s">
        <v>283</v>
      </c>
      <c r="B17" s="153">
        <v>25.64</v>
      </c>
      <c r="C17" s="153">
        <f>'Whitman DF Calc'!L12</f>
        <v>0.26684922720875204</v>
      </c>
      <c r="D17" s="153">
        <f t="shared" si="0"/>
        <v>25.906849227208752</v>
      </c>
      <c r="F17" s="167"/>
    </row>
    <row r="18" spans="1:6">
      <c r="A18" s="1" t="s">
        <v>284</v>
      </c>
      <c r="B18" s="153">
        <v>31.67</v>
      </c>
      <c r="C18" s="153">
        <f>'Whitman DF Calc'!L15</f>
        <v>0.38607973298287529</v>
      </c>
      <c r="D18" s="153">
        <f t="shared" si="0"/>
        <v>32.05607973298288</v>
      </c>
    </row>
    <row r="19" spans="1:6">
      <c r="A19" s="1" t="s">
        <v>285</v>
      </c>
      <c r="B19" s="153">
        <v>11.42</v>
      </c>
      <c r="C19" s="153">
        <f>'Whitman DF Calc'!L7</f>
        <v>4.454766149802409E-2</v>
      </c>
      <c r="D19" s="153">
        <f t="shared" si="0"/>
        <v>11.464547661498024</v>
      </c>
    </row>
    <row r="21" spans="1:6">
      <c r="A21" s="7" t="s">
        <v>451</v>
      </c>
    </row>
    <row r="22" spans="1:6">
      <c r="A22" s="1" t="s">
        <v>286</v>
      </c>
      <c r="B22" s="153">
        <v>4.12</v>
      </c>
      <c r="C22" s="153">
        <f>'Whitman DF Calc'!L19</f>
        <v>4.4547661498024076E-2</v>
      </c>
      <c r="D22" s="153">
        <f t="shared" si="0"/>
        <v>4.1645476614980241</v>
      </c>
    </row>
    <row r="23" spans="1:6">
      <c r="A23" s="1" t="s">
        <v>287</v>
      </c>
      <c r="B23" s="153">
        <v>4.12</v>
      </c>
      <c r="C23" s="153">
        <f>'Whitman DF Calc'!L19</f>
        <v>4.4547661498024076E-2</v>
      </c>
      <c r="D23" s="153">
        <f t="shared" si="0"/>
        <v>4.1645476614980241</v>
      </c>
    </row>
    <row r="24" spans="1:6">
      <c r="A24" s="1" t="s">
        <v>288</v>
      </c>
      <c r="B24" s="153">
        <v>12.57</v>
      </c>
      <c r="C24" s="153">
        <f>'Whitman DF Calc'!L17</f>
        <v>4.4547661498024076E-2</v>
      </c>
      <c r="D24" s="153">
        <f t="shared" si="0"/>
        <v>12.614547661498024</v>
      </c>
    </row>
    <row r="26" spans="1:6">
      <c r="A26" s="7" t="s">
        <v>452</v>
      </c>
    </row>
    <row r="27" spans="1:6">
      <c r="A27" s="1" t="s">
        <v>289</v>
      </c>
      <c r="B27" s="153">
        <v>20.62</v>
      </c>
      <c r="C27" s="153">
        <f>'Whitman DF Calc'!L23</f>
        <v>0.16377816727214731</v>
      </c>
      <c r="D27" s="153">
        <f t="shared" si="0"/>
        <v>20.78377816727215</v>
      </c>
    </row>
    <row r="28" spans="1:6">
      <c r="A28" s="1" t="s">
        <v>290</v>
      </c>
      <c r="B28" s="153">
        <v>20.62</v>
      </c>
      <c r="C28" s="153">
        <f>'Whitman DF Calc'!L23</f>
        <v>0.16377816727214731</v>
      </c>
      <c r="D28" s="153">
        <f t="shared" si="0"/>
        <v>20.78377816727215</v>
      </c>
    </row>
    <row r="29" spans="1:6">
      <c r="A29" s="1" t="s">
        <v>291</v>
      </c>
      <c r="B29" s="153">
        <v>20.62</v>
      </c>
      <c r="C29" s="153">
        <f>'Whitman DF Calc'!L23</f>
        <v>0.16377816727214731</v>
      </c>
      <c r="D29" s="153">
        <f t="shared" si="0"/>
        <v>20.78377816727215</v>
      </c>
    </row>
    <row r="31" spans="1:6">
      <c r="A31" s="7" t="s">
        <v>453</v>
      </c>
    </row>
    <row r="32" spans="1:6">
      <c r="A32" s="1" t="s">
        <v>325</v>
      </c>
      <c r="B32" s="153">
        <v>102</v>
      </c>
      <c r="C32" s="153">
        <f>References!B55</f>
        <v>4</v>
      </c>
      <c r="D32" s="153">
        <f t="shared" si="0"/>
        <v>106</v>
      </c>
    </row>
    <row r="34" spans="1:4">
      <c r="A34" s="7" t="s">
        <v>454</v>
      </c>
    </row>
    <row r="35" spans="1:4">
      <c r="A35" s="1" t="s">
        <v>292</v>
      </c>
      <c r="B35" s="153">
        <v>15.52</v>
      </c>
      <c r="C35" s="153">
        <f>'Whitman DF Calc'!L25</f>
        <v>0.22928943418100622</v>
      </c>
      <c r="D35" s="153">
        <f t="shared" si="0"/>
        <v>15.749289434181005</v>
      </c>
    </row>
    <row r="36" spans="1:4">
      <c r="A36" s="1" t="s">
        <v>293</v>
      </c>
      <c r="B36" s="153">
        <v>23.41</v>
      </c>
      <c r="C36" s="153">
        <f>'Whitman DF Calc'!L28</f>
        <v>0.32755633454429467</v>
      </c>
      <c r="D36" s="153">
        <f t="shared" si="0"/>
        <v>23.737556334544294</v>
      </c>
    </row>
    <row r="37" spans="1:4">
      <c r="A37" s="1" t="s">
        <v>294</v>
      </c>
      <c r="B37" s="153">
        <v>31.22</v>
      </c>
      <c r="C37" s="153">
        <f>'Whitman DF Calc'!L34</f>
        <v>0.42451300956940596</v>
      </c>
      <c r="D37" s="153">
        <f t="shared" si="0"/>
        <v>31.644513009569405</v>
      </c>
    </row>
    <row r="38" spans="1:4">
      <c r="A38" s="1" t="s">
        <v>295</v>
      </c>
      <c r="B38" s="153">
        <v>44.13</v>
      </c>
      <c r="C38" s="153">
        <f>'Whitman DF Calc'!L38</f>
        <v>0.61973658495780548</v>
      </c>
      <c r="D38" s="153">
        <f t="shared" si="0"/>
        <v>44.749736584957809</v>
      </c>
    </row>
    <row r="39" spans="1:4">
      <c r="A39" s="1" t="s">
        <v>296</v>
      </c>
      <c r="B39" s="153">
        <v>58.63</v>
      </c>
      <c r="C39" s="153">
        <f>'Whitman DF Calc'!L42</f>
        <v>0.80316813230261064</v>
      </c>
      <c r="D39" s="153">
        <f t="shared" si="0"/>
        <v>59.433168132302612</v>
      </c>
    </row>
    <row r="40" spans="1:4">
      <c r="A40" s="1" t="s">
        <v>297</v>
      </c>
      <c r="B40" s="153">
        <v>85.45</v>
      </c>
      <c r="C40" s="153">
        <f>'Whitman DF Calc'!L46</f>
        <v>1.1005892840688301</v>
      </c>
      <c r="D40" s="153">
        <f t="shared" si="0"/>
        <v>86.550589284068835</v>
      </c>
    </row>
    <row r="41" spans="1:4">
      <c r="A41" s="1" t="s">
        <v>298</v>
      </c>
      <c r="B41" s="153">
        <v>111.37</v>
      </c>
      <c r="C41" s="153">
        <f>'Whitman DF Calc'!L51</f>
        <v>1.284020831413635</v>
      </c>
      <c r="D41" s="153">
        <f t="shared" si="0"/>
        <v>112.65402083141365</v>
      </c>
    </row>
    <row r="43" spans="1:4">
      <c r="A43" s="1" t="s">
        <v>299</v>
      </c>
      <c r="B43" s="153">
        <v>37.93</v>
      </c>
      <c r="C43" s="153">
        <f>'Whitman DF Calc'!L25</f>
        <v>0.22928943418100622</v>
      </c>
      <c r="D43" s="153">
        <f t="shared" si="0"/>
        <v>38.159289434181005</v>
      </c>
    </row>
    <row r="44" spans="1:4">
      <c r="A44" s="1" t="s">
        <v>300</v>
      </c>
      <c r="B44" s="153">
        <v>54.53</v>
      </c>
      <c r="C44" s="153">
        <f>'Whitman DF Calc'!L28</f>
        <v>0.32755633454429467</v>
      </c>
      <c r="D44" s="153">
        <f t="shared" si="0"/>
        <v>54.857556334544299</v>
      </c>
    </row>
    <row r="45" spans="1:4">
      <c r="A45" s="1" t="s">
        <v>301</v>
      </c>
      <c r="B45" s="153">
        <v>64.209999999999994</v>
      </c>
      <c r="C45" s="153">
        <f>'Whitman DF Calc'!L34</f>
        <v>0.42451300956940596</v>
      </c>
      <c r="D45" s="153">
        <f t="shared" si="0"/>
        <v>64.634513009569403</v>
      </c>
    </row>
    <row r="46" spans="1:4">
      <c r="A46" s="1" t="s">
        <v>302</v>
      </c>
      <c r="B46" s="153">
        <v>82.71</v>
      </c>
      <c r="C46" s="153">
        <f>'Whitman DF Calc'!L38</f>
        <v>0.61973658495780548</v>
      </c>
      <c r="D46" s="153">
        <f t="shared" si="0"/>
        <v>83.3297365849578</v>
      </c>
    </row>
    <row r="47" spans="1:4">
      <c r="A47" s="1" t="s">
        <v>303</v>
      </c>
      <c r="B47" s="153">
        <v>102.43</v>
      </c>
      <c r="C47" s="153">
        <f>'Whitman DF Calc'!L42</f>
        <v>0.80316813230261064</v>
      </c>
      <c r="D47" s="153">
        <f t="shared" si="0"/>
        <v>103.23316813230262</v>
      </c>
    </row>
    <row r="48" spans="1:4">
      <c r="A48" s="53" t="s">
        <v>304</v>
      </c>
      <c r="B48" s="84">
        <v>138.06</v>
      </c>
      <c r="C48" s="84">
        <f>'Whitman DF Calc'!L46</f>
        <v>1.1005892840688301</v>
      </c>
      <c r="D48" s="84">
        <f t="shared" si="0"/>
        <v>139.16058928406883</v>
      </c>
    </row>
    <row r="49" spans="1:4">
      <c r="A49" s="53" t="s">
        <v>305</v>
      </c>
      <c r="B49" s="84">
        <v>174.87</v>
      </c>
      <c r="C49" s="84">
        <f>'Whitman DF Calc'!L51</f>
        <v>1.284020831413635</v>
      </c>
      <c r="D49" s="84">
        <f t="shared" si="0"/>
        <v>176.15402083141365</v>
      </c>
    </row>
    <row r="51" spans="1:4">
      <c r="A51" s="1" t="s">
        <v>306</v>
      </c>
      <c r="B51" s="153">
        <v>18.13</v>
      </c>
      <c r="C51" s="153">
        <f>'Whitman DF Calc'!L25</f>
        <v>0.22928943418100622</v>
      </c>
      <c r="D51" s="153">
        <f t="shared" si="0"/>
        <v>18.359289434181004</v>
      </c>
    </row>
    <row r="52" spans="1:4">
      <c r="A52" s="1" t="s">
        <v>307</v>
      </c>
      <c r="B52" s="153">
        <v>27.33</v>
      </c>
      <c r="C52" s="153">
        <f>'Whitman DF Calc'!L28</f>
        <v>0.32755633454429467</v>
      </c>
      <c r="D52" s="153">
        <f t="shared" si="0"/>
        <v>27.657556334544292</v>
      </c>
    </row>
    <row r="53" spans="1:4">
      <c r="A53" s="1" t="s">
        <v>308</v>
      </c>
      <c r="B53" s="153">
        <v>37.76</v>
      </c>
      <c r="C53" s="153">
        <f>'Whitman DF Calc'!L34</f>
        <v>0.42451300956940596</v>
      </c>
      <c r="D53" s="153">
        <f t="shared" si="0"/>
        <v>38.184513009569407</v>
      </c>
    </row>
    <row r="54" spans="1:4">
      <c r="A54" s="1" t="s">
        <v>309</v>
      </c>
      <c r="B54" s="153">
        <v>50.65</v>
      </c>
      <c r="C54" s="153">
        <f>'Whitman DF Calc'!L38</f>
        <v>0.61973658495780548</v>
      </c>
      <c r="D54" s="153">
        <f t="shared" si="0"/>
        <v>51.269736584957805</v>
      </c>
    </row>
    <row r="55" spans="1:4">
      <c r="A55" s="1" t="s">
        <v>310</v>
      </c>
      <c r="B55" s="153">
        <v>66.47</v>
      </c>
      <c r="C55" s="153">
        <f>'Whitman DF Calc'!L42</f>
        <v>0.80316813230261064</v>
      </c>
      <c r="D55" s="153">
        <f t="shared" si="0"/>
        <v>67.273168132302615</v>
      </c>
    </row>
    <row r="56" spans="1:4">
      <c r="A56" s="53" t="s">
        <v>311</v>
      </c>
      <c r="B56" s="84">
        <v>98.52</v>
      </c>
      <c r="C56" s="84">
        <f>'Whitman DF Calc'!L46</f>
        <v>1.1005892840688301</v>
      </c>
      <c r="D56" s="84">
        <f t="shared" si="0"/>
        <v>99.620589284068828</v>
      </c>
    </row>
    <row r="57" spans="1:4">
      <c r="A57" s="53" t="s">
        <v>312</v>
      </c>
      <c r="B57" s="84">
        <v>127.11</v>
      </c>
      <c r="C57" s="84">
        <f>'Whitman DF Calc'!L51</f>
        <v>1.284020831413635</v>
      </c>
      <c r="D57" s="84">
        <f t="shared" si="0"/>
        <v>128.39402083141363</v>
      </c>
    </row>
    <row r="59" spans="1:4">
      <c r="A59" s="7" t="s">
        <v>455</v>
      </c>
    </row>
    <row r="60" spans="1:4">
      <c r="A60" s="1" t="s">
        <v>313</v>
      </c>
      <c r="B60" s="153">
        <v>4.22</v>
      </c>
      <c r="C60" s="153">
        <f>'Whitman DF Calc'!L64</f>
        <v>3.7996534807138174E-2</v>
      </c>
      <c r="D60" s="153">
        <f t="shared" si="0"/>
        <v>4.2579965348071376</v>
      </c>
    </row>
    <row r="61" spans="1:4">
      <c r="A61" s="1" t="s">
        <v>459</v>
      </c>
      <c r="B61" s="153">
        <v>11.6</v>
      </c>
      <c r="C61" s="153">
        <f>'Whitman DF Calc'!L63</f>
        <v>3.7996534807138181E-2</v>
      </c>
      <c r="D61" s="153">
        <f t="shared" si="0"/>
        <v>11.637996534807138</v>
      </c>
    </row>
    <row r="62" spans="1:4">
      <c r="A62" s="1" t="s">
        <v>314</v>
      </c>
      <c r="B62" s="153">
        <v>18.34</v>
      </c>
      <c r="C62" s="153">
        <f>'Whitman DF Calc'!L53</f>
        <v>0.16465165083093208</v>
      </c>
      <c r="D62" s="153">
        <f t="shared" si="0"/>
        <v>18.504651650830933</v>
      </c>
    </row>
    <row r="64" spans="1:4">
      <c r="A64" s="53" t="s">
        <v>315</v>
      </c>
      <c r="B64" s="84">
        <v>7.88</v>
      </c>
      <c r="C64" s="84">
        <f>'Whitman DF Calc'!K86</f>
        <v>6.1580590894327394E-2</v>
      </c>
      <c r="D64" s="84">
        <f t="shared" si="0"/>
        <v>7.9415805908943273</v>
      </c>
    </row>
    <row r="65" spans="1:4">
      <c r="A65" s="53" t="s">
        <v>458</v>
      </c>
      <c r="B65" s="84">
        <v>15.8</v>
      </c>
      <c r="C65" s="84">
        <f>'Whitman DF Calc'!K87</f>
        <v>6.1580590894327394E-2</v>
      </c>
      <c r="D65" s="84">
        <f t="shared" si="0"/>
        <v>15.861580590894327</v>
      </c>
    </row>
    <row r="66" spans="1:4">
      <c r="A66" s="1" t="s">
        <v>314</v>
      </c>
      <c r="B66" s="153">
        <v>34.14</v>
      </c>
      <c r="C66" s="153">
        <f>'Whitman DF Calc'!L56</f>
        <v>0.26684922720875204</v>
      </c>
      <c r="D66" s="153">
        <f t="shared" si="0"/>
        <v>34.406849227208752</v>
      </c>
    </row>
    <row r="68" spans="1:4">
      <c r="A68" s="53" t="s">
        <v>316</v>
      </c>
      <c r="B68" s="84">
        <v>9.41</v>
      </c>
      <c r="C68" s="84">
        <f>'Whitman DF Calc'!K88</f>
        <v>8.9095322996048151E-2</v>
      </c>
      <c r="D68" s="84">
        <f t="shared" ref="D68:D87" si="1">SUM(B68:C68)</f>
        <v>9.4990953229960482</v>
      </c>
    </row>
    <row r="69" spans="1:4">
      <c r="A69" s="53" t="s">
        <v>457</v>
      </c>
      <c r="B69" s="84">
        <v>18.86</v>
      </c>
      <c r="C69" s="84">
        <f>'Whitman DF Calc'!K89</f>
        <v>8.9095322996048151E-2</v>
      </c>
      <c r="D69" s="84">
        <f t="shared" si="1"/>
        <v>18.949095322996047</v>
      </c>
    </row>
    <row r="70" spans="1:4">
      <c r="A70" s="1" t="s">
        <v>314</v>
      </c>
      <c r="B70" s="153">
        <v>40.78</v>
      </c>
      <c r="C70" s="153">
        <f>'Whitman DF Calc'!L59</f>
        <v>0.38607973298287529</v>
      </c>
      <c r="D70" s="153">
        <f t="shared" si="1"/>
        <v>41.16607973298288</v>
      </c>
    </row>
    <row r="72" spans="1:4">
      <c r="A72" s="7" t="s">
        <v>456</v>
      </c>
    </row>
    <row r="73" spans="1:4">
      <c r="A73" s="53" t="s">
        <v>317</v>
      </c>
      <c r="B73" s="84">
        <v>53.39</v>
      </c>
      <c r="C73" s="84">
        <f>'Whitman DF Calc'!L25</f>
        <v>0.22928943418100622</v>
      </c>
      <c r="D73" s="84">
        <f t="shared" si="1"/>
        <v>53.619289434181006</v>
      </c>
    </row>
    <row r="74" spans="1:4">
      <c r="A74" s="53" t="s">
        <v>318</v>
      </c>
      <c r="B74" s="84">
        <v>81.38</v>
      </c>
      <c r="C74" s="84">
        <f>'Whitman DF Calc'!L28</f>
        <v>0.32755633454429467</v>
      </c>
      <c r="D74" s="84">
        <f t="shared" si="1"/>
        <v>81.707556334544293</v>
      </c>
    </row>
    <row r="75" spans="1:4">
      <c r="A75" s="53" t="s">
        <v>294</v>
      </c>
      <c r="B75" s="84">
        <v>108.22</v>
      </c>
      <c r="C75" s="84">
        <f>'Whitman DF Calc'!L34</f>
        <v>0.42451300956940596</v>
      </c>
      <c r="D75" s="84">
        <f t="shared" si="1"/>
        <v>108.64451300956941</v>
      </c>
    </row>
    <row r="76" spans="1:4">
      <c r="A76" s="53" t="s">
        <v>295</v>
      </c>
      <c r="B76" s="84">
        <v>152.54</v>
      </c>
      <c r="C76" s="84">
        <f>'Whitman DF Calc'!L38</f>
        <v>0.61973658495780548</v>
      </c>
      <c r="D76" s="84">
        <f t="shared" si="1"/>
        <v>153.15973658495778</v>
      </c>
    </row>
    <row r="77" spans="1:4">
      <c r="A77" s="53" t="s">
        <v>296</v>
      </c>
      <c r="B77" s="84">
        <v>202.73</v>
      </c>
      <c r="C77" s="84">
        <f>'Whitman DF Calc'!L42</f>
        <v>0.80316813230261064</v>
      </c>
      <c r="D77" s="84">
        <f t="shared" si="1"/>
        <v>203.53316813230259</v>
      </c>
    </row>
    <row r="78" spans="1:4">
      <c r="A78" s="53" t="s">
        <v>319</v>
      </c>
      <c r="B78" s="84">
        <v>278.72000000000003</v>
      </c>
      <c r="C78" s="84">
        <f>'Whitman DF Calc'!L46</f>
        <v>1.1005892840688301</v>
      </c>
      <c r="D78" s="84">
        <f t="shared" si="1"/>
        <v>279.82058928406883</v>
      </c>
    </row>
    <row r="79" spans="1:4">
      <c r="A79" s="53" t="s">
        <v>320</v>
      </c>
      <c r="B79" s="84">
        <v>330.66</v>
      </c>
      <c r="C79" s="84">
        <f>'Whitman DF Calc'!L51</f>
        <v>1.284020831413635</v>
      </c>
      <c r="D79" s="84">
        <f t="shared" si="1"/>
        <v>331.94402083141364</v>
      </c>
    </row>
    <row r="81" spans="1:4">
      <c r="A81" s="53" t="s">
        <v>321</v>
      </c>
      <c r="B81" s="84">
        <v>91.78</v>
      </c>
      <c r="C81" s="84">
        <f>'Whitman DF Calc'!L25</f>
        <v>0.22928943418100622</v>
      </c>
      <c r="D81" s="84">
        <f t="shared" si="1"/>
        <v>92.009289434181014</v>
      </c>
    </row>
    <row r="82" spans="1:4">
      <c r="A82" s="53" t="s">
        <v>322</v>
      </c>
      <c r="B82" s="84">
        <v>142.63999999999999</v>
      </c>
      <c r="C82" s="84">
        <f>'Whitman DF Calc'!L28</f>
        <v>0.32755633454429467</v>
      </c>
      <c r="D82" s="84">
        <f t="shared" si="1"/>
        <v>142.96755633454427</v>
      </c>
    </row>
    <row r="83" spans="1:4">
      <c r="A83" s="53" t="s">
        <v>301</v>
      </c>
      <c r="B83" s="84">
        <v>186.58</v>
      </c>
      <c r="C83" s="84">
        <f>'Whitman DF Calc'!L34</f>
        <v>0.42451300956940596</v>
      </c>
      <c r="D83" s="84">
        <f t="shared" si="1"/>
        <v>187.00451300956942</v>
      </c>
    </row>
    <row r="84" spans="1:4">
      <c r="A84" s="53" t="s">
        <v>302</v>
      </c>
      <c r="B84" s="84">
        <v>273.26</v>
      </c>
      <c r="C84" s="84">
        <f>'Whitman DF Calc'!L38</f>
        <v>0.61973658495780548</v>
      </c>
      <c r="D84" s="84">
        <f t="shared" si="1"/>
        <v>273.87973658495781</v>
      </c>
    </row>
    <row r="85" spans="1:4">
      <c r="A85" s="53" t="s">
        <v>303</v>
      </c>
      <c r="B85" s="84">
        <v>363.37</v>
      </c>
      <c r="C85" s="84">
        <f>'Whitman DF Calc'!L42</f>
        <v>0.80316813230261064</v>
      </c>
      <c r="D85" s="84">
        <f t="shared" si="1"/>
        <v>364.17316813230264</v>
      </c>
    </row>
    <row r="86" spans="1:4">
      <c r="A86" s="53" t="s">
        <v>323</v>
      </c>
      <c r="B86" s="84">
        <v>467.58</v>
      </c>
      <c r="C86" s="84">
        <f>'Whitman DF Calc'!L46</f>
        <v>1.1005892840688301</v>
      </c>
      <c r="D86" s="84">
        <f t="shared" si="1"/>
        <v>468.68058928406879</v>
      </c>
    </row>
    <row r="87" spans="1:4">
      <c r="A87" s="53" t="s">
        <v>324</v>
      </c>
      <c r="B87" s="84">
        <v>559.57000000000005</v>
      </c>
      <c r="C87" s="84">
        <f>'Whitman DF Calc'!L51</f>
        <v>1.284020831413635</v>
      </c>
      <c r="D87" s="84">
        <f t="shared" si="1"/>
        <v>560.85402083141366</v>
      </c>
    </row>
  </sheetData>
  <pageMargins left="0.7" right="0.7" top="0.75" bottom="0.75" header="0.3" footer="0.3"/>
  <pageSetup fitToHeight="0" orientation="portrait" r:id="rId1"/>
  <headerFooter>
    <oddFooter>&amp;L&amp;F - &amp;A&amp;R&amp;P of &amp;N</oddFooter>
  </headerFooter>
  <rowBreaks count="2" manualBreakCount="2">
    <brk id="33" max="16383" man="1"/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zoomScale="85" zoomScaleNormal="85" workbookViewId="0"/>
  </sheetViews>
  <sheetFormatPr defaultRowHeight="15"/>
  <cols>
    <col min="1" max="1" width="16.42578125" style="173" customWidth="1"/>
    <col min="2" max="2" width="14.42578125" style="173" bestFit="1" customWidth="1"/>
    <col min="3" max="3" width="11.5703125" style="173" bestFit="1" customWidth="1"/>
    <col min="4" max="4" width="10.5703125" style="173" bestFit="1" customWidth="1"/>
    <col min="5" max="5" width="11.5703125" style="173" bestFit="1" customWidth="1"/>
    <col min="6" max="6" width="12.5703125" style="173" bestFit="1" customWidth="1"/>
    <col min="7" max="7" width="10.5703125" style="173" bestFit="1" customWidth="1"/>
    <col min="8" max="8" width="12.140625" style="173" bestFit="1" customWidth="1"/>
    <col min="9" max="9" width="11.5703125" style="1" bestFit="1" customWidth="1"/>
    <col min="10" max="10" width="10.85546875" style="1" bestFit="1" customWidth="1"/>
    <col min="11" max="11" width="10.5703125" style="1" bestFit="1" customWidth="1"/>
    <col min="12" max="16384" width="9.140625" style="1"/>
  </cols>
  <sheetData>
    <row r="1" spans="1:11">
      <c r="A1" s="171" t="s">
        <v>421</v>
      </c>
      <c r="B1" s="142"/>
      <c r="C1" s="140"/>
      <c r="D1" s="142"/>
      <c r="E1" s="140"/>
      <c r="F1" s="141"/>
      <c r="G1" s="140"/>
      <c r="H1" s="142"/>
    </row>
    <row r="2" spans="1:11">
      <c r="A2" s="138" t="s">
        <v>447</v>
      </c>
      <c r="B2" s="142"/>
      <c r="C2" s="140"/>
      <c r="D2" s="142"/>
      <c r="E2" s="140"/>
      <c r="F2" s="141"/>
      <c r="G2" s="140"/>
      <c r="H2" s="142"/>
    </row>
    <row r="3" spans="1:11" s="154" customFormat="1">
      <c r="A3" s="138" t="s">
        <v>448</v>
      </c>
      <c r="B3" s="142"/>
      <c r="C3" s="140"/>
      <c r="D3" s="142"/>
      <c r="E3" s="140"/>
      <c r="F3" s="141"/>
      <c r="G3" s="140"/>
      <c r="H3" s="142"/>
    </row>
    <row r="4" spans="1:11" ht="31.5" customHeight="1">
      <c r="A4" s="227" t="s">
        <v>462</v>
      </c>
      <c r="B4" s="227"/>
      <c r="C4" s="227"/>
      <c r="D4" s="227"/>
      <c r="E4" s="227"/>
      <c r="F4" s="227"/>
      <c r="G4" s="227"/>
      <c r="H4" s="227"/>
    </row>
    <row r="5" spans="1:11">
      <c r="A5" s="141"/>
      <c r="B5" s="142"/>
      <c r="C5" s="140"/>
      <c r="D5" s="142"/>
      <c r="E5" s="140"/>
      <c r="F5" s="141"/>
      <c r="G5" s="140"/>
      <c r="H5" s="142"/>
    </row>
    <row r="6" spans="1:11">
      <c r="A6" s="141"/>
      <c r="B6" s="228" t="s">
        <v>412</v>
      </c>
      <c r="C6" s="229"/>
      <c r="D6" s="229"/>
      <c r="E6" s="230"/>
      <c r="F6" s="141"/>
      <c r="G6" s="231" t="s">
        <v>0</v>
      </c>
      <c r="H6" s="232"/>
    </row>
    <row r="7" spans="1:11" ht="17.25">
      <c r="A7" s="141"/>
      <c r="B7" s="233" t="s">
        <v>413</v>
      </c>
      <c r="C7" s="233"/>
      <c r="D7" s="233" t="s">
        <v>414</v>
      </c>
      <c r="E7" s="233"/>
      <c r="F7" s="142"/>
      <c r="G7" s="234"/>
      <c r="H7" s="234"/>
    </row>
    <row r="8" spans="1:11">
      <c r="A8" s="141"/>
      <c r="B8" s="144" t="s">
        <v>269</v>
      </c>
      <c r="C8" s="129" t="s">
        <v>415</v>
      </c>
      <c r="D8" s="144" t="s">
        <v>269</v>
      </c>
      <c r="E8" s="129" t="s">
        <v>415</v>
      </c>
      <c r="F8" s="142"/>
      <c r="G8" s="144" t="s">
        <v>269</v>
      </c>
      <c r="H8" s="129" t="s">
        <v>415</v>
      </c>
      <c r="I8" s="56"/>
      <c r="J8" s="56"/>
      <c r="K8" s="56"/>
    </row>
    <row r="9" spans="1:11">
      <c r="A9" s="127">
        <v>42186</v>
      </c>
      <c r="B9" s="142">
        <v>39.97</v>
      </c>
      <c r="C9" s="140">
        <v>4076.94</v>
      </c>
      <c r="D9" s="142">
        <v>548.37</v>
      </c>
      <c r="E9" s="140">
        <v>55933.74</v>
      </c>
      <c r="F9" s="142"/>
      <c r="G9" s="123">
        <f t="shared" ref="G9:H20" si="0">B9+D9</f>
        <v>588.34</v>
      </c>
      <c r="H9" s="125">
        <f t="shared" si="0"/>
        <v>60010.68</v>
      </c>
      <c r="I9" s="57"/>
      <c r="J9" s="59"/>
      <c r="K9" s="57"/>
    </row>
    <row r="10" spans="1:11">
      <c r="A10" s="127">
        <v>42217</v>
      </c>
      <c r="B10" s="142">
        <v>57.26</v>
      </c>
      <c r="C10" s="140">
        <v>5164</v>
      </c>
      <c r="D10" s="142">
        <v>499.56</v>
      </c>
      <c r="E10" s="140">
        <v>50955.12</v>
      </c>
      <c r="F10" s="142"/>
      <c r="G10" s="123">
        <f t="shared" si="0"/>
        <v>556.82000000000005</v>
      </c>
      <c r="H10" s="125">
        <f t="shared" si="0"/>
        <v>56119.12</v>
      </c>
      <c r="I10" s="57"/>
      <c r="J10" s="59"/>
      <c r="K10" s="57"/>
    </row>
    <row r="11" spans="1:11">
      <c r="A11" s="127">
        <v>42248</v>
      </c>
      <c r="B11" s="142">
        <v>53.14</v>
      </c>
      <c r="C11" s="140">
        <v>4665.4799999999996</v>
      </c>
      <c r="D11" s="142">
        <v>540.27</v>
      </c>
      <c r="E11" s="140">
        <v>55107.54</v>
      </c>
      <c r="F11" s="142"/>
      <c r="G11" s="123">
        <f t="shared" si="0"/>
        <v>593.41</v>
      </c>
      <c r="H11" s="125">
        <f t="shared" si="0"/>
        <v>59773.020000000004</v>
      </c>
      <c r="I11" s="57"/>
      <c r="J11" s="59"/>
      <c r="K11" s="57"/>
    </row>
    <row r="12" spans="1:11">
      <c r="A12" s="127">
        <v>42278</v>
      </c>
      <c r="B12" s="142">
        <v>36.99</v>
      </c>
      <c r="C12" s="140">
        <v>3772.98</v>
      </c>
      <c r="D12" s="142">
        <v>519.22</v>
      </c>
      <c r="E12" s="140">
        <v>52960.44</v>
      </c>
      <c r="F12" s="142"/>
      <c r="G12" s="123">
        <f t="shared" si="0"/>
        <v>556.21</v>
      </c>
      <c r="H12" s="125">
        <f t="shared" si="0"/>
        <v>56733.420000000006</v>
      </c>
      <c r="I12" s="57"/>
      <c r="J12" s="59"/>
      <c r="K12" s="57"/>
    </row>
    <row r="13" spans="1:11">
      <c r="A13" s="127">
        <v>42309</v>
      </c>
      <c r="B13" s="142">
        <v>49.81</v>
      </c>
      <c r="C13" s="140">
        <v>5080.62</v>
      </c>
      <c r="D13" s="142">
        <v>518.12176470588236</v>
      </c>
      <c r="E13" s="140">
        <v>52848.42</v>
      </c>
      <c r="F13" s="142"/>
      <c r="G13" s="123">
        <f t="shared" si="0"/>
        <v>567.93176470588242</v>
      </c>
      <c r="H13" s="125">
        <f t="shared" si="0"/>
        <v>57929.04</v>
      </c>
      <c r="I13" s="57"/>
      <c r="J13" s="59"/>
      <c r="K13" s="57"/>
    </row>
    <row r="14" spans="1:11">
      <c r="A14" s="127">
        <v>42339</v>
      </c>
      <c r="B14" s="142">
        <v>33.436176470588236</v>
      </c>
      <c r="C14" s="140">
        <v>3410.49</v>
      </c>
      <c r="D14" s="142">
        <v>561.4</v>
      </c>
      <c r="E14" s="140">
        <v>57262.8</v>
      </c>
      <c r="F14" s="142"/>
      <c r="G14" s="123">
        <f t="shared" si="0"/>
        <v>594.83617647058827</v>
      </c>
      <c r="H14" s="125">
        <f t="shared" si="0"/>
        <v>60673.29</v>
      </c>
      <c r="I14" s="57"/>
      <c r="J14" s="59"/>
      <c r="K14" s="57"/>
    </row>
    <row r="15" spans="1:11">
      <c r="A15" s="127">
        <v>42370</v>
      </c>
      <c r="B15" s="142">
        <v>16.34</v>
      </c>
      <c r="C15" s="140">
        <v>1666.68</v>
      </c>
      <c r="D15" s="142">
        <v>505.43</v>
      </c>
      <c r="E15" s="140">
        <v>51553.86</v>
      </c>
      <c r="F15" s="142"/>
      <c r="G15" s="123">
        <f t="shared" si="0"/>
        <v>521.77</v>
      </c>
      <c r="H15" s="125">
        <f t="shared" si="0"/>
        <v>53220.54</v>
      </c>
      <c r="I15" s="57"/>
      <c r="J15" s="59"/>
      <c r="K15" s="57"/>
    </row>
    <row r="16" spans="1:11">
      <c r="A16" s="127">
        <v>42401</v>
      </c>
      <c r="B16" s="142">
        <v>24.81</v>
      </c>
      <c r="C16" s="140">
        <v>2530.62</v>
      </c>
      <c r="D16" s="142">
        <v>489.46</v>
      </c>
      <c r="E16" s="140">
        <v>49924.92</v>
      </c>
      <c r="F16" s="142"/>
      <c r="G16" s="123">
        <f t="shared" si="0"/>
        <v>514.27</v>
      </c>
      <c r="H16" s="125">
        <f t="shared" si="0"/>
        <v>52455.54</v>
      </c>
      <c r="I16" s="57"/>
      <c r="J16" s="59"/>
      <c r="K16" s="57"/>
    </row>
    <row r="17" spans="1:11">
      <c r="A17" s="127">
        <v>42430</v>
      </c>
      <c r="B17" s="142">
        <v>41.11</v>
      </c>
      <c r="C17" s="140">
        <v>4193.22</v>
      </c>
      <c r="D17" s="142">
        <v>579.41</v>
      </c>
      <c r="E17" s="140">
        <v>59099.82</v>
      </c>
      <c r="F17" s="142"/>
      <c r="G17" s="123">
        <f t="shared" si="0"/>
        <v>620.52</v>
      </c>
      <c r="H17" s="125">
        <f t="shared" si="0"/>
        <v>63293.04</v>
      </c>
      <c r="I17" s="57"/>
      <c r="J17" s="59"/>
      <c r="K17" s="57"/>
    </row>
    <row r="18" spans="1:11">
      <c r="A18" s="127">
        <v>42461</v>
      </c>
      <c r="B18" s="142">
        <v>66.790000000000006</v>
      </c>
      <c r="C18" s="140">
        <v>6512.42</v>
      </c>
      <c r="D18" s="142">
        <v>498.92</v>
      </c>
      <c r="E18" s="140">
        <v>50889.84</v>
      </c>
      <c r="F18" s="142"/>
      <c r="G18" s="123">
        <f t="shared" si="0"/>
        <v>565.71</v>
      </c>
      <c r="H18" s="125">
        <f t="shared" si="0"/>
        <v>57402.259999999995</v>
      </c>
      <c r="I18" s="57"/>
      <c r="J18" s="59"/>
      <c r="K18" s="57"/>
    </row>
    <row r="19" spans="1:11">
      <c r="A19" s="127">
        <v>42491</v>
      </c>
      <c r="B19" s="142">
        <v>30.56</v>
      </c>
      <c r="C19" s="140">
        <v>3054.48</v>
      </c>
      <c r="D19" s="142">
        <v>547.72</v>
      </c>
      <c r="E19" s="140">
        <v>55867.44</v>
      </c>
      <c r="F19" s="142"/>
      <c r="G19" s="123">
        <f t="shared" si="0"/>
        <v>578.28</v>
      </c>
      <c r="H19" s="125">
        <f t="shared" si="0"/>
        <v>58921.920000000006</v>
      </c>
      <c r="I19" s="57"/>
      <c r="J19" s="59"/>
      <c r="K19" s="57"/>
    </row>
    <row r="20" spans="1:11">
      <c r="A20" s="127">
        <v>42522</v>
      </c>
      <c r="B20" s="142">
        <v>137.52000000000001</v>
      </c>
      <c r="C20" s="140">
        <v>12193.47</v>
      </c>
      <c r="D20" s="142">
        <v>584.35</v>
      </c>
      <c r="E20" s="140">
        <v>59603.7</v>
      </c>
      <c r="F20" s="142"/>
      <c r="G20" s="123">
        <f t="shared" si="0"/>
        <v>721.87</v>
      </c>
      <c r="H20" s="125">
        <f t="shared" si="0"/>
        <v>71797.17</v>
      </c>
      <c r="I20" s="57"/>
      <c r="J20" s="59"/>
      <c r="K20" s="57"/>
    </row>
    <row r="21" spans="1:11" ht="17.25">
      <c r="A21" s="127"/>
      <c r="B21" s="136"/>
      <c r="C21" s="137"/>
      <c r="D21" s="136"/>
      <c r="E21" s="137"/>
      <c r="F21" s="136"/>
      <c r="G21" s="146"/>
      <c r="H21" s="126"/>
      <c r="I21" s="56"/>
      <c r="J21" s="56"/>
      <c r="K21" s="56"/>
    </row>
    <row r="22" spans="1:11" ht="15.75" thickBot="1">
      <c r="A22" s="138"/>
      <c r="B22" s="131">
        <f>SUM(B9:B20)</f>
        <v>587.73617647058825</v>
      </c>
      <c r="C22" s="131">
        <f>SUM(C9:C20)</f>
        <v>56321.4</v>
      </c>
      <c r="D22" s="131">
        <f>SUM(D9:D20)</f>
        <v>6392.2317647058826</v>
      </c>
      <c r="E22" s="131">
        <f>SUM(E9:E20)</f>
        <v>652007.6399999999</v>
      </c>
      <c r="F22" s="131"/>
      <c r="G22" s="131">
        <f>SUM(G9:G20)</f>
        <v>6979.967941176471</v>
      </c>
      <c r="H22" s="131">
        <f>SUM(H9:H20)</f>
        <v>708329.04</v>
      </c>
    </row>
    <row r="23" spans="1:11" ht="15.75" thickTop="1">
      <c r="A23" s="138"/>
      <c r="B23" s="124"/>
      <c r="C23" s="124"/>
      <c r="D23" s="124"/>
      <c r="E23" s="124"/>
      <c r="F23" s="124"/>
      <c r="G23" s="124"/>
      <c r="H23" s="124"/>
    </row>
    <row r="24" spans="1:11">
      <c r="B24" s="128"/>
      <c r="C24" s="132"/>
      <c r="D24" s="170"/>
    </row>
    <row r="25" spans="1:11" ht="15.75" thickBot="1"/>
    <row r="26" spans="1:11">
      <c r="A26" s="133" t="s">
        <v>267</v>
      </c>
      <c r="B26" s="121"/>
      <c r="C26" s="121"/>
      <c r="D26" s="121"/>
      <c r="E26" s="120"/>
    </row>
    <row r="27" spans="1:11">
      <c r="A27" s="134"/>
      <c r="B27" s="169" t="s">
        <v>416</v>
      </c>
      <c r="C27" s="169" t="s">
        <v>417</v>
      </c>
      <c r="D27" s="172"/>
      <c r="E27" s="135"/>
    </row>
    <row r="28" spans="1:11">
      <c r="A28" s="134" t="s">
        <v>418</v>
      </c>
      <c r="B28" s="130">
        <v>18123351.310219947</v>
      </c>
      <c r="C28" s="148">
        <f>B28/B30</f>
        <v>0.91061261344962807</v>
      </c>
      <c r="D28" s="172"/>
      <c r="E28" s="135"/>
      <c r="G28" s="170"/>
    </row>
    <row r="29" spans="1:11">
      <c r="A29" s="134" t="s">
        <v>419</v>
      </c>
      <c r="B29" s="147">
        <v>1779021.0515730265</v>
      </c>
      <c r="C29" s="148">
        <f>B29/B30</f>
        <v>8.9387386550371886E-2</v>
      </c>
      <c r="D29" s="172"/>
      <c r="E29" s="135"/>
    </row>
    <row r="30" spans="1:11">
      <c r="A30" s="134"/>
      <c r="B30" s="130">
        <f>SUM(B28:B29)</f>
        <v>19902372.361792974</v>
      </c>
      <c r="C30" s="172"/>
      <c r="D30" s="172"/>
      <c r="E30" s="135"/>
    </row>
    <row r="31" spans="1:11">
      <c r="A31" s="134"/>
      <c r="B31" s="172"/>
      <c r="C31" s="172"/>
      <c r="D31" s="172"/>
      <c r="E31" s="135"/>
    </row>
    <row r="32" spans="1:11" ht="15.75" thickBot="1">
      <c r="A32" s="119" t="s">
        <v>420</v>
      </c>
      <c r="B32" s="122"/>
      <c r="C32" s="122"/>
      <c r="D32" s="122"/>
      <c r="E32" s="143"/>
    </row>
  </sheetData>
  <mergeCells count="6">
    <mergeCell ref="A4:H4"/>
    <mergeCell ref="B6:E6"/>
    <mergeCell ref="G6:H6"/>
    <mergeCell ref="B7:C7"/>
    <mergeCell ref="D7:E7"/>
    <mergeCell ref="G7:H7"/>
  </mergeCells>
  <printOptions horizontalCentered="1"/>
  <pageMargins left="0.7" right="0.7" top="0.75" bottom="0.75" header="0.3" footer="0.3"/>
  <pageSetup scale="91" orientation="portrait" r:id="rId1"/>
  <headerFooter>
    <oddFooter>&amp;L&amp;F - &amp;A&amp;R&amp;P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6"/>
  <sheetViews>
    <sheetView zoomScale="85" zoomScaleNormal="85" workbookViewId="0"/>
  </sheetViews>
  <sheetFormatPr defaultRowHeight="15" customHeight="1" outlineLevelCol="1"/>
  <cols>
    <col min="1" max="1" width="22.7109375" style="173" customWidth="1"/>
    <col min="2" max="2" width="29.140625" style="173" bestFit="1" customWidth="1"/>
    <col min="3" max="3" width="13" style="173" bestFit="1" customWidth="1"/>
    <col min="4" max="4" width="2" style="173" customWidth="1"/>
    <col min="5" max="5" width="14.28515625" style="173" customWidth="1" outlineLevel="1"/>
    <col min="6" max="6" width="14.28515625" style="173" bestFit="1" customWidth="1" outlineLevel="1"/>
    <col min="7" max="7" width="1.28515625" style="173" customWidth="1" outlineLevel="1"/>
    <col min="8" max="8" width="13.7109375" style="173" customWidth="1"/>
    <col min="9" max="9" width="3.42578125" style="173" customWidth="1"/>
    <col min="10" max="10" width="12.85546875" style="173" customWidth="1" outlineLevel="1"/>
    <col min="11" max="11" width="7.7109375" style="173" bestFit="1" customWidth="1"/>
    <col min="12" max="12" width="7" style="176" bestFit="1" customWidth="1"/>
    <col min="13" max="13" width="8.140625" style="173" bestFit="1" customWidth="1"/>
    <col min="14" max="14" width="7" style="1" bestFit="1" customWidth="1"/>
    <col min="15" max="15" width="9.5703125" style="1" bestFit="1" customWidth="1"/>
    <col min="16" max="16384" width="9.140625" style="1"/>
  </cols>
  <sheetData>
    <row r="1" spans="1:14" ht="15" customHeight="1">
      <c r="A1" s="171" t="s">
        <v>421</v>
      </c>
      <c r="B1" s="142"/>
      <c r="C1" s="140"/>
      <c r="D1" s="142"/>
      <c r="E1" s="140"/>
      <c r="F1" s="141"/>
      <c r="G1" s="140"/>
      <c r="H1" s="142"/>
      <c r="I1" s="175"/>
      <c r="J1" s="175"/>
    </row>
    <row r="2" spans="1:14" ht="15" customHeight="1">
      <c r="A2" s="138" t="s">
        <v>429</v>
      </c>
      <c r="B2" s="142"/>
      <c r="C2" s="140"/>
      <c r="D2" s="142"/>
      <c r="E2" s="140"/>
      <c r="F2" s="141"/>
      <c r="G2" s="140"/>
      <c r="H2" s="142"/>
      <c r="I2" s="175"/>
      <c r="J2" s="175"/>
    </row>
    <row r="3" spans="1:14" ht="15" customHeight="1">
      <c r="A3" s="138" t="s">
        <v>448</v>
      </c>
      <c r="B3" s="142"/>
      <c r="C3" s="140"/>
      <c r="D3" s="142"/>
      <c r="E3" s="140"/>
      <c r="F3" s="141"/>
      <c r="G3" s="140"/>
      <c r="H3" s="142"/>
      <c r="I3" s="175"/>
      <c r="J3" s="175"/>
    </row>
    <row r="4" spans="1:14" s="154" customFormat="1" ht="30.75" customHeight="1">
      <c r="A4" s="227" t="s">
        <v>462</v>
      </c>
      <c r="B4" s="227"/>
      <c r="C4" s="227"/>
      <c r="D4" s="227"/>
      <c r="E4" s="227"/>
      <c r="F4" s="227"/>
      <c r="G4" s="227"/>
      <c r="H4" s="227"/>
      <c r="I4" s="175"/>
      <c r="J4" s="175"/>
      <c r="K4" s="173"/>
      <c r="L4" s="176"/>
      <c r="M4" s="173"/>
    </row>
    <row r="5" spans="1:14" s="154" customFormat="1" ht="15" customHeight="1">
      <c r="A5" s="177"/>
      <c r="B5" s="175"/>
      <c r="C5" s="178"/>
      <c r="D5" s="175"/>
      <c r="E5" s="179"/>
      <c r="F5" s="179"/>
      <c r="G5" s="175"/>
      <c r="H5" s="175"/>
      <c r="I5" s="175"/>
      <c r="J5" s="175"/>
      <c r="K5" s="173"/>
      <c r="L5" s="176"/>
      <c r="M5" s="173"/>
    </row>
    <row r="6" spans="1:14" ht="15" customHeight="1">
      <c r="A6" s="175"/>
      <c r="B6" s="180"/>
      <c r="C6" s="181" t="s">
        <v>334</v>
      </c>
      <c r="D6" s="175"/>
      <c r="E6" s="182" t="s">
        <v>334</v>
      </c>
      <c r="F6" s="182" t="s">
        <v>335</v>
      </c>
      <c r="G6" s="182"/>
      <c r="H6" s="180" t="s">
        <v>0</v>
      </c>
      <c r="I6" s="175"/>
      <c r="J6" s="182" t="s">
        <v>334</v>
      </c>
      <c r="K6" s="182" t="s">
        <v>336</v>
      </c>
      <c r="L6" s="183" t="s">
        <v>337</v>
      </c>
      <c r="M6" s="183" t="s">
        <v>338</v>
      </c>
    </row>
    <row r="7" spans="1:14" ht="15" customHeight="1">
      <c r="A7" s="181" t="s">
        <v>1</v>
      </c>
      <c r="B7" s="180" t="s">
        <v>2</v>
      </c>
      <c r="C7" s="184" t="s">
        <v>3</v>
      </c>
      <c r="D7" s="180"/>
      <c r="E7" s="180" t="s">
        <v>4</v>
      </c>
      <c r="F7" s="180" t="s">
        <v>4</v>
      </c>
      <c r="G7" s="180"/>
      <c r="H7" s="180" t="s">
        <v>4</v>
      </c>
      <c r="I7" s="175"/>
      <c r="J7" s="180" t="s">
        <v>5</v>
      </c>
      <c r="K7" s="180" t="s">
        <v>339</v>
      </c>
      <c r="L7" s="185" t="s">
        <v>340</v>
      </c>
      <c r="M7" s="185" t="s">
        <v>341</v>
      </c>
    </row>
    <row r="8" spans="1:14" s="61" customFormat="1" ht="15" customHeight="1">
      <c r="A8" s="186" t="s">
        <v>6</v>
      </c>
      <c r="B8" s="186" t="s">
        <v>6</v>
      </c>
      <c r="C8" s="178"/>
      <c r="D8" s="187"/>
      <c r="E8" s="175"/>
      <c r="F8" s="175"/>
      <c r="G8" s="175"/>
      <c r="H8" s="175"/>
      <c r="I8" s="175"/>
      <c r="J8" s="175"/>
      <c r="K8" s="173"/>
      <c r="L8" s="188"/>
      <c r="M8" s="175"/>
    </row>
    <row r="9" spans="1:14" s="61" customFormat="1" ht="15" customHeight="1">
      <c r="A9" s="186"/>
      <c r="B9" s="186"/>
      <c r="C9" s="178"/>
      <c r="D9" s="187"/>
      <c r="E9" s="175"/>
      <c r="F9" s="175"/>
      <c r="G9" s="175"/>
      <c r="H9" s="175"/>
      <c r="I9" s="175"/>
      <c r="J9" s="175"/>
      <c r="K9" s="173"/>
      <c r="L9" s="188"/>
      <c r="M9" s="175"/>
    </row>
    <row r="10" spans="1:14" s="61" customFormat="1" ht="15" customHeight="1">
      <c r="A10" s="189" t="s">
        <v>7</v>
      </c>
      <c r="B10" s="189" t="s">
        <v>7</v>
      </c>
      <c r="C10" s="190"/>
      <c r="D10" s="190"/>
      <c r="E10" s="188"/>
      <c r="F10" s="188"/>
      <c r="G10" s="188"/>
      <c r="H10" s="191"/>
      <c r="I10" s="175"/>
      <c r="J10" s="188"/>
      <c r="K10" s="173"/>
      <c r="L10" s="188"/>
      <c r="M10" s="175"/>
    </row>
    <row r="11" spans="1:14" s="61" customFormat="1" ht="15" customHeight="1">
      <c r="A11" s="173" t="s">
        <v>8</v>
      </c>
      <c r="B11" s="173" t="s">
        <v>9</v>
      </c>
      <c r="C11" s="190">
        <v>13.43</v>
      </c>
      <c r="D11" s="190"/>
      <c r="E11" s="188">
        <v>951.86500000000001</v>
      </c>
      <c r="F11" s="188">
        <v>1059.2950000000001</v>
      </c>
      <c r="G11" s="188"/>
      <c r="H11" s="191">
        <f>SUM(E11:F11)</f>
        <v>2011.16</v>
      </c>
      <c r="I11" s="175"/>
      <c r="J11" s="188">
        <f>IFERROR((H11/$C11)/12,0)</f>
        <v>12.479275254405559</v>
      </c>
      <c r="K11" s="192">
        <f>J11</f>
        <v>12.479275254405559</v>
      </c>
      <c r="L11" s="188">
        <v>0</v>
      </c>
      <c r="M11" s="193">
        <f>H11/C11</f>
        <v>149.75130305286672</v>
      </c>
      <c r="N11" s="62"/>
    </row>
    <row r="12" spans="1:14" s="61" customFormat="1" ht="15" customHeight="1">
      <c r="A12" s="173" t="s">
        <v>10</v>
      </c>
      <c r="B12" s="173" t="s">
        <v>11</v>
      </c>
      <c r="C12" s="190">
        <v>10.83</v>
      </c>
      <c r="D12" s="190"/>
      <c r="E12" s="188">
        <v>2647.9350000000004</v>
      </c>
      <c r="F12" s="188">
        <v>2702.085</v>
      </c>
      <c r="G12" s="188"/>
      <c r="H12" s="191">
        <f t="shared" ref="H12:H34" si="0">SUM(E12:F12)</f>
        <v>5350.02</v>
      </c>
      <c r="I12" s="175"/>
      <c r="J12" s="188">
        <f t="shared" ref="J12:J34" si="1">IFERROR((H12/$C12)/12,0)</f>
        <v>41.166666666666671</v>
      </c>
      <c r="K12" s="192">
        <f t="shared" ref="K12:K34" si="2">J12</f>
        <v>41.166666666666671</v>
      </c>
      <c r="L12" s="188">
        <v>0</v>
      </c>
      <c r="M12" s="193">
        <f t="shared" ref="M12:M34" si="3">H12/C12</f>
        <v>494.00000000000006</v>
      </c>
      <c r="N12" s="62"/>
    </row>
    <row r="13" spans="1:14" s="61" customFormat="1" ht="15" customHeight="1">
      <c r="A13" s="173" t="s">
        <v>12</v>
      </c>
      <c r="B13" s="173" t="s">
        <v>13</v>
      </c>
      <c r="C13" s="190">
        <v>17.079999999999998</v>
      </c>
      <c r="D13" s="190"/>
      <c r="E13" s="188">
        <v>105410.955</v>
      </c>
      <c r="F13" s="188">
        <v>104398.08500000001</v>
      </c>
      <c r="G13" s="188"/>
      <c r="H13" s="191">
        <f t="shared" si="0"/>
        <v>209809.04</v>
      </c>
      <c r="I13" s="175"/>
      <c r="J13" s="188">
        <f t="shared" si="1"/>
        <v>1023.6584699453553</v>
      </c>
      <c r="K13" s="192">
        <f t="shared" si="2"/>
        <v>1023.6584699453553</v>
      </c>
      <c r="L13" s="188">
        <v>0</v>
      </c>
      <c r="M13" s="193">
        <f t="shared" si="3"/>
        <v>12283.901639344263</v>
      </c>
      <c r="N13" s="62"/>
    </row>
    <row r="14" spans="1:14" s="61" customFormat="1" ht="15" customHeight="1">
      <c r="A14" s="173" t="s">
        <v>14</v>
      </c>
      <c r="B14" s="173" t="s">
        <v>15</v>
      </c>
      <c r="C14" s="190">
        <v>22.67</v>
      </c>
      <c r="D14" s="190"/>
      <c r="E14" s="188">
        <v>24962.520000000004</v>
      </c>
      <c r="F14" s="188">
        <v>24613.955000000002</v>
      </c>
      <c r="G14" s="188"/>
      <c r="H14" s="191">
        <f t="shared" si="0"/>
        <v>49576.475000000006</v>
      </c>
      <c r="I14" s="175"/>
      <c r="J14" s="188">
        <f t="shared" si="1"/>
        <v>182.23965225702102</v>
      </c>
      <c r="K14" s="192">
        <f t="shared" si="2"/>
        <v>182.23965225702102</v>
      </c>
      <c r="L14" s="188">
        <v>0</v>
      </c>
      <c r="M14" s="193">
        <f t="shared" si="3"/>
        <v>2186.8758270842523</v>
      </c>
      <c r="N14" s="62"/>
    </row>
    <row r="15" spans="1:14" s="61" customFormat="1" ht="15" customHeight="1">
      <c r="A15" s="173" t="s">
        <v>16</v>
      </c>
      <c r="B15" s="173" t="s">
        <v>17</v>
      </c>
      <c r="C15" s="190">
        <v>30.04</v>
      </c>
      <c r="D15" s="190"/>
      <c r="E15" s="188">
        <v>1502</v>
      </c>
      <c r="F15" s="188">
        <v>1847.46</v>
      </c>
      <c r="G15" s="188"/>
      <c r="H15" s="191">
        <f t="shared" si="0"/>
        <v>3349.46</v>
      </c>
      <c r="I15" s="175"/>
      <c r="J15" s="188">
        <f t="shared" si="1"/>
        <v>9.2916666666666661</v>
      </c>
      <c r="K15" s="192">
        <f t="shared" si="2"/>
        <v>9.2916666666666661</v>
      </c>
      <c r="L15" s="188">
        <v>0</v>
      </c>
      <c r="M15" s="193">
        <f t="shared" si="3"/>
        <v>111.5</v>
      </c>
      <c r="N15" s="62"/>
    </row>
    <row r="16" spans="1:14" s="61" customFormat="1" ht="15" customHeight="1">
      <c r="A16" s="173" t="s">
        <v>18</v>
      </c>
      <c r="B16" s="173" t="s">
        <v>19</v>
      </c>
      <c r="C16" s="190">
        <v>39.25</v>
      </c>
      <c r="D16" s="190"/>
      <c r="E16" s="188">
        <v>235.5</v>
      </c>
      <c r="F16" s="188">
        <v>235.5</v>
      </c>
      <c r="G16" s="188"/>
      <c r="H16" s="191">
        <f t="shared" si="0"/>
        <v>471</v>
      </c>
      <c r="I16" s="175"/>
      <c r="J16" s="188">
        <f t="shared" si="1"/>
        <v>1</v>
      </c>
      <c r="K16" s="192">
        <f t="shared" si="2"/>
        <v>1</v>
      </c>
      <c r="L16" s="188">
        <v>0</v>
      </c>
      <c r="M16" s="193">
        <f t="shared" si="3"/>
        <v>12</v>
      </c>
      <c r="N16" s="62"/>
    </row>
    <row r="17" spans="1:14" s="61" customFormat="1" ht="15" customHeight="1">
      <c r="A17" s="173" t="s">
        <v>20</v>
      </c>
      <c r="B17" s="173" t="s">
        <v>21</v>
      </c>
      <c r="C17" s="190">
        <v>24.32</v>
      </c>
      <c r="D17" s="190"/>
      <c r="E17" s="188">
        <v>102298.78000000003</v>
      </c>
      <c r="F17" s="188">
        <v>105268.45999999999</v>
      </c>
      <c r="G17" s="188"/>
      <c r="H17" s="191">
        <f t="shared" si="0"/>
        <v>207567.24000000002</v>
      </c>
      <c r="I17" s="175"/>
      <c r="J17" s="188">
        <f t="shared" si="1"/>
        <v>711.2364309210526</v>
      </c>
      <c r="K17" s="192">
        <f t="shared" si="2"/>
        <v>711.2364309210526</v>
      </c>
      <c r="L17" s="188">
        <f>+K17</f>
        <v>711.2364309210526</v>
      </c>
      <c r="M17" s="193">
        <f t="shared" si="3"/>
        <v>8534.8371710526317</v>
      </c>
      <c r="N17" s="62"/>
    </row>
    <row r="18" spans="1:14" s="61" customFormat="1" ht="15" customHeight="1">
      <c r="A18" s="173" t="s">
        <v>342</v>
      </c>
      <c r="B18" s="173" t="s">
        <v>343</v>
      </c>
      <c r="C18" s="190">
        <v>48.64</v>
      </c>
      <c r="D18" s="190"/>
      <c r="E18" s="188">
        <v>0</v>
      </c>
      <c r="F18" s="188">
        <v>206.71999999999997</v>
      </c>
      <c r="G18" s="188"/>
      <c r="H18" s="191">
        <f t="shared" si="0"/>
        <v>206.71999999999997</v>
      </c>
      <c r="I18" s="175"/>
      <c r="J18" s="188">
        <f t="shared" si="1"/>
        <v>0.35416666666666657</v>
      </c>
      <c r="K18" s="192">
        <f t="shared" si="2"/>
        <v>0.35416666666666657</v>
      </c>
      <c r="L18" s="188">
        <f>K18*2</f>
        <v>0.70833333333333315</v>
      </c>
      <c r="M18" s="193">
        <f t="shared" si="3"/>
        <v>4.2499999999999991</v>
      </c>
      <c r="N18" s="62"/>
    </row>
    <row r="19" spans="1:14" s="61" customFormat="1" ht="15" customHeight="1">
      <c r="A19" s="173" t="s">
        <v>22</v>
      </c>
      <c r="B19" s="173" t="s">
        <v>23</v>
      </c>
      <c r="C19" s="190">
        <v>72.959999999999994</v>
      </c>
      <c r="D19" s="190"/>
      <c r="E19" s="188">
        <v>437.75999999999993</v>
      </c>
      <c r="F19" s="188">
        <v>857.27999999999986</v>
      </c>
      <c r="G19" s="188"/>
      <c r="H19" s="191">
        <f t="shared" si="0"/>
        <v>1295.0399999999997</v>
      </c>
      <c r="I19" s="175"/>
      <c r="J19" s="188">
        <f t="shared" si="1"/>
        <v>1.4791666666666663</v>
      </c>
      <c r="K19" s="192">
        <f t="shared" si="2"/>
        <v>1.4791666666666663</v>
      </c>
      <c r="L19" s="188">
        <f>+K19*3</f>
        <v>4.4374999999999991</v>
      </c>
      <c r="M19" s="193">
        <f t="shared" si="3"/>
        <v>17.749999999999996</v>
      </c>
      <c r="N19" s="62"/>
    </row>
    <row r="20" spans="1:14" s="61" customFormat="1" ht="15" customHeight="1">
      <c r="A20" s="173" t="s">
        <v>24</v>
      </c>
      <c r="B20" s="173" t="s">
        <v>25</v>
      </c>
      <c r="C20" s="190">
        <v>30.04</v>
      </c>
      <c r="D20" s="190"/>
      <c r="E20" s="188">
        <v>235429.98</v>
      </c>
      <c r="F20" s="188">
        <v>235317.11499999996</v>
      </c>
      <c r="G20" s="188"/>
      <c r="H20" s="191">
        <f t="shared" si="0"/>
        <v>470747.09499999997</v>
      </c>
      <c r="I20" s="175"/>
      <c r="J20" s="188">
        <f t="shared" si="1"/>
        <v>1305.8896332667553</v>
      </c>
      <c r="K20" s="192">
        <f t="shared" si="2"/>
        <v>1305.8896332667553</v>
      </c>
      <c r="L20" s="188">
        <f>+K20</f>
        <v>1305.8896332667553</v>
      </c>
      <c r="M20" s="193">
        <f t="shared" si="3"/>
        <v>15670.675599201064</v>
      </c>
      <c r="N20" s="62"/>
    </row>
    <row r="21" spans="1:14" s="61" customFormat="1" ht="15" customHeight="1">
      <c r="A21" s="173" t="s">
        <v>26</v>
      </c>
      <c r="B21" s="173" t="s">
        <v>27</v>
      </c>
      <c r="C21" s="190">
        <v>60.08</v>
      </c>
      <c r="D21" s="190"/>
      <c r="E21" s="188">
        <v>4085.4400000000005</v>
      </c>
      <c r="F21" s="188">
        <v>4055.2200000000003</v>
      </c>
      <c r="G21" s="188"/>
      <c r="H21" s="191">
        <f t="shared" si="0"/>
        <v>8140.6600000000008</v>
      </c>
      <c r="I21" s="175"/>
      <c r="J21" s="188">
        <f t="shared" si="1"/>
        <v>11.291416999556148</v>
      </c>
      <c r="K21" s="192">
        <f t="shared" si="2"/>
        <v>11.291416999556148</v>
      </c>
      <c r="L21" s="188">
        <f>+K21*2</f>
        <v>22.582833999112296</v>
      </c>
      <c r="M21" s="193">
        <f t="shared" si="3"/>
        <v>135.49700399467378</v>
      </c>
      <c r="N21" s="62"/>
    </row>
    <row r="22" spans="1:14" s="61" customFormat="1" ht="15" customHeight="1">
      <c r="A22" s="173" t="s">
        <v>28</v>
      </c>
      <c r="B22" s="173" t="s">
        <v>29</v>
      </c>
      <c r="C22" s="190">
        <v>11.92</v>
      </c>
      <c r="D22" s="190"/>
      <c r="E22" s="188">
        <v>143.03999999999996</v>
      </c>
      <c r="F22" s="188">
        <v>225.39</v>
      </c>
      <c r="G22" s="188"/>
      <c r="H22" s="191">
        <f t="shared" si="0"/>
        <v>368.42999999999995</v>
      </c>
      <c r="I22" s="175"/>
      <c r="J22" s="188">
        <f t="shared" si="1"/>
        <v>2.5757130872483218</v>
      </c>
      <c r="K22" s="192">
        <f t="shared" si="2"/>
        <v>2.5757130872483218</v>
      </c>
      <c r="L22" s="188"/>
      <c r="M22" s="193">
        <f t="shared" si="3"/>
        <v>30.908557046979862</v>
      </c>
      <c r="N22" s="62"/>
    </row>
    <row r="23" spans="1:14" s="61" customFormat="1" ht="15" customHeight="1">
      <c r="A23" s="173" t="s">
        <v>30</v>
      </c>
      <c r="B23" s="173" t="s">
        <v>31</v>
      </c>
      <c r="C23" s="190">
        <v>11.92</v>
      </c>
      <c r="D23" s="190"/>
      <c r="E23" s="188">
        <v>11.92</v>
      </c>
      <c r="F23" s="188">
        <v>65.53</v>
      </c>
      <c r="G23" s="188"/>
      <c r="H23" s="191">
        <f t="shared" si="0"/>
        <v>77.45</v>
      </c>
      <c r="I23" s="175"/>
      <c r="J23" s="188">
        <f t="shared" si="1"/>
        <v>0.54145693512304249</v>
      </c>
      <c r="K23" s="192">
        <f t="shared" si="2"/>
        <v>0.54145693512304249</v>
      </c>
      <c r="L23" s="188"/>
      <c r="M23" s="193">
        <f t="shared" si="3"/>
        <v>6.4974832214765099</v>
      </c>
      <c r="N23" s="62"/>
    </row>
    <row r="24" spans="1:14" s="60" customFormat="1" ht="15" customHeight="1">
      <c r="A24" s="173" t="s">
        <v>32</v>
      </c>
      <c r="B24" s="173" t="s">
        <v>33</v>
      </c>
      <c r="C24" s="190">
        <v>3.91</v>
      </c>
      <c r="D24" s="190"/>
      <c r="E24" s="188">
        <v>7518.9299999999994</v>
      </c>
      <c r="F24" s="188">
        <v>8050.99</v>
      </c>
      <c r="G24" s="188"/>
      <c r="H24" s="191">
        <f t="shared" si="0"/>
        <v>15569.919999999998</v>
      </c>
      <c r="I24" s="175"/>
      <c r="J24" s="188">
        <f t="shared" si="1"/>
        <v>331.83972719522586</v>
      </c>
      <c r="K24" s="192">
        <f t="shared" si="2"/>
        <v>331.83972719522586</v>
      </c>
      <c r="L24" s="188"/>
      <c r="M24" s="193">
        <f t="shared" si="3"/>
        <v>3982.0767263427106</v>
      </c>
      <c r="N24" s="62"/>
    </row>
    <row r="25" spans="1:14" s="60" customFormat="1" ht="15" customHeight="1">
      <c r="A25" s="173" t="s">
        <v>34</v>
      </c>
      <c r="B25" s="173" t="s">
        <v>35</v>
      </c>
      <c r="C25" s="190">
        <v>19.559999999999999</v>
      </c>
      <c r="D25" s="190"/>
      <c r="E25" s="188">
        <v>586.79999999999995</v>
      </c>
      <c r="F25" s="188">
        <v>821.52</v>
      </c>
      <c r="G25" s="188"/>
      <c r="H25" s="191">
        <f t="shared" si="0"/>
        <v>1408.32</v>
      </c>
      <c r="I25" s="175"/>
      <c r="J25" s="188">
        <f t="shared" si="1"/>
        <v>6</v>
      </c>
      <c r="K25" s="192">
        <f t="shared" si="2"/>
        <v>6</v>
      </c>
      <c r="L25" s="188"/>
      <c r="M25" s="193">
        <f t="shared" si="3"/>
        <v>72</v>
      </c>
      <c r="N25" s="62"/>
    </row>
    <row r="26" spans="1:14" s="61" customFormat="1" ht="15" customHeight="1">
      <c r="A26" s="173" t="s">
        <v>36</v>
      </c>
      <c r="B26" s="173" t="s">
        <v>37</v>
      </c>
      <c r="C26" s="190">
        <v>3.91</v>
      </c>
      <c r="D26" s="190"/>
      <c r="E26" s="188">
        <v>35.19</v>
      </c>
      <c r="F26" s="188">
        <v>54.739999999999995</v>
      </c>
      <c r="G26" s="188"/>
      <c r="H26" s="191">
        <f t="shared" si="0"/>
        <v>89.929999999999993</v>
      </c>
      <c r="I26" s="175"/>
      <c r="J26" s="188">
        <f t="shared" si="1"/>
        <v>1.9166666666666663</v>
      </c>
      <c r="K26" s="192">
        <f t="shared" si="2"/>
        <v>1.9166666666666663</v>
      </c>
      <c r="L26" s="188"/>
      <c r="M26" s="193">
        <f t="shared" si="3"/>
        <v>22.999999999999996</v>
      </c>
      <c r="N26" s="62"/>
    </row>
    <row r="27" spans="1:14" s="61" customFormat="1" ht="15" customHeight="1">
      <c r="A27" s="173" t="s">
        <v>38</v>
      </c>
      <c r="B27" s="173" t="s">
        <v>39</v>
      </c>
      <c r="C27" s="190">
        <v>3.91</v>
      </c>
      <c r="D27" s="190"/>
      <c r="E27" s="188">
        <v>74.290000000000006</v>
      </c>
      <c r="F27" s="188">
        <v>19.55</v>
      </c>
      <c r="G27" s="188"/>
      <c r="H27" s="191">
        <f t="shared" si="0"/>
        <v>93.84</v>
      </c>
      <c r="I27" s="175"/>
      <c r="J27" s="188">
        <f t="shared" si="1"/>
        <v>2</v>
      </c>
      <c r="K27" s="192">
        <f t="shared" si="2"/>
        <v>2</v>
      </c>
      <c r="L27" s="188"/>
      <c r="M27" s="193">
        <f t="shared" si="3"/>
        <v>24</v>
      </c>
      <c r="N27" s="62"/>
    </row>
    <row r="28" spans="1:14" s="61" customFormat="1" ht="15" customHeight="1">
      <c r="A28" s="173" t="s">
        <v>40</v>
      </c>
      <c r="B28" s="173" t="s">
        <v>41</v>
      </c>
      <c r="C28" s="190">
        <v>19.559999999999999</v>
      </c>
      <c r="D28" s="190"/>
      <c r="E28" s="188">
        <v>107.57999999999998</v>
      </c>
      <c r="F28" s="188">
        <v>127.13999999999999</v>
      </c>
      <c r="G28" s="188"/>
      <c r="H28" s="191">
        <f t="shared" si="0"/>
        <v>234.71999999999997</v>
      </c>
      <c r="I28" s="175"/>
      <c r="J28" s="188">
        <f t="shared" si="1"/>
        <v>1</v>
      </c>
      <c r="K28" s="192">
        <f t="shared" si="2"/>
        <v>1</v>
      </c>
      <c r="L28" s="188"/>
      <c r="M28" s="193">
        <f t="shared" si="3"/>
        <v>12</v>
      </c>
      <c r="N28" s="62"/>
    </row>
    <row r="29" spans="1:14" s="60" customFormat="1" ht="15" customHeight="1">
      <c r="A29" s="173" t="s">
        <v>42</v>
      </c>
      <c r="B29" s="173" t="s">
        <v>43</v>
      </c>
      <c r="C29" s="190">
        <v>3.46</v>
      </c>
      <c r="D29" s="190"/>
      <c r="E29" s="188">
        <v>73.209999999999994</v>
      </c>
      <c r="F29" s="188">
        <v>62.37</v>
      </c>
      <c r="G29" s="188"/>
      <c r="H29" s="191">
        <f t="shared" si="0"/>
        <v>135.57999999999998</v>
      </c>
      <c r="I29" s="175"/>
      <c r="J29" s="188">
        <f t="shared" si="1"/>
        <v>3.2654142581888244</v>
      </c>
      <c r="K29" s="192">
        <f t="shared" si="2"/>
        <v>3.2654142581888244</v>
      </c>
      <c r="L29" s="188"/>
      <c r="M29" s="193">
        <f t="shared" si="3"/>
        <v>39.184971098265891</v>
      </c>
      <c r="N29" s="62"/>
    </row>
    <row r="30" spans="1:14" s="60" customFormat="1" ht="15" customHeight="1">
      <c r="A30" s="173" t="s">
        <v>344</v>
      </c>
      <c r="B30" s="173" t="s">
        <v>345</v>
      </c>
      <c r="C30" s="190">
        <v>6.62</v>
      </c>
      <c r="D30" s="190"/>
      <c r="E30" s="188">
        <v>2802.3600000000006</v>
      </c>
      <c r="F30" s="188">
        <v>2681.8599999999997</v>
      </c>
      <c r="G30" s="188"/>
      <c r="H30" s="191">
        <f t="shared" si="0"/>
        <v>5484.22</v>
      </c>
      <c r="I30" s="175"/>
      <c r="J30" s="188">
        <f t="shared" si="1"/>
        <v>69.036002014098685</v>
      </c>
      <c r="K30" s="192">
        <f t="shared" si="2"/>
        <v>69.036002014098685</v>
      </c>
      <c r="L30" s="188"/>
      <c r="M30" s="193">
        <f t="shared" si="3"/>
        <v>828.43202416918427</v>
      </c>
      <c r="N30" s="62"/>
    </row>
    <row r="31" spans="1:14" s="60" customFormat="1" ht="15" customHeight="1">
      <c r="A31" s="173" t="s">
        <v>346</v>
      </c>
      <c r="B31" s="173" t="s">
        <v>347</v>
      </c>
      <c r="C31" s="190">
        <v>3.46</v>
      </c>
      <c r="D31" s="190"/>
      <c r="E31" s="188">
        <v>0.8</v>
      </c>
      <c r="F31" s="188">
        <v>8.49</v>
      </c>
      <c r="G31" s="188"/>
      <c r="H31" s="191">
        <f t="shared" si="0"/>
        <v>9.2900000000000009</v>
      </c>
      <c r="I31" s="175"/>
      <c r="J31" s="188">
        <f t="shared" si="1"/>
        <v>0.22374759152215803</v>
      </c>
      <c r="K31" s="192">
        <f t="shared" si="2"/>
        <v>0.22374759152215803</v>
      </c>
      <c r="L31" s="188"/>
      <c r="M31" s="193">
        <f t="shared" si="3"/>
        <v>2.6849710982658963</v>
      </c>
      <c r="N31" s="62"/>
    </row>
    <row r="32" spans="1:14" s="60" customFormat="1" ht="15" customHeight="1">
      <c r="A32" s="173" t="s">
        <v>44</v>
      </c>
      <c r="B32" s="173" t="s">
        <v>45</v>
      </c>
      <c r="C32" s="190">
        <v>21.86</v>
      </c>
      <c r="D32" s="190"/>
      <c r="E32" s="188">
        <v>109.3</v>
      </c>
      <c r="F32" s="188">
        <v>109.3</v>
      </c>
      <c r="G32" s="188"/>
      <c r="H32" s="191">
        <f t="shared" si="0"/>
        <v>218.6</v>
      </c>
      <c r="I32" s="175"/>
      <c r="J32" s="188">
        <f t="shared" si="1"/>
        <v>0.83333333333333337</v>
      </c>
      <c r="K32" s="192">
        <f t="shared" si="2"/>
        <v>0.83333333333333337</v>
      </c>
      <c r="L32" s="188"/>
      <c r="M32" s="193">
        <f t="shared" si="3"/>
        <v>10</v>
      </c>
      <c r="N32" s="62"/>
    </row>
    <row r="33" spans="1:14" s="61" customFormat="1" ht="15" customHeight="1">
      <c r="A33" s="173" t="s">
        <v>46</v>
      </c>
      <c r="B33" s="173" t="s">
        <v>47</v>
      </c>
      <c r="C33" s="190">
        <v>13.12</v>
      </c>
      <c r="D33" s="190"/>
      <c r="E33" s="188">
        <v>984</v>
      </c>
      <c r="F33" s="188">
        <v>774.07999999999993</v>
      </c>
      <c r="G33" s="188"/>
      <c r="H33" s="191">
        <f t="shared" si="0"/>
        <v>1758.08</v>
      </c>
      <c r="I33" s="175"/>
      <c r="J33" s="188">
        <f t="shared" si="1"/>
        <v>11.166666666666666</v>
      </c>
      <c r="K33" s="192">
        <f t="shared" si="2"/>
        <v>11.166666666666666</v>
      </c>
      <c r="L33" s="188"/>
      <c r="M33" s="193">
        <f t="shared" si="3"/>
        <v>134</v>
      </c>
      <c r="N33" s="62"/>
    </row>
    <row r="34" spans="1:14" s="61" customFormat="1" ht="15" customHeight="1">
      <c r="A34" s="173" t="s">
        <v>348</v>
      </c>
      <c r="B34" s="173" t="s">
        <v>349</v>
      </c>
      <c r="C34" s="190">
        <v>102</v>
      </c>
      <c r="D34" s="190"/>
      <c r="E34" s="188">
        <v>25.5</v>
      </c>
      <c r="F34" s="188">
        <v>0</v>
      </c>
      <c r="G34" s="188"/>
      <c r="H34" s="191">
        <f t="shared" si="0"/>
        <v>25.5</v>
      </c>
      <c r="I34" s="175"/>
      <c r="J34" s="188">
        <f t="shared" si="1"/>
        <v>2.0833333333333332E-2</v>
      </c>
      <c r="K34" s="192">
        <f t="shared" si="2"/>
        <v>2.0833333333333332E-2</v>
      </c>
      <c r="L34" s="188"/>
      <c r="M34" s="193">
        <f t="shared" si="3"/>
        <v>0.25</v>
      </c>
      <c r="N34" s="62"/>
    </row>
    <row r="35" spans="1:14" s="61" customFormat="1" ht="15" customHeight="1" thickBot="1">
      <c r="A35" s="194"/>
      <c r="B35" s="194"/>
      <c r="C35" s="190"/>
      <c r="D35" s="190"/>
      <c r="E35" s="188"/>
      <c r="F35" s="188"/>
      <c r="G35" s="188"/>
      <c r="H35" s="191"/>
      <c r="I35" s="175"/>
      <c r="J35" s="175"/>
      <c r="K35" s="192"/>
      <c r="L35" s="188"/>
      <c r="M35" s="175"/>
    </row>
    <row r="36" spans="1:14" s="60" customFormat="1" ht="15" customHeight="1" thickBot="1">
      <c r="A36" s="195"/>
      <c r="B36" s="196" t="s">
        <v>48</v>
      </c>
      <c r="C36" s="190"/>
      <c r="D36" s="190"/>
      <c r="E36" s="197">
        <f>SUM(E11:E35)</f>
        <v>490435.65499999997</v>
      </c>
      <c r="F36" s="197">
        <f>SUM(F11:F35)</f>
        <v>493562.13499999995</v>
      </c>
      <c r="G36" s="197"/>
      <c r="H36" s="197">
        <f>SUM(H11:H34)</f>
        <v>983997.78999999992</v>
      </c>
      <c r="I36" s="175"/>
      <c r="J36" s="188"/>
      <c r="K36" s="198">
        <f>SUM(K11:K21)</f>
        <v>3300.0865453108131</v>
      </c>
      <c r="L36" s="188"/>
      <c r="M36" s="175"/>
    </row>
    <row r="37" spans="1:14" s="61" customFormat="1" ht="15" customHeight="1">
      <c r="A37" s="186"/>
      <c r="B37" s="199"/>
      <c r="C37" s="190"/>
      <c r="D37" s="190"/>
      <c r="E37" s="200"/>
      <c r="F37" s="200"/>
      <c r="G37" s="175"/>
      <c r="H37" s="191"/>
      <c r="I37" s="175"/>
      <c r="J37" s="188"/>
      <c r="K37" s="192"/>
      <c r="L37" s="188"/>
      <c r="M37" s="175"/>
    </row>
    <row r="38" spans="1:14" s="61" customFormat="1" ht="15" customHeight="1">
      <c r="A38" s="189" t="s">
        <v>350</v>
      </c>
      <c r="B38" s="189" t="s">
        <v>350</v>
      </c>
      <c r="C38" s="190"/>
      <c r="D38" s="190"/>
      <c r="E38" s="200"/>
      <c r="F38" s="200"/>
      <c r="G38" s="175"/>
      <c r="H38" s="191"/>
      <c r="I38" s="175"/>
      <c r="J38" s="188"/>
      <c r="K38" s="192"/>
      <c r="L38" s="188"/>
      <c r="M38" s="175"/>
    </row>
    <row r="39" spans="1:14" s="61" customFormat="1" ht="15" customHeight="1">
      <c r="A39" s="173" t="s">
        <v>351</v>
      </c>
      <c r="B39" s="173" t="s">
        <v>352</v>
      </c>
      <c r="C39" s="190">
        <v>9.98</v>
      </c>
      <c r="D39" s="190"/>
      <c r="E39" s="188">
        <v>1716.56</v>
      </c>
      <c r="F39" s="188">
        <v>1976.04</v>
      </c>
      <c r="G39" s="188"/>
      <c r="H39" s="191">
        <f>SUM(E39:F39)</f>
        <v>3692.6</v>
      </c>
      <c r="I39" s="175"/>
      <c r="J39" s="188">
        <f>IFERROR((H39/$C39)/12,0)</f>
        <v>30.833333333333332</v>
      </c>
      <c r="K39" s="192">
        <f t="shared" ref="K39" si="4">J39</f>
        <v>30.833333333333332</v>
      </c>
      <c r="L39" s="188"/>
      <c r="M39" s="193">
        <f t="shared" ref="M39" si="5">H39/C39</f>
        <v>370</v>
      </c>
    </row>
    <row r="40" spans="1:14" s="61" customFormat="1" ht="15" customHeight="1" thickBot="1">
      <c r="A40" s="201"/>
      <c r="B40" s="173"/>
      <c r="C40" s="190"/>
      <c r="D40" s="190"/>
      <c r="E40" s="188"/>
      <c r="F40" s="188"/>
      <c r="G40" s="188"/>
      <c r="H40" s="188"/>
      <c r="I40" s="175"/>
      <c r="J40" s="188"/>
      <c r="K40" s="173"/>
      <c r="L40" s="188"/>
      <c r="M40" s="175"/>
    </row>
    <row r="41" spans="1:14" s="60" customFormat="1" ht="15" customHeight="1" thickBot="1">
      <c r="A41" s="195"/>
      <c r="B41" s="196" t="s">
        <v>353</v>
      </c>
      <c r="C41" s="190"/>
      <c r="D41" s="190"/>
      <c r="E41" s="197">
        <f t="shared" ref="E41" si="6">SUM(E39:E40)</f>
        <v>1716.56</v>
      </c>
      <c r="F41" s="197">
        <f t="shared" ref="F41:H41" si="7">SUM(F39:F40)</f>
        <v>1976.04</v>
      </c>
      <c r="G41" s="197"/>
      <c r="H41" s="197">
        <f t="shared" si="7"/>
        <v>3692.6</v>
      </c>
      <c r="I41" s="175"/>
      <c r="J41" s="188"/>
      <c r="K41" s="202">
        <f>SUM(K39:K40)</f>
        <v>30.833333333333332</v>
      </c>
      <c r="L41" s="188"/>
      <c r="M41" s="175"/>
    </row>
    <row r="42" spans="1:14" s="60" customFormat="1" ht="15" customHeight="1">
      <c r="A42" s="195"/>
      <c r="B42" s="195"/>
      <c r="C42" s="190"/>
      <c r="D42" s="190"/>
      <c r="E42" s="200"/>
      <c r="F42" s="200"/>
      <c r="G42" s="175"/>
      <c r="H42" s="191"/>
      <c r="I42" s="175"/>
      <c r="J42" s="188"/>
      <c r="K42" s="175"/>
      <c r="L42" s="188"/>
      <c r="M42" s="175"/>
    </row>
    <row r="43" spans="1:14" s="61" customFormat="1" ht="15" customHeight="1">
      <c r="A43" s="175"/>
      <c r="B43" s="175"/>
      <c r="C43" s="190"/>
      <c r="D43" s="190"/>
      <c r="E43" s="175"/>
      <c r="F43" s="175"/>
      <c r="G43" s="175"/>
      <c r="H43" s="191"/>
      <c r="I43" s="175"/>
      <c r="J43" s="188"/>
      <c r="K43" s="173"/>
      <c r="L43" s="188"/>
      <c r="M43" s="175"/>
    </row>
    <row r="44" spans="1:14" ht="15" customHeight="1">
      <c r="A44" s="186" t="s">
        <v>49</v>
      </c>
      <c r="B44" s="186" t="s">
        <v>49</v>
      </c>
    </row>
    <row r="45" spans="1:14" ht="15" customHeight="1">
      <c r="A45" s="186"/>
      <c r="B45" s="186"/>
    </row>
    <row r="46" spans="1:14" s="61" customFormat="1" ht="15" customHeight="1">
      <c r="A46" s="189" t="s">
        <v>50</v>
      </c>
      <c r="B46" s="189" t="s">
        <v>50</v>
      </c>
      <c r="C46" s="190"/>
      <c r="D46" s="190"/>
      <c r="E46" s="175"/>
      <c r="F46" s="175"/>
      <c r="G46" s="175"/>
      <c r="H46" s="191"/>
      <c r="I46" s="175"/>
      <c r="J46" s="188"/>
      <c r="K46" s="173"/>
      <c r="L46" s="188"/>
      <c r="M46" s="175"/>
    </row>
    <row r="47" spans="1:14" s="61" customFormat="1" ht="15" customHeight="1">
      <c r="A47" s="173" t="s">
        <v>51</v>
      </c>
      <c r="B47" s="173" t="s">
        <v>52</v>
      </c>
      <c r="C47" s="190">
        <v>63.74</v>
      </c>
      <c r="D47" s="190"/>
      <c r="E47" s="188">
        <v>96423.53</v>
      </c>
      <c r="F47" s="188">
        <v>95849.959999999992</v>
      </c>
      <c r="G47" s="188"/>
      <c r="H47" s="191">
        <f>SUM(E47:F47)</f>
        <v>192273.49</v>
      </c>
      <c r="I47" s="175"/>
      <c r="J47" s="188">
        <f>IFERROR((H47/$C47)/12,0)</f>
        <v>251.37732716243067</v>
      </c>
      <c r="K47" s="192">
        <f>J47</f>
        <v>251.37732716243067</v>
      </c>
      <c r="L47" s="188">
        <f>+K47</f>
        <v>251.37732716243067</v>
      </c>
      <c r="M47" s="193">
        <f>H47/C47</f>
        <v>3016.5279259491681</v>
      </c>
    </row>
    <row r="48" spans="1:14" s="61" customFormat="1" ht="15" customHeight="1">
      <c r="A48" s="173" t="s">
        <v>354</v>
      </c>
      <c r="B48" s="173" t="s">
        <v>355</v>
      </c>
      <c r="C48" s="190">
        <v>14.72</v>
      </c>
      <c r="D48" s="190"/>
      <c r="E48" s="188">
        <v>86.94</v>
      </c>
      <c r="F48" s="188">
        <v>87.4</v>
      </c>
      <c r="G48" s="188"/>
      <c r="H48" s="191">
        <f t="shared" ref="H48:H111" si="8">SUM(E48:F48)</f>
        <v>174.34</v>
      </c>
      <c r="I48" s="175"/>
      <c r="J48" s="188">
        <f t="shared" ref="J48:J111" si="9">IFERROR((H48/$C48)/12,0)</f>
        <v>0.98697916666666663</v>
      </c>
      <c r="K48" s="192">
        <f t="shared" ref="K48:K111" si="10">J48</f>
        <v>0.98697916666666663</v>
      </c>
      <c r="L48" s="188">
        <f>+K48</f>
        <v>0.98697916666666663</v>
      </c>
      <c r="M48" s="193">
        <f t="shared" ref="M48:M111" si="11">H48/C48</f>
        <v>11.84375</v>
      </c>
    </row>
    <row r="49" spans="1:15" s="61" customFormat="1" ht="15" customHeight="1">
      <c r="A49" s="173" t="s">
        <v>53</v>
      </c>
      <c r="B49" s="173" t="s">
        <v>54</v>
      </c>
      <c r="C49" s="190">
        <v>191.21</v>
      </c>
      <c r="D49" s="190"/>
      <c r="E49" s="188">
        <v>1147.26</v>
      </c>
      <c r="F49" s="188">
        <v>1147.26</v>
      </c>
      <c r="G49" s="188"/>
      <c r="H49" s="191">
        <f t="shared" si="8"/>
        <v>2294.52</v>
      </c>
      <c r="I49" s="175"/>
      <c r="J49" s="188">
        <f t="shared" si="9"/>
        <v>1</v>
      </c>
      <c r="K49" s="192">
        <f t="shared" si="10"/>
        <v>1</v>
      </c>
      <c r="L49" s="188">
        <f>+K49</f>
        <v>1</v>
      </c>
      <c r="M49" s="193">
        <f t="shared" si="11"/>
        <v>12</v>
      </c>
    </row>
    <row r="50" spans="1:15" s="61" customFormat="1" ht="15" customHeight="1">
      <c r="A50" s="173" t="s">
        <v>55</v>
      </c>
      <c r="B50" s="173" t="s">
        <v>56</v>
      </c>
      <c r="C50" s="190">
        <v>22.21</v>
      </c>
      <c r="D50" s="190"/>
      <c r="E50" s="188">
        <v>621.88</v>
      </c>
      <c r="F50" s="188">
        <v>666.3</v>
      </c>
      <c r="G50" s="188"/>
      <c r="H50" s="191">
        <f t="shared" si="8"/>
        <v>1288.1799999999998</v>
      </c>
      <c r="I50" s="175"/>
      <c r="J50" s="188">
        <f t="shared" si="9"/>
        <v>4.833333333333333</v>
      </c>
      <c r="K50" s="192">
        <f t="shared" si="10"/>
        <v>4.833333333333333</v>
      </c>
      <c r="L50" s="188">
        <f>+K50</f>
        <v>4.833333333333333</v>
      </c>
      <c r="M50" s="193">
        <f t="shared" si="11"/>
        <v>57.999999999999993</v>
      </c>
    </row>
    <row r="51" spans="1:15" s="61" customFormat="1" ht="15" customHeight="1">
      <c r="A51" s="173" t="s">
        <v>57</v>
      </c>
      <c r="B51" s="173" t="s">
        <v>58</v>
      </c>
      <c r="C51" s="190">
        <v>96.17</v>
      </c>
      <c r="D51" s="190"/>
      <c r="E51" s="188">
        <v>56157.439999999988</v>
      </c>
      <c r="F51" s="188">
        <v>55003.520000000004</v>
      </c>
      <c r="G51" s="188"/>
      <c r="H51" s="191">
        <f t="shared" si="8"/>
        <v>111160.95999999999</v>
      </c>
      <c r="I51" s="175"/>
      <c r="J51" s="188">
        <f t="shared" si="9"/>
        <v>96.323316349519942</v>
      </c>
      <c r="K51" s="192">
        <f t="shared" si="10"/>
        <v>96.323316349519942</v>
      </c>
      <c r="L51" s="188">
        <f>+K51</f>
        <v>96.323316349519942</v>
      </c>
      <c r="M51" s="193">
        <f t="shared" si="11"/>
        <v>1155.8797961942394</v>
      </c>
    </row>
    <row r="52" spans="1:15" s="61" customFormat="1" ht="15" customHeight="1">
      <c r="A52" s="173" t="s">
        <v>59</v>
      </c>
      <c r="B52" s="173" t="s">
        <v>60</v>
      </c>
      <c r="C52" s="190">
        <v>192.34</v>
      </c>
      <c r="D52" s="190"/>
      <c r="E52" s="188">
        <v>3461.9399999999996</v>
      </c>
      <c r="F52" s="188">
        <v>2211.7900000000004</v>
      </c>
      <c r="G52" s="188"/>
      <c r="H52" s="191">
        <f t="shared" si="8"/>
        <v>5673.73</v>
      </c>
      <c r="I52" s="175"/>
      <c r="J52" s="188">
        <f t="shared" si="9"/>
        <v>2.4582033551696645</v>
      </c>
      <c r="K52" s="192">
        <f t="shared" si="10"/>
        <v>2.4582033551696645</v>
      </c>
      <c r="L52" s="188">
        <f>+K52*2</f>
        <v>4.916406710339329</v>
      </c>
      <c r="M52" s="193">
        <f t="shared" si="11"/>
        <v>29.498440262035974</v>
      </c>
    </row>
    <row r="53" spans="1:15" s="61" customFormat="1" ht="15" customHeight="1">
      <c r="A53" s="173" t="s">
        <v>61</v>
      </c>
      <c r="B53" s="173" t="s">
        <v>62</v>
      </c>
      <c r="C53" s="190">
        <v>288.51</v>
      </c>
      <c r="D53" s="190"/>
      <c r="E53" s="188">
        <v>1731</v>
      </c>
      <c r="F53" s="188">
        <v>1731</v>
      </c>
      <c r="G53" s="188"/>
      <c r="H53" s="191">
        <f t="shared" si="8"/>
        <v>3462</v>
      </c>
      <c r="I53" s="175"/>
      <c r="J53" s="188">
        <f t="shared" si="9"/>
        <v>0.9999653391563551</v>
      </c>
      <c r="K53" s="192">
        <f t="shared" si="10"/>
        <v>0.9999653391563551</v>
      </c>
      <c r="L53" s="188">
        <f>+K53*3</f>
        <v>2.9998960174690654</v>
      </c>
      <c r="M53" s="193">
        <f t="shared" si="11"/>
        <v>11.999584069876262</v>
      </c>
    </row>
    <row r="54" spans="1:15" s="61" customFormat="1" ht="15" customHeight="1">
      <c r="A54" s="173" t="s">
        <v>63</v>
      </c>
      <c r="B54" s="173" t="s">
        <v>64</v>
      </c>
      <c r="C54" s="190">
        <v>192.34</v>
      </c>
      <c r="D54" s="190"/>
      <c r="E54" s="188">
        <v>6539.2199999999993</v>
      </c>
      <c r="F54" s="188">
        <v>6923.8799999999992</v>
      </c>
      <c r="G54" s="188"/>
      <c r="H54" s="191">
        <f t="shared" si="8"/>
        <v>13463.099999999999</v>
      </c>
      <c r="I54" s="175"/>
      <c r="J54" s="188">
        <f t="shared" si="9"/>
        <v>5.8330300509514394</v>
      </c>
      <c r="K54" s="192">
        <f t="shared" si="10"/>
        <v>5.8330300509514394</v>
      </c>
      <c r="L54" s="188">
        <f t="shared" ref="L54:L60" si="12">+K54</f>
        <v>5.8330300509514394</v>
      </c>
      <c r="M54" s="193">
        <f t="shared" si="11"/>
        <v>69.996360611417273</v>
      </c>
    </row>
    <row r="55" spans="1:15" s="60" customFormat="1" ht="15" customHeight="1">
      <c r="A55" s="173" t="s">
        <v>65</v>
      </c>
      <c r="B55" s="173" t="s">
        <v>66</v>
      </c>
      <c r="C55" s="190">
        <v>288.51</v>
      </c>
      <c r="D55" s="190"/>
      <c r="E55" s="188">
        <v>3462</v>
      </c>
      <c r="F55" s="188">
        <v>3462</v>
      </c>
      <c r="G55" s="188"/>
      <c r="H55" s="191">
        <f t="shared" si="8"/>
        <v>6924</v>
      </c>
      <c r="I55" s="175"/>
      <c r="J55" s="188">
        <f t="shared" si="9"/>
        <v>1.9999306783127102</v>
      </c>
      <c r="K55" s="192">
        <f t="shared" si="10"/>
        <v>1.9999306783127102</v>
      </c>
      <c r="L55" s="188">
        <f t="shared" si="12"/>
        <v>1.9999306783127102</v>
      </c>
      <c r="M55" s="193">
        <f t="shared" si="11"/>
        <v>23.999168139752523</v>
      </c>
    </row>
    <row r="56" spans="1:15" s="61" customFormat="1" ht="15" customHeight="1">
      <c r="A56" s="173" t="s">
        <v>67</v>
      </c>
      <c r="B56" s="173" t="s">
        <v>68</v>
      </c>
      <c r="C56" s="190">
        <v>29.62</v>
      </c>
      <c r="D56" s="190"/>
      <c r="E56" s="188">
        <v>681.26</v>
      </c>
      <c r="F56" s="188">
        <v>533.16</v>
      </c>
      <c r="G56" s="188"/>
      <c r="H56" s="191">
        <f t="shared" si="8"/>
        <v>1214.42</v>
      </c>
      <c r="I56" s="175"/>
      <c r="J56" s="188">
        <f t="shared" si="9"/>
        <v>3.4166666666666665</v>
      </c>
      <c r="K56" s="192">
        <f t="shared" si="10"/>
        <v>3.4166666666666665</v>
      </c>
      <c r="L56" s="188">
        <f t="shared" si="12"/>
        <v>3.4166666666666665</v>
      </c>
      <c r="M56" s="193">
        <f t="shared" si="11"/>
        <v>41</v>
      </c>
    </row>
    <row r="57" spans="1:15" s="61" customFormat="1" ht="15" customHeight="1">
      <c r="A57" s="173" t="s">
        <v>69</v>
      </c>
      <c r="B57" s="173" t="s">
        <v>70</v>
      </c>
      <c r="C57" s="190">
        <v>128.25</v>
      </c>
      <c r="D57" s="190"/>
      <c r="E57" s="188">
        <v>41937.75</v>
      </c>
      <c r="F57" s="188">
        <v>40142.26</v>
      </c>
      <c r="G57" s="188"/>
      <c r="H57" s="191">
        <f t="shared" si="8"/>
        <v>82080.010000000009</v>
      </c>
      <c r="I57" s="175"/>
      <c r="J57" s="188">
        <f t="shared" si="9"/>
        <v>53.333339831059135</v>
      </c>
      <c r="K57" s="192">
        <f t="shared" si="10"/>
        <v>53.333339831059135</v>
      </c>
      <c r="L57" s="188">
        <f t="shared" si="12"/>
        <v>53.333339831059135</v>
      </c>
      <c r="M57" s="193">
        <f t="shared" si="11"/>
        <v>640.00007797270962</v>
      </c>
    </row>
    <row r="58" spans="1:15" s="61" customFormat="1" ht="15" customHeight="1">
      <c r="A58" s="173" t="s">
        <v>71</v>
      </c>
      <c r="B58" s="173" t="s">
        <v>72</v>
      </c>
      <c r="C58" s="190">
        <v>256.51</v>
      </c>
      <c r="D58" s="190"/>
      <c r="E58" s="188">
        <v>3078</v>
      </c>
      <c r="F58" s="188">
        <v>3078</v>
      </c>
      <c r="G58" s="188"/>
      <c r="H58" s="191">
        <f t="shared" si="8"/>
        <v>6156</v>
      </c>
      <c r="I58" s="175"/>
      <c r="J58" s="188">
        <f t="shared" si="9"/>
        <v>1.9999220303302014</v>
      </c>
      <c r="K58" s="192">
        <f t="shared" si="10"/>
        <v>1.9999220303302014</v>
      </c>
      <c r="L58" s="188">
        <f t="shared" si="12"/>
        <v>1.9999220303302014</v>
      </c>
      <c r="M58" s="193">
        <f t="shared" si="11"/>
        <v>23.999064363962418</v>
      </c>
    </row>
    <row r="59" spans="1:15" s="61" customFormat="1" ht="15" customHeight="1">
      <c r="A59" s="173" t="s">
        <v>73</v>
      </c>
      <c r="B59" s="173" t="s">
        <v>74</v>
      </c>
      <c r="C59" s="190">
        <v>384.76</v>
      </c>
      <c r="D59" s="190"/>
      <c r="E59" s="188">
        <v>4617.12</v>
      </c>
      <c r="F59" s="188">
        <v>4617.12</v>
      </c>
      <c r="G59" s="188"/>
      <c r="H59" s="191">
        <f t="shared" si="8"/>
        <v>9234.24</v>
      </c>
      <c r="I59" s="175"/>
      <c r="J59" s="188">
        <f t="shared" si="9"/>
        <v>2</v>
      </c>
      <c r="K59" s="192">
        <f t="shared" si="10"/>
        <v>2</v>
      </c>
      <c r="L59" s="188">
        <f t="shared" si="12"/>
        <v>2</v>
      </c>
      <c r="M59" s="193">
        <f t="shared" si="11"/>
        <v>24</v>
      </c>
    </row>
    <row r="60" spans="1:15" s="61" customFormat="1" ht="15" customHeight="1">
      <c r="A60" s="173" t="s">
        <v>75</v>
      </c>
      <c r="B60" s="173" t="s">
        <v>76</v>
      </c>
      <c r="C60" s="190">
        <v>181.25</v>
      </c>
      <c r="D60" s="190"/>
      <c r="E60" s="188">
        <v>36884.379999999997</v>
      </c>
      <c r="F60" s="188">
        <v>32217.190000000002</v>
      </c>
      <c r="G60" s="188"/>
      <c r="H60" s="191">
        <f t="shared" si="8"/>
        <v>69101.570000000007</v>
      </c>
      <c r="I60" s="175"/>
      <c r="J60" s="188">
        <f t="shared" si="9"/>
        <v>31.770836781609201</v>
      </c>
      <c r="K60" s="192">
        <f t="shared" si="10"/>
        <v>31.770836781609201</v>
      </c>
      <c r="L60" s="188">
        <f t="shared" si="12"/>
        <v>31.770836781609201</v>
      </c>
      <c r="M60" s="193">
        <f t="shared" si="11"/>
        <v>381.2500413793104</v>
      </c>
    </row>
    <row r="61" spans="1:15" s="61" customFormat="1" ht="15" customHeight="1">
      <c r="A61" s="173" t="s">
        <v>77</v>
      </c>
      <c r="B61" s="173" t="s">
        <v>78</v>
      </c>
      <c r="C61" s="190">
        <v>362.51</v>
      </c>
      <c r="D61" s="190"/>
      <c r="E61" s="188">
        <v>8246.880000000001</v>
      </c>
      <c r="F61" s="188">
        <v>8609.39</v>
      </c>
      <c r="G61" s="188"/>
      <c r="H61" s="191">
        <f t="shared" si="8"/>
        <v>16856.27</v>
      </c>
      <c r="I61" s="175"/>
      <c r="J61" s="188">
        <f t="shared" si="9"/>
        <v>3.874897703971385</v>
      </c>
      <c r="K61" s="192">
        <f t="shared" si="10"/>
        <v>3.874897703971385</v>
      </c>
      <c r="L61" s="188">
        <f>+K61*2</f>
        <v>7.74979540794277</v>
      </c>
      <c r="M61" s="193">
        <f t="shared" si="11"/>
        <v>46.49877244765662</v>
      </c>
    </row>
    <row r="62" spans="1:15" s="61" customFormat="1" ht="15" customHeight="1">
      <c r="A62" s="173" t="s">
        <v>79</v>
      </c>
      <c r="B62" s="173" t="s">
        <v>80</v>
      </c>
      <c r="C62" s="190">
        <v>362.51</v>
      </c>
      <c r="D62" s="190"/>
      <c r="E62" s="188">
        <v>8700</v>
      </c>
      <c r="F62" s="188">
        <v>9787.5</v>
      </c>
      <c r="G62" s="188"/>
      <c r="H62" s="191">
        <f t="shared" si="8"/>
        <v>18487.5</v>
      </c>
      <c r="I62" s="175"/>
      <c r="J62" s="188">
        <f t="shared" si="9"/>
        <v>4.2498827618548454</v>
      </c>
      <c r="K62" s="192">
        <f t="shared" si="10"/>
        <v>4.2498827618548454</v>
      </c>
      <c r="L62" s="188">
        <f>+K62</f>
        <v>4.2498827618548454</v>
      </c>
      <c r="M62" s="193">
        <f t="shared" si="11"/>
        <v>50.998593142258144</v>
      </c>
      <c r="O62" s="63"/>
    </row>
    <row r="63" spans="1:15" s="61" customFormat="1" ht="15" customHeight="1">
      <c r="A63" s="173" t="s">
        <v>81</v>
      </c>
      <c r="B63" s="173" t="s">
        <v>82</v>
      </c>
      <c r="C63" s="190">
        <v>543.76</v>
      </c>
      <c r="D63" s="190"/>
      <c r="E63" s="188">
        <v>3262.5600000000004</v>
      </c>
      <c r="F63" s="188">
        <v>3262.5600000000004</v>
      </c>
      <c r="G63" s="188"/>
      <c r="H63" s="191">
        <f t="shared" si="8"/>
        <v>6525.1200000000008</v>
      </c>
      <c r="I63" s="175"/>
      <c r="J63" s="188">
        <f t="shared" si="9"/>
        <v>1.0000000000000002</v>
      </c>
      <c r="K63" s="192">
        <f t="shared" si="10"/>
        <v>1.0000000000000002</v>
      </c>
      <c r="L63" s="188">
        <f>+K63</f>
        <v>1.0000000000000002</v>
      </c>
      <c r="M63" s="193">
        <f t="shared" si="11"/>
        <v>12.000000000000002</v>
      </c>
    </row>
    <row r="64" spans="1:15" s="61" customFormat="1" ht="15" customHeight="1">
      <c r="A64" s="173" t="s">
        <v>83</v>
      </c>
      <c r="B64" s="173" t="s">
        <v>84</v>
      </c>
      <c r="C64" s="190">
        <v>240.83</v>
      </c>
      <c r="D64" s="190"/>
      <c r="E64" s="188">
        <v>20049.099999999999</v>
      </c>
      <c r="F64" s="188">
        <v>18182.68</v>
      </c>
      <c r="G64" s="188"/>
      <c r="H64" s="191">
        <f t="shared" si="8"/>
        <v>38231.78</v>
      </c>
      <c r="I64" s="175"/>
      <c r="J64" s="188">
        <f t="shared" si="9"/>
        <v>13.2291727221138</v>
      </c>
      <c r="K64" s="192">
        <f t="shared" si="10"/>
        <v>13.2291727221138</v>
      </c>
      <c r="L64" s="188">
        <f>+K64</f>
        <v>13.2291727221138</v>
      </c>
      <c r="M64" s="193">
        <f t="shared" si="11"/>
        <v>158.75007266536559</v>
      </c>
    </row>
    <row r="65" spans="1:13" s="61" customFormat="1" ht="15" customHeight="1">
      <c r="A65" s="173" t="s">
        <v>85</v>
      </c>
      <c r="B65" s="173" t="s">
        <v>86</v>
      </c>
      <c r="C65" s="190">
        <v>481.67</v>
      </c>
      <c r="D65" s="190"/>
      <c r="E65" s="188">
        <v>10114.86</v>
      </c>
      <c r="F65" s="188">
        <v>8067.81</v>
      </c>
      <c r="G65" s="188"/>
      <c r="H65" s="191">
        <f t="shared" si="8"/>
        <v>18182.670000000002</v>
      </c>
      <c r="I65" s="175"/>
      <c r="J65" s="188">
        <f t="shared" si="9"/>
        <v>3.1457688874125438</v>
      </c>
      <c r="K65" s="192">
        <f t="shared" si="10"/>
        <v>3.1457688874125438</v>
      </c>
      <c r="L65" s="188">
        <f>+K65*2</f>
        <v>6.2915377748250876</v>
      </c>
      <c r="M65" s="193">
        <f t="shared" si="11"/>
        <v>37.749226648950525</v>
      </c>
    </row>
    <row r="66" spans="1:13" s="61" customFormat="1" ht="15" customHeight="1">
      <c r="A66" s="173" t="s">
        <v>87</v>
      </c>
      <c r="B66" s="173" t="s">
        <v>88</v>
      </c>
      <c r="C66" s="190">
        <v>722.5</v>
      </c>
      <c r="D66" s="190"/>
      <c r="E66" s="188">
        <v>4335</v>
      </c>
      <c r="F66" s="188">
        <v>4335</v>
      </c>
      <c r="G66" s="188"/>
      <c r="H66" s="191">
        <f t="shared" si="8"/>
        <v>8670</v>
      </c>
      <c r="I66" s="175"/>
      <c r="J66" s="188">
        <f t="shared" si="9"/>
        <v>1</v>
      </c>
      <c r="K66" s="192">
        <f t="shared" si="10"/>
        <v>1</v>
      </c>
      <c r="L66" s="188">
        <f>+K66</f>
        <v>1</v>
      </c>
      <c r="M66" s="193">
        <f t="shared" si="11"/>
        <v>12</v>
      </c>
    </row>
    <row r="67" spans="1:13" s="61" customFormat="1" ht="15" customHeight="1">
      <c r="A67" s="173" t="s">
        <v>89</v>
      </c>
      <c r="B67" s="173" t="s">
        <v>90</v>
      </c>
      <c r="C67" s="190">
        <v>963.34</v>
      </c>
      <c r="D67" s="190"/>
      <c r="E67" s="188">
        <v>5779.9800000000005</v>
      </c>
      <c r="F67" s="188">
        <v>5779.9800000000005</v>
      </c>
      <c r="G67" s="188"/>
      <c r="H67" s="191">
        <f t="shared" si="8"/>
        <v>11559.960000000001</v>
      </c>
      <c r="I67" s="175"/>
      <c r="J67" s="188">
        <f t="shared" si="9"/>
        <v>0.99998961944900033</v>
      </c>
      <c r="K67" s="192">
        <f t="shared" si="10"/>
        <v>0.99998961944900033</v>
      </c>
      <c r="L67" s="188">
        <f>+K67</f>
        <v>0.99998961944900033</v>
      </c>
      <c r="M67" s="193">
        <f t="shared" si="11"/>
        <v>11.999875433388004</v>
      </c>
    </row>
    <row r="68" spans="1:13" s="61" customFormat="1" ht="15" customHeight="1">
      <c r="A68" s="173" t="s">
        <v>91</v>
      </c>
      <c r="B68" s="173" t="s">
        <v>92</v>
      </c>
      <c r="C68" s="190">
        <v>350.99</v>
      </c>
      <c r="D68" s="190"/>
      <c r="E68" s="188">
        <v>13512.730000000001</v>
      </c>
      <c r="F68" s="188">
        <v>16847.04</v>
      </c>
      <c r="G68" s="188"/>
      <c r="H68" s="191">
        <f t="shared" si="8"/>
        <v>30359.770000000004</v>
      </c>
      <c r="I68" s="175"/>
      <c r="J68" s="188">
        <f t="shared" si="9"/>
        <v>7.2081279618602627</v>
      </c>
      <c r="K68" s="192">
        <f t="shared" si="10"/>
        <v>7.2081279618602627</v>
      </c>
      <c r="L68" s="188">
        <f>+K68</f>
        <v>7.2081279618602627</v>
      </c>
      <c r="M68" s="193">
        <f t="shared" si="11"/>
        <v>86.497535542323149</v>
      </c>
    </row>
    <row r="69" spans="1:13" s="61" customFormat="1" ht="15" customHeight="1">
      <c r="A69" s="173" t="s">
        <v>93</v>
      </c>
      <c r="B69" s="173" t="s">
        <v>94</v>
      </c>
      <c r="C69" s="190">
        <v>701.98</v>
      </c>
      <c r="D69" s="190"/>
      <c r="E69" s="188">
        <v>4211.8200000000006</v>
      </c>
      <c r="F69" s="188">
        <v>4211.8200000000006</v>
      </c>
      <c r="G69" s="188"/>
      <c r="H69" s="191">
        <f t="shared" si="8"/>
        <v>8423.6400000000012</v>
      </c>
      <c r="I69" s="175"/>
      <c r="J69" s="188">
        <f t="shared" si="9"/>
        <v>0.99998575457990269</v>
      </c>
      <c r="K69" s="192">
        <f t="shared" si="10"/>
        <v>0.99998575457990269</v>
      </c>
      <c r="L69" s="188">
        <f>+K69*2</f>
        <v>1.9999715091598054</v>
      </c>
      <c r="M69" s="193">
        <f t="shared" si="11"/>
        <v>11.999829054958832</v>
      </c>
    </row>
    <row r="70" spans="1:13" s="61" customFormat="1" ht="15" customHeight="1">
      <c r="A70" s="173" t="s">
        <v>95</v>
      </c>
      <c r="B70" s="173" t="s">
        <v>96</v>
      </c>
      <c r="C70" s="190">
        <v>701.98</v>
      </c>
      <c r="D70" s="190"/>
      <c r="E70" s="188">
        <v>4211.8200000000006</v>
      </c>
      <c r="F70" s="188">
        <v>4211.8200000000006</v>
      </c>
      <c r="G70" s="188"/>
      <c r="H70" s="191">
        <f t="shared" si="8"/>
        <v>8423.6400000000012</v>
      </c>
      <c r="I70" s="175"/>
      <c r="J70" s="188">
        <f t="shared" si="9"/>
        <v>0.99998575457990269</v>
      </c>
      <c r="K70" s="192">
        <f t="shared" si="10"/>
        <v>0.99998575457990269</v>
      </c>
      <c r="L70" s="188">
        <f>+K70</f>
        <v>0.99998575457990269</v>
      </c>
      <c r="M70" s="193">
        <f t="shared" si="11"/>
        <v>11.999829054958832</v>
      </c>
    </row>
    <row r="71" spans="1:13" s="61" customFormat="1" ht="15" customHeight="1">
      <c r="A71" s="173" t="s">
        <v>97</v>
      </c>
      <c r="B71" s="173" t="s">
        <v>98</v>
      </c>
      <c r="C71" s="190">
        <v>1403.96</v>
      </c>
      <c r="D71" s="190"/>
      <c r="E71" s="188">
        <v>8423.7000000000007</v>
      </c>
      <c r="F71" s="188">
        <v>8423.7000000000007</v>
      </c>
      <c r="G71" s="188"/>
      <c r="H71" s="191">
        <f t="shared" si="8"/>
        <v>16847.400000000001</v>
      </c>
      <c r="I71" s="175"/>
      <c r="J71" s="188">
        <f t="shared" si="9"/>
        <v>0.99999287728995123</v>
      </c>
      <c r="K71" s="192">
        <f t="shared" si="10"/>
        <v>0.99999287728995123</v>
      </c>
      <c r="L71" s="188">
        <f>+K71</f>
        <v>0.99999287728995123</v>
      </c>
      <c r="M71" s="193">
        <f t="shared" si="11"/>
        <v>11.999914527479415</v>
      </c>
    </row>
    <row r="72" spans="1:13" s="61" customFormat="1" ht="15" customHeight="1">
      <c r="A72" s="173" t="s">
        <v>356</v>
      </c>
      <c r="B72" s="173" t="s">
        <v>357</v>
      </c>
      <c r="C72" s="190">
        <v>1754.95</v>
      </c>
      <c r="D72" s="190"/>
      <c r="E72" s="188">
        <v>10382.879999999999</v>
      </c>
      <c r="F72" s="188">
        <v>10382.879999999999</v>
      </c>
      <c r="G72" s="188"/>
      <c r="H72" s="191">
        <f t="shared" si="8"/>
        <v>20765.759999999998</v>
      </c>
      <c r="I72" s="175"/>
      <c r="J72" s="188">
        <f t="shared" si="9"/>
        <v>0.98605658280862685</v>
      </c>
      <c r="K72" s="192">
        <f t="shared" si="10"/>
        <v>0.98605658280862685</v>
      </c>
      <c r="L72" s="188"/>
      <c r="M72" s="193">
        <f t="shared" si="11"/>
        <v>11.832678993703523</v>
      </c>
    </row>
    <row r="73" spans="1:13" s="61" customFormat="1" ht="15" customHeight="1">
      <c r="A73" s="173" t="s">
        <v>99</v>
      </c>
      <c r="B73" s="173" t="s">
        <v>100</v>
      </c>
      <c r="C73" s="190">
        <v>457.46</v>
      </c>
      <c r="D73" s="190"/>
      <c r="E73" s="188">
        <v>2744.7599999999998</v>
      </c>
      <c r="F73" s="188">
        <v>2744.7599999999998</v>
      </c>
      <c r="G73" s="188"/>
      <c r="H73" s="191">
        <f t="shared" si="8"/>
        <v>5489.5199999999995</v>
      </c>
      <c r="I73" s="175"/>
      <c r="J73" s="188">
        <f t="shared" si="9"/>
        <v>1</v>
      </c>
      <c r="K73" s="192">
        <f t="shared" si="10"/>
        <v>1</v>
      </c>
      <c r="L73" s="188">
        <f>+K73</f>
        <v>1</v>
      </c>
      <c r="M73" s="193">
        <f t="shared" si="11"/>
        <v>12</v>
      </c>
    </row>
    <row r="74" spans="1:13" s="61" customFormat="1" ht="15" customHeight="1">
      <c r="A74" s="173" t="s">
        <v>101</v>
      </c>
      <c r="B74" s="173" t="s">
        <v>102</v>
      </c>
      <c r="C74" s="190">
        <v>914.93</v>
      </c>
      <c r="D74" s="190"/>
      <c r="E74" s="188">
        <v>5489.5199999999995</v>
      </c>
      <c r="F74" s="188">
        <v>5489.5199999999995</v>
      </c>
      <c r="G74" s="188"/>
      <c r="H74" s="191">
        <f t="shared" si="8"/>
        <v>10979.039999999999</v>
      </c>
      <c r="I74" s="175"/>
      <c r="J74" s="188">
        <f t="shared" si="9"/>
        <v>0.99998907020209193</v>
      </c>
      <c r="K74" s="192">
        <f t="shared" si="10"/>
        <v>0.99998907020209193</v>
      </c>
      <c r="L74" s="188">
        <f>+K74</f>
        <v>0.99998907020209193</v>
      </c>
      <c r="M74" s="193">
        <f t="shared" si="11"/>
        <v>11.999868842425103</v>
      </c>
    </row>
    <row r="75" spans="1:13" s="61" customFormat="1" ht="15" customHeight="1">
      <c r="A75" s="173" t="s">
        <v>103</v>
      </c>
      <c r="B75" s="173" t="s">
        <v>104</v>
      </c>
      <c r="C75" s="190">
        <v>17.399999999999999</v>
      </c>
      <c r="D75" s="190"/>
      <c r="E75" s="188">
        <v>4963.3499999999995</v>
      </c>
      <c r="F75" s="188">
        <v>5172.1499999999996</v>
      </c>
      <c r="G75" s="188"/>
      <c r="H75" s="191">
        <f t="shared" si="8"/>
        <v>10135.5</v>
      </c>
      <c r="I75" s="175"/>
      <c r="J75" s="188">
        <f t="shared" si="9"/>
        <v>48.541666666666664</v>
      </c>
      <c r="K75" s="192">
        <f t="shared" si="10"/>
        <v>48.541666666666664</v>
      </c>
      <c r="L75" s="188">
        <v>0</v>
      </c>
      <c r="M75" s="193">
        <f t="shared" si="11"/>
        <v>582.5</v>
      </c>
    </row>
    <row r="76" spans="1:13" s="61" customFormat="1" ht="15" customHeight="1">
      <c r="A76" s="173" t="s">
        <v>105</v>
      </c>
      <c r="B76" s="173" t="s">
        <v>106</v>
      </c>
      <c r="C76" s="190">
        <v>34.64</v>
      </c>
      <c r="D76" s="190"/>
      <c r="E76" s="188">
        <v>1333.64</v>
      </c>
      <c r="F76" s="188">
        <v>831.3599999999999</v>
      </c>
      <c r="G76" s="188"/>
      <c r="H76" s="191">
        <f t="shared" si="8"/>
        <v>2165</v>
      </c>
      <c r="I76" s="175"/>
      <c r="J76" s="188">
        <f t="shared" si="9"/>
        <v>5.208333333333333</v>
      </c>
      <c r="K76" s="192">
        <f t="shared" si="10"/>
        <v>5.208333333333333</v>
      </c>
      <c r="L76" s="188">
        <v>0</v>
      </c>
      <c r="M76" s="193">
        <f t="shared" si="11"/>
        <v>62.5</v>
      </c>
    </row>
    <row r="77" spans="1:13" s="61" customFormat="1" ht="15" customHeight="1">
      <c r="A77" s="173" t="s">
        <v>358</v>
      </c>
      <c r="B77" s="173" t="s">
        <v>359</v>
      </c>
      <c r="C77" s="190">
        <v>51.96</v>
      </c>
      <c r="D77" s="190"/>
      <c r="E77" s="188">
        <v>0</v>
      </c>
      <c r="F77" s="188">
        <v>77.94</v>
      </c>
      <c r="G77" s="188"/>
      <c r="H77" s="191">
        <f t="shared" si="8"/>
        <v>77.94</v>
      </c>
      <c r="I77" s="175"/>
      <c r="J77" s="188">
        <f t="shared" si="9"/>
        <v>0.125</v>
      </c>
      <c r="K77" s="192">
        <f t="shared" si="10"/>
        <v>0.125</v>
      </c>
      <c r="L77" s="188"/>
      <c r="M77" s="193">
        <f t="shared" si="11"/>
        <v>1.5</v>
      </c>
    </row>
    <row r="78" spans="1:13" s="61" customFormat="1" ht="15" customHeight="1">
      <c r="A78" s="173" t="s">
        <v>107</v>
      </c>
      <c r="B78" s="173" t="s">
        <v>108</v>
      </c>
      <c r="C78" s="190">
        <v>32.39</v>
      </c>
      <c r="D78" s="190"/>
      <c r="E78" s="188">
        <v>5530.5899999999992</v>
      </c>
      <c r="F78" s="188">
        <v>5951.68</v>
      </c>
      <c r="G78" s="188"/>
      <c r="H78" s="191">
        <f t="shared" si="8"/>
        <v>11482.27</v>
      </c>
      <c r="I78" s="175"/>
      <c r="J78" s="188">
        <f t="shared" si="9"/>
        <v>29.541705258824738</v>
      </c>
      <c r="K78" s="192">
        <f t="shared" si="10"/>
        <v>29.541705258824738</v>
      </c>
      <c r="L78" s="188">
        <f>+K78</f>
        <v>29.541705258824738</v>
      </c>
      <c r="M78" s="193">
        <f t="shared" si="11"/>
        <v>354.50046310589687</v>
      </c>
    </row>
    <row r="79" spans="1:13" s="61" customFormat="1" ht="15" customHeight="1">
      <c r="A79" s="173" t="s">
        <v>360</v>
      </c>
      <c r="B79" s="173" t="s">
        <v>361</v>
      </c>
      <c r="C79" s="190">
        <v>64.78</v>
      </c>
      <c r="D79" s="190"/>
      <c r="E79" s="188">
        <v>1554.4799999999998</v>
      </c>
      <c r="F79" s="188">
        <v>1554.4799999999998</v>
      </c>
      <c r="G79" s="188"/>
      <c r="H79" s="191">
        <f t="shared" si="8"/>
        <v>3108.9599999999996</v>
      </c>
      <c r="I79" s="175"/>
      <c r="J79" s="188">
        <f t="shared" si="9"/>
        <v>3.9993825254708235</v>
      </c>
      <c r="K79" s="192">
        <f t="shared" si="10"/>
        <v>3.9993825254708235</v>
      </c>
      <c r="L79" s="188">
        <f>K79*2</f>
        <v>7.998765050941647</v>
      </c>
      <c r="M79" s="193">
        <f t="shared" si="11"/>
        <v>47.992590305649884</v>
      </c>
    </row>
    <row r="80" spans="1:13" s="61" customFormat="1" ht="15" customHeight="1">
      <c r="A80" s="173" t="s">
        <v>109</v>
      </c>
      <c r="B80" s="173" t="s">
        <v>110</v>
      </c>
      <c r="C80" s="190">
        <v>161.94</v>
      </c>
      <c r="D80" s="190"/>
      <c r="E80" s="188">
        <v>971.6400000000001</v>
      </c>
      <c r="F80" s="188">
        <v>971.6400000000001</v>
      </c>
      <c r="G80" s="188"/>
      <c r="H80" s="191">
        <f t="shared" si="8"/>
        <v>1943.2800000000002</v>
      </c>
      <c r="I80" s="175"/>
      <c r="J80" s="188">
        <f t="shared" si="9"/>
        <v>1.0000000000000002</v>
      </c>
      <c r="K80" s="192">
        <f t="shared" si="10"/>
        <v>1.0000000000000002</v>
      </c>
      <c r="L80" s="188">
        <f>+K80*5</f>
        <v>5.0000000000000009</v>
      </c>
      <c r="M80" s="193">
        <f t="shared" si="11"/>
        <v>12.000000000000002</v>
      </c>
    </row>
    <row r="81" spans="1:13" s="61" customFormat="1" ht="15" customHeight="1">
      <c r="A81" s="173" t="s">
        <v>111</v>
      </c>
      <c r="B81" s="173" t="s">
        <v>112</v>
      </c>
      <c r="C81" s="190">
        <v>38.68</v>
      </c>
      <c r="D81" s="190"/>
      <c r="E81" s="188">
        <v>32303.5</v>
      </c>
      <c r="F81" s="188">
        <v>30911.14</v>
      </c>
      <c r="G81" s="188"/>
      <c r="H81" s="191">
        <f t="shared" si="8"/>
        <v>63214.64</v>
      </c>
      <c r="I81" s="175"/>
      <c r="J81" s="188">
        <f t="shared" si="9"/>
        <v>136.19148569458807</v>
      </c>
      <c r="K81" s="192">
        <f t="shared" si="10"/>
        <v>136.19148569458807</v>
      </c>
      <c r="L81" s="188">
        <f>+K81</f>
        <v>136.19148569458807</v>
      </c>
      <c r="M81" s="193">
        <f t="shared" si="11"/>
        <v>1634.2978283350569</v>
      </c>
    </row>
    <row r="82" spans="1:13" s="61" customFormat="1" ht="15" customHeight="1">
      <c r="A82" s="173" t="s">
        <v>113</v>
      </c>
      <c r="B82" s="173" t="s">
        <v>114</v>
      </c>
      <c r="C82" s="190">
        <v>77.33</v>
      </c>
      <c r="D82" s="190"/>
      <c r="E82" s="188">
        <v>7037.0399999999991</v>
      </c>
      <c r="F82" s="188">
        <v>6418.3899999999994</v>
      </c>
      <c r="G82" s="188"/>
      <c r="H82" s="191">
        <f t="shared" si="8"/>
        <v>13455.429999999998</v>
      </c>
      <c r="I82" s="175"/>
      <c r="J82" s="188">
        <f t="shared" si="9"/>
        <v>14.500010776326564</v>
      </c>
      <c r="K82" s="192">
        <f t="shared" si="10"/>
        <v>14.500010776326564</v>
      </c>
      <c r="L82" s="188">
        <f>+K82*2</f>
        <v>29.000021552653127</v>
      </c>
      <c r="M82" s="193">
        <f t="shared" si="11"/>
        <v>174.00012931591877</v>
      </c>
    </row>
    <row r="83" spans="1:13" s="61" customFormat="1" ht="15" customHeight="1">
      <c r="A83" s="173" t="s">
        <v>115</v>
      </c>
      <c r="B83" s="173" t="s">
        <v>116</v>
      </c>
      <c r="C83" s="190">
        <v>77.33</v>
      </c>
      <c r="D83" s="190"/>
      <c r="E83" s="188">
        <v>889.3</v>
      </c>
      <c r="F83" s="188">
        <v>463.97999999999996</v>
      </c>
      <c r="G83" s="188"/>
      <c r="H83" s="191">
        <f t="shared" si="8"/>
        <v>1353.28</v>
      </c>
      <c r="I83" s="175"/>
      <c r="J83" s="188">
        <f t="shared" si="9"/>
        <v>1.4583387214966164</v>
      </c>
      <c r="K83" s="192">
        <f t="shared" si="10"/>
        <v>1.4583387214966164</v>
      </c>
      <c r="L83" s="188">
        <f>+K83</f>
        <v>1.4583387214966164</v>
      </c>
      <c r="M83" s="193">
        <f t="shared" si="11"/>
        <v>17.500064657959395</v>
      </c>
    </row>
    <row r="84" spans="1:13" s="61" customFormat="1" ht="15" customHeight="1">
      <c r="A84" s="173" t="s">
        <v>117</v>
      </c>
      <c r="B84" s="173" t="s">
        <v>118</v>
      </c>
      <c r="C84" s="190">
        <v>309.33999999999997</v>
      </c>
      <c r="D84" s="190"/>
      <c r="E84" s="188">
        <v>1855.9799999999998</v>
      </c>
      <c r="F84" s="188">
        <v>1855.9799999999998</v>
      </c>
      <c r="G84" s="188"/>
      <c r="H84" s="191">
        <f t="shared" si="8"/>
        <v>3711.9599999999996</v>
      </c>
      <c r="I84" s="175"/>
      <c r="J84" s="188">
        <f t="shared" si="9"/>
        <v>0.99996767311049328</v>
      </c>
      <c r="K84" s="192">
        <f t="shared" si="10"/>
        <v>0.99996767311049328</v>
      </c>
      <c r="L84" s="188">
        <f>+K84*4</f>
        <v>3.9998706924419731</v>
      </c>
      <c r="M84" s="193">
        <f t="shared" si="11"/>
        <v>11.999612077325919</v>
      </c>
    </row>
    <row r="85" spans="1:13" s="61" customFormat="1" ht="15" customHeight="1">
      <c r="A85" s="173" t="s">
        <v>119</v>
      </c>
      <c r="B85" s="173" t="s">
        <v>120</v>
      </c>
      <c r="C85" s="190">
        <v>11</v>
      </c>
      <c r="D85" s="190"/>
      <c r="E85" s="188">
        <v>198</v>
      </c>
      <c r="F85" s="188">
        <v>121</v>
      </c>
      <c r="G85" s="188"/>
      <c r="H85" s="191">
        <f t="shared" si="8"/>
        <v>319</v>
      </c>
      <c r="I85" s="175"/>
      <c r="J85" s="188">
        <f t="shared" si="9"/>
        <v>2.4166666666666665</v>
      </c>
      <c r="K85" s="192">
        <f t="shared" si="10"/>
        <v>2.4166666666666665</v>
      </c>
      <c r="L85" s="188"/>
      <c r="M85" s="193">
        <f t="shared" si="11"/>
        <v>29</v>
      </c>
    </row>
    <row r="86" spans="1:13" s="61" customFormat="1" ht="15" customHeight="1">
      <c r="A86" s="173" t="s">
        <v>121</v>
      </c>
      <c r="B86" s="173" t="s">
        <v>122</v>
      </c>
      <c r="C86" s="190">
        <v>4</v>
      </c>
      <c r="D86" s="190"/>
      <c r="E86" s="188">
        <v>5791.91</v>
      </c>
      <c r="F86" s="188">
        <v>6076</v>
      </c>
      <c r="G86" s="188"/>
      <c r="H86" s="191">
        <f t="shared" si="8"/>
        <v>11867.91</v>
      </c>
      <c r="I86" s="175"/>
      <c r="J86" s="188">
        <f t="shared" si="9"/>
        <v>247.24812499999999</v>
      </c>
      <c r="K86" s="192">
        <f t="shared" si="10"/>
        <v>247.24812499999999</v>
      </c>
      <c r="L86" s="188"/>
      <c r="M86" s="193">
        <f t="shared" si="11"/>
        <v>2966.9775</v>
      </c>
    </row>
    <row r="87" spans="1:13" s="61" customFormat="1" ht="15" customHeight="1">
      <c r="A87" s="173" t="s">
        <v>123</v>
      </c>
      <c r="B87" s="173" t="s">
        <v>124</v>
      </c>
      <c r="C87" s="190">
        <v>3.91</v>
      </c>
      <c r="D87" s="190"/>
      <c r="E87" s="188">
        <v>7.82</v>
      </c>
      <c r="F87" s="188">
        <v>0</v>
      </c>
      <c r="G87" s="188"/>
      <c r="H87" s="191">
        <f t="shared" si="8"/>
        <v>7.82</v>
      </c>
      <c r="I87" s="175"/>
      <c r="J87" s="188">
        <f t="shared" si="9"/>
        <v>0.16666666666666666</v>
      </c>
      <c r="K87" s="192">
        <f t="shared" si="10"/>
        <v>0.16666666666666666</v>
      </c>
      <c r="L87" s="188"/>
      <c r="M87" s="193">
        <f t="shared" si="11"/>
        <v>2</v>
      </c>
    </row>
    <row r="88" spans="1:13" s="61" customFormat="1" ht="15" customHeight="1">
      <c r="A88" s="173" t="s">
        <v>125</v>
      </c>
      <c r="B88" s="173" t="s">
        <v>126</v>
      </c>
      <c r="C88" s="190">
        <v>3.91</v>
      </c>
      <c r="D88" s="190"/>
      <c r="E88" s="188">
        <v>3.91</v>
      </c>
      <c r="F88" s="188">
        <v>3.91</v>
      </c>
      <c r="G88" s="188"/>
      <c r="H88" s="191">
        <f t="shared" si="8"/>
        <v>7.82</v>
      </c>
      <c r="I88" s="175"/>
      <c r="J88" s="188">
        <f t="shared" si="9"/>
        <v>0.16666666666666666</v>
      </c>
      <c r="K88" s="192">
        <f t="shared" si="10"/>
        <v>0.16666666666666666</v>
      </c>
      <c r="L88" s="188"/>
      <c r="M88" s="193">
        <f t="shared" si="11"/>
        <v>2</v>
      </c>
    </row>
    <row r="89" spans="1:13" s="61" customFormat="1" ht="15" customHeight="1">
      <c r="A89" s="173" t="s">
        <v>127</v>
      </c>
      <c r="B89" s="173" t="s">
        <v>128</v>
      </c>
      <c r="C89" s="190">
        <v>35.979999999999997</v>
      </c>
      <c r="D89" s="190"/>
      <c r="E89" s="188">
        <v>503.72</v>
      </c>
      <c r="F89" s="188">
        <v>143.91999999999999</v>
      </c>
      <c r="G89" s="188"/>
      <c r="H89" s="191">
        <f t="shared" si="8"/>
        <v>647.64</v>
      </c>
      <c r="I89" s="175"/>
      <c r="J89" s="188">
        <f t="shared" si="9"/>
        <v>1.5</v>
      </c>
      <c r="K89" s="192">
        <f t="shared" si="10"/>
        <v>1.5</v>
      </c>
      <c r="L89" s="188">
        <f t="shared" ref="L89:L99" si="13">+K89</f>
        <v>1.5</v>
      </c>
      <c r="M89" s="193">
        <f t="shared" si="11"/>
        <v>18</v>
      </c>
    </row>
    <row r="90" spans="1:13" s="61" customFormat="1" ht="15" customHeight="1">
      <c r="A90" s="173" t="s">
        <v>129</v>
      </c>
      <c r="B90" s="173" t="s">
        <v>130</v>
      </c>
      <c r="C90" s="190">
        <v>51.73</v>
      </c>
      <c r="D90" s="190"/>
      <c r="E90" s="188">
        <v>827.68000000000006</v>
      </c>
      <c r="F90" s="188">
        <v>672.49</v>
      </c>
      <c r="G90" s="188"/>
      <c r="H90" s="191">
        <f t="shared" si="8"/>
        <v>1500.17</v>
      </c>
      <c r="I90" s="175"/>
      <c r="J90" s="188">
        <f t="shared" si="9"/>
        <v>2.416666666666667</v>
      </c>
      <c r="K90" s="192">
        <f t="shared" si="10"/>
        <v>2.416666666666667</v>
      </c>
      <c r="L90" s="188">
        <f t="shared" si="13"/>
        <v>2.416666666666667</v>
      </c>
      <c r="M90" s="193">
        <f t="shared" si="11"/>
        <v>29.000000000000004</v>
      </c>
    </row>
    <row r="91" spans="1:13" s="61" customFormat="1" ht="15" customHeight="1">
      <c r="A91" s="173" t="s">
        <v>131</v>
      </c>
      <c r="B91" s="173" t="s">
        <v>132</v>
      </c>
      <c r="C91" s="190">
        <v>60.91</v>
      </c>
      <c r="D91" s="190"/>
      <c r="E91" s="188">
        <v>487.28</v>
      </c>
      <c r="F91" s="188">
        <v>609.09999999999991</v>
      </c>
      <c r="G91" s="188"/>
      <c r="H91" s="191">
        <f t="shared" si="8"/>
        <v>1096.3799999999999</v>
      </c>
      <c r="I91" s="175"/>
      <c r="J91" s="188">
        <f t="shared" si="9"/>
        <v>1.5</v>
      </c>
      <c r="K91" s="192">
        <f t="shared" si="10"/>
        <v>1.5</v>
      </c>
      <c r="L91" s="188">
        <f t="shared" si="13"/>
        <v>1.5</v>
      </c>
      <c r="M91" s="193">
        <f t="shared" si="11"/>
        <v>18</v>
      </c>
    </row>
    <row r="92" spans="1:13" s="61" customFormat="1" ht="15" customHeight="1">
      <c r="A92" s="173" t="s">
        <v>133</v>
      </c>
      <c r="B92" s="173" t="s">
        <v>134</v>
      </c>
      <c r="C92" s="190">
        <v>78.459999999999994</v>
      </c>
      <c r="D92" s="190"/>
      <c r="E92" s="188">
        <v>-11</v>
      </c>
      <c r="F92" s="188">
        <v>392.29999999999995</v>
      </c>
      <c r="G92" s="188"/>
      <c r="H92" s="191">
        <f t="shared" si="8"/>
        <v>381.29999999999995</v>
      </c>
      <c r="I92" s="175"/>
      <c r="J92" s="188">
        <f t="shared" si="9"/>
        <v>0.4049834310476676</v>
      </c>
      <c r="K92" s="192">
        <f t="shared" si="10"/>
        <v>0.4049834310476676</v>
      </c>
      <c r="L92" s="188">
        <f t="shared" si="13"/>
        <v>0.4049834310476676</v>
      </c>
      <c r="M92" s="193">
        <f t="shared" si="11"/>
        <v>4.8598011725720109</v>
      </c>
    </row>
    <row r="93" spans="1:13" s="61" customFormat="1" ht="15" customHeight="1">
      <c r="A93" s="173" t="s">
        <v>135</v>
      </c>
      <c r="B93" s="173" t="s">
        <v>136</v>
      </c>
      <c r="C93" s="190">
        <v>97.17</v>
      </c>
      <c r="D93" s="190"/>
      <c r="E93" s="188">
        <v>388.68</v>
      </c>
      <c r="F93" s="188">
        <v>971.69999999999993</v>
      </c>
      <c r="G93" s="188"/>
      <c r="H93" s="191">
        <f t="shared" si="8"/>
        <v>1360.3799999999999</v>
      </c>
      <c r="I93" s="175"/>
      <c r="J93" s="188">
        <f t="shared" si="9"/>
        <v>1.1666666666666665</v>
      </c>
      <c r="K93" s="192">
        <f t="shared" si="10"/>
        <v>1.1666666666666665</v>
      </c>
      <c r="L93" s="188">
        <f t="shared" si="13"/>
        <v>1.1666666666666665</v>
      </c>
      <c r="M93" s="193">
        <f t="shared" si="11"/>
        <v>13.999999999999998</v>
      </c>
    </row>
    <row r="94" spans="1:13" s="61" customFormat="1" ht="15" customHeight="1">
      <c r="A94" s="173" t="s">
        <v>362</v>
      </c>
      <c r="B94" s="173" t="s">
        <v>363</v>
      </c>
      <c r="C94" s="190">
        <v>130.96</v>
      </c>
      <c r="D94" s="190"/>
      <c r="E94" s="188">
        <v>81.06</v>
      </c>
      <c r="F94" s="188">
        <v>0</v>
      </c>
      <c r="G94" s="188"/>
      <c r="H94" s="191">
        <f t="shared" si="8"/>
        <v>81.06</v>
      </c>
      <c r="I94" s="175"/>
      <c r="J94" s="188">
        <f t="shared" si="9"/>
        <v>5.1580635308491142E-2</v>
      </c>
      <c r="K94" s="192">
        <f t="shared" si="10"/>
        <v>5.1580635308491142E-2</v>
      </c>
      <c r="L94" s="188">
        <f t="shared" si="13"/>
        <v>5.1580635308491142E-2</v>
      </c>
      <c r="M94" s="193">
        <f t="shared" si="11"/>
        <v>0.61896762370189373</v>
      </c>
    </row>
    <row r="95" spans="1:13" s="61" customFormat="1" ht="15" customHeight="1">
      <c r="A95" s="173" t="s">
        <v>137</v>
      </c>
      <c r="B95" s="173" t="s">
        <v>138</v>
      </c>
      <c r="C95" s="190">
        <v>25.93</v>
      </c>
      <c r="D95" s="190"/>
      <c r="E95" s="188">
        <v>155.57999999999998</v>
      </c>
      <c r="F95" s="188">
        <v>77.789999999999992</v>
      </c>
      <c r="G95" s="188"/>
      <c r="H95" s="191">
        <f t="shared" si="8"/>
        <v>233.36999999999998</v>
      </c>
      <c r="I95" s="175"/>
      <c r="J95" s="188">
        <f t="shared" si="9"/>
        <v>0.75</v>
      </c>
      <c r="K95" s="192">
        <f t="shared" si="10"/>
        <v>0.75</v>
      </c>
      <c r="L95" s="188">
        <f t="shared" si="13"/>
        <v>0.75</v>
      </c>
      <c r="M95" s="193">
        <f t="shared" si="11"/>
        <v>9</v>
      </c>
    </row>
    <row r="96" spans="1:13" s="61" customFormat="1" ht="15" customHeight="1">
      <c r="A96" s="173" t="s">
        <v>139</v>
      </c>
      <c r="B96" s="173" t="s">
        <v>140</v>
      </c>
      <c r="C96" s="190">
        <v>17.2</v>
      </c>
      <c r="D96" s="190"/>
      <c r="E96" s="188">
        <v>86</v>
      </c>
      <c r="F96" s="188">
        <v>137.6</v>
      </c>
      <c r="G96" s="188"/>
      <c r="H96" s="191">
        <f t="shared" si="8"/>
        <v>223.6</v>
      </c>
      <c r="I96" s="175"/>
      <c r="J96" s="188">
        <f t="shared" si="9"/>
        <v>1.0833333333333333</v>
      </c>
      <c r="K96" s="192">
        <f t="shared" si="10"/>
        <v>1.0833333333333333</v>
      </c>
      <c r="L96" s="188">
        <f t="shared" si="13"/>
        <v>1.0833333333333333</v>
      </c>
      <c r="M96" s="193">
        <f t="shared" si="11"/>
        <v>13</v>
      </c>
    </row>
    <row r="97" spans="1:13" s="61" customFormat="1" ht="15" customHeight="1">
      <c r="A97" s="173" t="s">
        <v>141</v>
      </c>
      <c r="B97" s="173" t="s">
        <v>142</v>
      </c>
      <c r="C97" s="190">
        <v>35.82</v>
      </c>
      <c r="D97" s="190"/>
      <c r="E97" s="188">
        <v>71.64</v>
      </c>
      <c r="F97" s="188">
        <v>573.12</v>
      </c>
      <c r="G97" s="188"/>
      <c r="H97" s="191">
        <f t="shared" si="8"/>
        <v>644.76</v>
      </c>
      <c r="I97" s="175"/>
      <c r="J97" s="188">
        <f t="shared" si="9"/>
        <v>1.5</v>
      </c>
      <c r="K97" s="192">
        <f t="shared" si="10"/>
        <v>1.5</v>
      </c>
      <c r="L97" s="188">
        <f t="shared" si="13"/>
        <v>1.5</v>
      </c>
      <c r="M97" s="193">
        <f t="shared" si="11"/>
        <v>18</v>
      </c>
    </row>
    <row r="98" spans="1:13" s="61" customFormat="1" ht="15" customHeight="1">
      <c r="A98" s="173" t="s">
        <v>143</v>
      </c>
      <c r="B98" s="173" t="s">
        <v>144</v>
      </c>
      <c r="C98" s="190">
        <v>48.05</v>
      </c>
      <c r="D98" s="190"/>
      <c r="E98" s="188">
        <v>384.4</v>
      </c>
      <c r="F98" s="188">
        <v>192.2</v>
      </c>
      <c r="G98" s="188"/>
      <c r="H98" s="191">
        <f t="shared" si="8"/>
        <v>576.59999999999991</v>
      </c>
      <c r="I98" s="175"/>
      <c r="J98" s="188">
        <f t="shared" si="9"/>
        <v>0.99999999999999989</v>
      </c>
      <c r="K98" s="192">
        <f t="shared" si="10"/>
        <v>0.99999999999999989</v>
      </c>
      <c r="L98" s="188">
        <f t="shared" si="13"/>
        <v>0.99999999999999989</v>
      </c>
      <c r="M98" s="193">
        <f t="shared" si="11"/>
        <v>11.999999999999998</v>
      </c>
    </row>
    <row r="99" spans="1:13" s="61" customFormat="1" ht="15" customHeight="1">
      <c r="A99" s="173" t="s">
        <v>145</v>
      </c>
      <c r="B99" s="173" t="s">
        <v>146</v>
      </c>
      <c r="C99" s="190">
        <v>63.05</v>
      </c>
      <c r="D99" s="190"/>
      <c r="E99" s="188">
        <v>2585.0499999999997</v>
      </c>
      <c r="F99" s="188">
        <v>2332.85</v>
      </c>
      <c r="G99" s="188"/>
      <c r="H99" s="191">
        <f t="shared" si="8"/>
        <v>4917.8999999999996</v>
      </c>
      <c r="I99" s="175"/>
      <c r="J99" s="188">
        <f t="shared" si="9"/>
        <v>6.5</v>
      </c>
      <c r="K99" s="192">
        <f t="shared" si="10"/>
        <v>6.5</v>
      </c>
      <c r="L99" s="188">
        <f t="shared" si="13"/>
        <v>6.5</v>
      </c>
      <c r="M99" s="193">
        <f t="shared" si="11"/>
        <v>78</v>
      </c>
    </row>
    <row r="100" spans="1:13" s="61" customFormat="1" ht="15" customHeight="1">
      <c r="A100" s="173" t="s">
        <v>147</v>
      </c>
      <c r="B100" s="173" t="s">
        <v>148</v>
      </c>
      <c r="C100" s="190">
        <v>19.559999999999999</v>
      </c>
      <c r="D100" s="190"/>
      <c r="E100" s="188">
        <v>3228.3999999999996</v>
      </c>
      <c r="F100" s="188">
        <v>1995.12</v>
      </c>
      <c r="G100" s="188"/>
      <c r="H100" s="191">
        <f t="shared" si="8"/>
        <v>5223.5199999999995</v>
      </c>
      <c r="I100" s="175"/>
      <c r="J100" s="188">
        <f>IFERROR((H100/$C100)/12,0)</f>
        <v>22.254260395364692</v>
      </c>
      <c r="K100" s="192">
        <f>J100</f>
        <v>22.254260395364692</v>
      </c>
      <c r="L100" s="188"/>
      <c r="M100" s="193">
        <f t="shared" si="11"/>
        <v>267.0511247443763</v>
      </c>
    </row>
    <row r="101" spans="1:13" s="61" customFormat="1" ht="15" customHeight="1">
      <c r="A101" s="173" t="s">
        <v>149</v>
      </c>
      <c r="B101" s="173" t="s">
        <v>150</v>
      </c>
      <c r="C101" s="190">
        <v>12.15</v>
      </c>
      <c r="D101" s="190"/>
      <c r="E101" s="188">
        <v>7414.54</v>
      </c>
      <c r="F101" s="188">
        <v>7156.36</v>
      </c>
      <c r="G101" s="188"/>
      <c r="H101" s="191">
        <f t="shared" si="8"/>
        <v>14570.9</v>
      </c>
      <c r="I101" s="175"/>
      <c r="J101" s="188">
        <f t="shared" si="9"/>
        <v>99.937585733882031</v>
      </c>
      <c r="K101" s="192">
        <f t="shared" si="10"/>
        <v>99.937585733882031</v>
      </c>
      <c r="L101" s="188"/>
      <c r="M101" s="193">
        <f t="shared" si="11"/>
        <v>1199.2510288065844</v>
      </c>
    </row>
    <row r="102" spans="1:13" s="61" customFormat="1" ht="15" customHeight="1">
      <c r="A102" s="173" t="s">
        <v>151</v>
      </c>
      <c r="B102" s="173" t="s">
        <v>152</v>
      </c>
      <c r="C102" s="190">
        <v>24.53</v>
      </c>
      <c r="D102" s="190"/>
      <c r="E102" s="188">
        <v>71.36</v>
      </c>
      <c r="F102" s="188">
        <v>128.22499999999999</v>
      </c>
      <c r="G102" s="188"/>
      <c r="H102" s="191">
        <f t="shared" si="8"/>
        <v>199.58499999999998</v>
      </c>
      <c r="I102" s="175"/>
      <c r="J102" s="188">
        <f t="shared" si="9"/>
        <v>0.67803030303030287</v>
      </c>
      <c r="K102" s="192">
        <f t="shared" si="10"/>
        <v>0.67803030303030287</v>
      </c>
      <c r="L102" s="188"/>
      <c r="M102" s="193">
        <f t="shared" si="11"/>
        <v>8.1363636363636349</v>
      </c>
    </row>
    <row r="103" spans="1:13" s="61" customFormat="1" ht="15" customHeight="1">
      <c r="A103" s="173" t="s">
        <v>153</v>
      </c>
      <c r="B103" s="173" t="s">
        <v>154</v>
      </c>
      <c r="C103" s="190">
        <v>10.11</v>
      </c>
      <c r="D103" s="190"/>
      <c r="E103" s="188">
        <v>15053.829999999998</v>
      </c>
      <c r="F103" s="188">
        <v>15061.41</v>
      </c>
      <c r="G103" s="188"/>
      <c r="H103" s="191">
        <f t="shared" si="8"/>
        <v>30115.239999999998</v>
      </c>
      <c r="I103" s="175"/>
      <c r="J103" s="188">
        <f>IFERROR((H103/$C103)/12,0)</f>
        <v>248.22980547312889</v>
      </c>
      <c r="K103" s="192">
        <f t="shared" si="10"/>
        <v>248.22980547312889</v>
      </c>
      <c r="L103" s="188"/>
      <c r="M103" s="193">
        <f t="shared" si="11"/>
        <v>2978.7576656775468</v>
      </c>
    </row>
    <row r="104" spans="1:13" s="64" customFormat="1" ht="15" customHeight="1">
      <c r="A104" s="173" t="s">
        <v>155</v>
      </c>
      <c r="B104" s="173" t="s">
        <v>156</v>
      </c>
      <c r="C104" s="190">
        <v>22.3</v>
      </c>
      <c r="D104" s="203"/>
      <c r="E104" s="188">
        <v>78.050000000000011</v>
      </c>
      <c r="F104" s="188">
        <v>89.2</v>
      </c>
      <c r="G104" s="188"/>
      <c r="H104" s="191">
        <f t="shared" si="8"/>
        <v>167.25</v>
      </c>
      <c r="I104" s="204"/>
      <c r="J104" s="188">
        <f t="shared" si="9"/>
        <v>0.625</v>
      </c>
      <c r="K104" s="192">
        <f t="shared" si="10"/>
        <v>0.625</v>
      </c>
      <c r="L104" s="188"/>
      <c r="M104" s="193">
        <f t="shared" si="11"/>
        <v>7.5</v>
      </c>
    </row>
    <row r="105" spans="1:13" s="64" customFormat="1" ht="15" customHeight="1">
      <c r="A105" s="173" t="s">
        <v>157</v>
      </c>
      <c r="B105" s="173" t="s">
        <v>158</v>
      </c>
      <c r="C105" s="190">
        <v>16.690000000000001</v>
      </c>
      <c r="D105" s="203"/>
      <c r="E105" s="188">
        <v>5758.0500000000011</v>
      </c>
      <c r="F105" s="188">
        <v>5524.4000000000005</v>
      </c>
      <c r="G105" s="188"/>
      <c r="H105" s="191">
        <f t="shared" si="8"/>
        <v>11282.45</v>
      </c>
      <c r="I105" s="204"/>
      <c r="J105" s="188">
        <f t="shared" si="9"/>
        <v>56.333383263431195</v>
      </c>
      <c r="K105" s="192">
        <f t="shared" si="10"/>
        <v>56.333383263431195</v>
      </c>
      <c r="L105" s="188"/>
      <c r="M105" s="193">
        <f t="shared" si="11"/>
        <v>676.00059916117436</v>
      </c>
    </row>
    <row r="106" spans="1:13" s="61" customFormat="1" ht="15" customHeight="1">
      <c r="A106" s="173" t="s">
        <v>159</v>
      </c>
      <c r="B106" s="173" t="s">
        <v>160</v>
      </c>
      <c r="C106" s="190">
        <v>33.44</v>
      </c>
      <c r="D106" s="190"/>
      <c r="E106" s="188">
        <v>26.759999999999998</v>
      </c>
      <c r="F106" s="188">
        <v>384.56</v>
      </c>
      <c r="G106" s="188"/>
      <c r="H106" s="191">
        <f t="shared" si="8"/>
        <v>411.32</v>
      </c>
      <c r="I106" s="175"/>
      <c r="J106" s="188">
        <f t="shared" si="9"/>
        <v>1.0250199362041468</v>
      </c>
      <c r="K106" s="192">
        <f t="shared" si="10"/>
        <v>1.0250199362041468</v>
      </c>
      <c r="L106" s="188"/>
      <c r="M106" s="193">
        <f t="shared" si="11"/>
        <v>12.300239234449762</v>
      </c>
    </row>
    <row r="107" spans="1:13" s="61" customFormat="1" ht="15" customHeight="1">
      <c r="A107" s="173" t="s">
        <v>161</v>
      </c>
      <c r="B107" s="173" t="s">
        <v>162</v>
      </c>
      <c r="C107" s="190">
        <v>20.59</v>
      </c>
      <c r="D107" s="190"/>
      <c r="E107" s="188">
        <v>5235.01</v>
      </c>
      <c r="F107" s="188">
        <v>4771.7299999999996</v>
      </c>
      <c r="G107" s="188"/>
      <c r="H107" s="191">
        <f t="shared" si="8"/>
        <v>10006.74</v>
      </c>
      <c r="I107" s="175"/>
      <c r="J107" s="188">
        <f t="shared" si="9"/>
        <v>40.5</v>
      </c>
      <c r="K107" s="192">
        <f t="shared" si="10"/>
        <v>40.5</v>
      </c>
      <c r="L107" s="188"/>
      <c r="M107" s="193">
        <f t="shared" si="11"/>
        <v>486</v>
      </c>
    </row>
    <row r="108" spans="1:13" s="61" customFormat="1" ht="15" customHeight="1">
      <c r="A108" s="173" t="s">
        <v>163</v>
      </c>
      <c r="B108" s="173" t="s">
        <v>164</v>
      </c>
      <c r="C108" s="190">
        <v>40.130000000000003</v>
      </c>
      <c r="D108" s="190"/>
      <c r="E108" s="188">
        <v>400.16</v>
      </c>
      <c r="F108" s="188">
        <v>274.23</v>
      </c>
      <c r="G108" s="188"/>
      <c r="H108" s="191">
        <f t="shared" si="8"/>
        <v>674.3900000000001</v>
      </c>
      <c r="I108" s="175"/>
      <c r="J108" s="188">
        <f t="shared" si="9"/>
        <v>1.4004277763933883</v>
      </c>
      <c r="K108" s="192">
        <f t="shared" si="10"/>
        <v>1.4004277763933883</v>
      </c>
      <c r="L108" s="188"/>
      <c r="M108" s="193">
        <f t="shared" si="11"/>
        <v>16.80513331672066</v>
      </c>
    </row>
    <row r="109" spans="1:13" s="61" customFormat="1" ht="15" customHeight="1">
      <c r="A109" s="173" t="s">
        <v>165</v>
      </c>
      <c r="B109" s="173" t="s">
        <v>166</v>
      </c>
      <c r="C109" s="190">
        <v>23.32</v>
      </c>
      <c r="D109" s="190"/>
      <c r="E109" s="188">
        <v>3218.1600000000003</v>
      </c>
      <c r="F109" s="188">
        <v>2751.76</v>
      </c>
      <c r="G109" s="188"/>
      <c r="H109" s="191">
        <f t="shared" si="8"/>
        <v>5969.92</v>
      </c>
      <c r="I109" s="175"/>
      <c r="J109" s="188">
        <f t="shared" si="9"/>
        <v>21.333333333333332</v>
      </c>
      <c r="K109" s="192">
        <f t="shared" si="10"/>
        <v>21.333333333333332</v>
      </c>
      <c r="L109" s="188"/>
      <c r="M109" s="193">
        <f t="shared" si="11"/>
        <v>256</v>
      </c>
    </row>
    <row r="110" spans="1:13" s="61" customFormat="1" ht="15" customHeight="1">
      <c r="A110" s="173" t="s">
        <v>167</v>
      </c>
      <c r="B110" s="173" t="s">
        <v>168</v>
      </c>
      <c r="C110" s="190">
        <v>44.59</v>
      </c>
      <c r="D110" s="190"/>
      <c r="E110" s="188">
        <v>896.28</v>
      </c>
      <c r="F110" s="188">
        <v>626.49</v>
      </c>
      <c r="G110" s="188"/>
      <c r="H110" s="191">
        <f t="shared" si="8"/>
        <v>1522.77</v>
      </c>
      <c r="I110" s="175"/>
      <c r="J110" s="188">
        <f t="shared" si="9"/>
        <v>2.8458735142408607</v>
      </c>
      <c r="K110" s="192">
        <f t="shared" si="10"/>
        <v>2.8458735142408607</v>
      </c>
      <c r="L110" s="188"/>
      <c r="M110" s="193">
        <f t="shared" si="11"/>
        <v>34.150482170890328</v>
      </c>
    </row>
    <row r="111" spans="1:13" s="61" customFormat="1" ht="15" customHeight="1">
      <c r="A111" s="173" t="s">
        <v>169</v>
      </c>
      <c r="B111" s="173" t="s">
        <v>170</v>
      </c>
      <c r="C111" s="190">
        <v>30.89</v>
      </c>
      <c r="D111" s="190"/>
      <c r="E111" s="188">
        <v>2115.9699999999998</v>
      </c>
      <c r="F111" s="188">
        <v>2409.42</v>
      </c>
      <c r="G111" s="188"/>
      <c r="H111" s="191">
        <f t="shared" si="8"/>
        <v>4525.3899999999994</v>
      </c>
      <c r="I111" s="175"/>
      <c r="J111" s="188">
        <f t="shared" si="9"/>
        <v>12.208346822056759</v>
      </c>
      <c r="K111" s="192">
        <f t="shared" si="10"/>
        <v>12.208346822056759</v>
      </c>
      <c r="L111" s="188"/>
      <c r="M111" s="193">
        <f t="shared" si="11"/>
        <v>146.5001618646811</v>
      </c>
    </row>
    <row r="112" spans="1:13" s="61" customFormat="1" ht="15" customHeight="1">
      <c r="A112" s="173" t="s">
        <v>171</v>
      </c>
      <c r="B112" s="173" t="s">
        <v>172</v>
      </c>
      <c r="C112" s="190">
        <v>37.340000000000003</v>
      </c>
      <c r="D112" s="190"/>
      <c r="E112" s="188">
        <v>448.08000000000004</v>
      </c>
      <c r="F112" s="188">
        <v>448.08000000000004</v>
      </c>
      <c r="G112" s="188"/>
      <c r="H112" s="191">
        <f t="shared" ref="H112:H120" si="14">SUM(E112:F112)</f>
        <v>896.16000000000008</v>
      </c>
      <c r="I112" s="175"/>
      <c r="J112" s="188">
        <f t="shared" ref="J112:J120" si="15">IFERROR((H112/$C112)/12,0)</f>
        <v>2</v>
      </c>
      <c r="K112" s="192">
        <f t="shared" ref="K112:K120" si="16">J112</f>
        <v>2</v>
      </c>
      <c r="L112" s="188"/>
      <c r="M112" s="193">
        <f t="shared" ref="M112:M120" si="17">H112/C112</f>
        <v>24</v>
      </c>
    </row>
    <row r="113" spans="1:13" s="61" customFormat="1" ht="15" customHeight="1">
      <c r="A113" s="173" t="s">
        <v>173</v>
      </c>
      <c r="B113" s="173" t="s">
        <v>174</v>
      </c>
      <c r="C113" s="190"/>
      <c r="D113" s="190"/>
      <c r="E113" s="188">
        <v>0</v>
      </c>
      <c r="F113" s="188">
        <v>-165.26</v>
      </c>
      <c r="G113" s="188"/>
      <c r="H113" s="191">
        <f t="shared" si="14"/>
        <v>-165.26</v>
      </c>
      <c r="I113" s="175"/>
      <c r="J113" s="188">
        <f t="shared" si="15"/>
        <v>0</v>
      </c>
      <c r="K113" s="192">
        <f t="shared" si="16"/>
        <v>0</v>
      </c>
      <c r="L113" s="188"/>
      <c r="M113" s="193"/>
    </row>
    <row r="114" spans="1:13" s="61" customFormat="1" ht="15" customHeight="1">
      <c r="A114" s="173" t="s">
        <v>175</v>
      </c>
      <c r="B114" s="173" t="s">
        <v>176</v>
      </c>
      <c r="C114" s="190">
        <v>51.84</v>
      </c>
      <c r="D114" s="190"/>
      <c r="E114" s="188">
        <v>1192.32</v>
      </c>
      <c r="F114" s="188">
        <v>1399.68</v>
      </c>
      <c r="G114" s="188"/>
      <c r="H114" s="191">
        <f t="shared" si="14"/>
        <v>2592</v>
      </c>
      <c r="I114" s="175"/>
      <c r="J114" s="188">
        <f t="shared" si="15"/>
        <v>4.166666666666667</v>
      </c>
      <c r="K114" s="192">
        <f t="shared" si="16"/>
        <v>4.166666666666667</v>
      </c>
      <c r="L114" s="188"/>
      <c r="M114" s="193">
        <f t="shared" si="17"/>
        <v>50</v>
      </c>
    </row>
    <row r="115" spans="1:13" s="61" customFormat="1" ht="15" customHeight="1">
      <c r="A115" s="173" t="s">
        <v>177</v>
      </c>
      <c r="B115" s="173" t="s">
        <v>178</v>
      </c>
      <c r="C115" s="190">
        <v>53.56</v>
      </c>
      <c r="D115" s="190"/>
      <c r="E115" s="188">
        <v>0</v>
      </c>
      <c r="F115" s="188">
        <v>53.56</v>
      </c>
      <c r="G115" s="188"/>
      <c r="H115" s="191">
        <f t="shared" si="14"/>
        <v>53.56</v>
      </c>
      <c r="I115" s="175"/>
      <c r="J115" s="188">
        <f t="shared" si="15"/>
        <v>8.3333333333333329E-2</v>
      </c>
      <c r="K115" s="192">
        <f t="shared" si="16"/>
        <v>8.3333333333333329E-2</v>
      </c>
      <c r="L115" s="188"/>
      <c r="M115" s="193">
        <f t="shared" si="17"/>
        <v>1</v>
      </c>
    </row>
    <row r="116" spans="1:13" s="61" customFormat="1" ht="15" customHeight="1">
      <c r="A116" s="173" t="s">
        <v>364</v>
      </c>
      <c r="B116" s="173" t="s">
        <v>365</v>
      </c>
      <c r="C116" s="190">
        <v>6.62</v>
      </c>
      <c r="D116" s="190"/>
      <c r="E116" s="188">
        <v>291.27999999999997</v>
      </c>
      <c r="F116" s="188">
        <v>263.14999999999998</v>
      </c>
      <c r="G116" s="188"/>
      <c r="H116" s="191">
        <f t="shared" si="14"/>
        <v>554.42999999999995</v>
      </c>
      <c r="I116" s="175"/>
      <c r="J116" s="188">
        <f t="shared" si="15"/>
        <v>6.9792296072507547</v>
      </c>
      <c r="K116" s="192">
        <f t="shared" si="16"/>
        <v>6.9792296072507547</v>
      </c>
      <c r="L116" s="188"/>
      <c r="M116" s="193">
        <f t="shared" si="17"/>
        <v>83.750755287009056</v>
      </c>
    </row>
    <row r="117" spans="1:13" s="61" customFormat="1" ht="15" customHeight="1">
      <c r="A117" s="173" t="s">
        <v>179</v>
      </c>
      <c r="B117" s="173" t="s">
        <v>180</v>
      </c>
      <c r="C117" s="190">
        <v>13.12</v>
      </c>
      <c r="D117" s="190"/>
      <c r="E117" s="188">
        <v>0</v>
      </c>
      <c r="F117" s="188">
        <v>65.599999999999994</v>
      </c>
      <c r="G117" s="188"/>
      <c r="H117" s="191">
        <f t="shared" si="14"/>
        <v>65.599999999999994</v>
      </c>
      <c r="I117" s="175"/>
      <c r="J117" s="188">
        <f t="shared" si="15"/>
        <v>0.41666666666666669</v>
      </c>
      <c r="K117" s="192">
        <f t="shared" si="16"/>
        <v>0.41666666666666669</v>
      </c>
      <c r="L117" s="188"/>
      <c r="M117" s="193">
        <f t="shared" si="17"/>
        <v>5</v>
      </c>
    </row>
    <row r="118" spans="1:13" s="61" customFormat="1" ht="15" customHeight="1">
      <c r="A118" s="173" t="s">
        <v>181</v>
      </c>
      <c r="B118" s="173" t="s">
        <v>182</v>
      </c>
      <c r="C118" s="190">
        <v>5.59</v>
      </c>
      <c r="D118" s="190"/>
      <c r="E118" s="188">
        <v>100.61999999999999</v>
      </c>
      <c r="F118" s="188">
        <v>100.61999999999999</v>
      </c>
      <c r="G118" s="188"/>
      <c r="H118" s="191">
        <f t="shared" si="14"/>
        <v>201.23999999999998</v>
      </c>
      <c r="I118" s="175"/>
      <c r="J118" s="188">
        <f t="shared" si="15"/>
        <v>3</v>
      </c>
      <c r="K118" s="192">
        <f t="shared" si="16"/>
        <v>3</v>
      </c>
      <c r="L118" s="188"/>
      <c r="M118" s="193">
        <f t="shared" si="17"/>
        <v>36</v>
      </c>
    </row>
    <row r="119" spans="1:13" s="61" customFormat="1" ht="15" customHeight="1">
      <c r="A119" s="173" t="s">
        <v>183</v>
      </c>
      <c r="B119" s="173" t="s">
        <v>184</v>
      </c>
      <c r="C119" s="190">
        <v>38.26</v>
      </c>
      <c r="D119" s="190"/>
      <c r="E119" s="188">
        <v>38.26</v>
      </c>
      <c r="F119" s="188">
        <v>0</v>
      </c>
      <c r="G119" s="188"/>
      <c r="H119" s="191">
        <f t="shared" si="14"/>
        <v>38.26</v>
      </c>
      <c r="I119" s="175"/>
      <c r="J119" s="188">
        <f t="shared" si="15"/>
        <v>8.3333333333333329E-2</v>
      </c>
      <c r="K119" s="192">
        <f t="shared" si="16"/>
        <v>8.3333333333333329E-2</v>
      </c>
      <c r="L119" s="188"/>
      <c r="M119" s="193">
        <f t="shared" si="17"/>
        <v>1</v>
      </c>
    </row>
    <row r="120" spans="1:13" s="61" customFormat="1" ht="15" customHeight="1">
      <c r="A120" s="173" t="s">
        <v>185</v>
      </c>
      <c r="B120" s="173" t="s">
        <v>186</v>
      </c>
      <c r="C120" s="190">
        <v>10.220000000000001</v>
      </c>
      <c r="D120" s="190"/>
      <c r="E120" s="188">
        <v>183.96</v>
      </c>
      <c r="F120" s="188">
        <v>183.96</v>
      </c>
      <c r="G120" s="188"/>
      <c r="H120" s="191">
        <f t="shared" si="14"/>
        <v>367.92</v>
      </c>
      <c r="I120" s="175"/>
      <c r="J120" s="188">
        <f t="shared" si="15"/>
        <v>3</v>
      </c>
      <c r="K120" s="192">
        <f t="shared" si="16"/>
        <v>3</v>
      </c>
      <c r="L120" s="188"/>
      <c r="M120" s="193">
        <f t="shared" si="17"/>
        <v>36</v>
      </c>
    </row>
    <row r="121" spans="1:13" s="61" customFormat="1" ht="15" customHeight="1" thickBot="1">
      <c r="A121" s="205"/>
      <c r="B121" s="205"/>
      <c r="C121" s="190"/>
      <c r="D121" s="190"/>
      <c r="E121" s="188"/>
      <c r="F121" s="188"/>
      <c r="G121" s="188"/>
      <c r="H121" s="191"/>
      <c r="I121" s="175"/>
      <c r="J121" s="175"/>
      <c r="K121" s="173"/>
      <c r="L121" s="188"/>
      <c r="M121" s="175"/>
    </row>
    <row r="122" spans="1:13" s="61" customFormat="1" ht="15" customHeight="1" thickBot="1">
      <c r="A122" s="205"/>
      <c r="B122" s="206" t="s">
        <v>187</v>
      </c>
      <c r="C122" s="190"/>
      <c r="D122" s="190"/>
      <c r="E122" s="197">
        <f>SUM(E47:E121)</f>
        <v>480047.66999999993</v>
      </c>
      <c r="F122" s="197">
        <f>SUM(F47:F121)</f>
        <v>468042.31499999983</v>
      </c>
      <c r="G122" s="197"/>
      <c r="H122" s="197">
        <f>SUM(H47:H121)</f>
        <v>948089.98500000034</v>
      </c>
      <c r="I122" s="175"/>
      <c r="J122" s="175"/>
      <c r="K122" s="198">
        <f>SUM(K47:K84,K95:K99)</f>
        <v>751.42592442447904</v>
      </c>
      <c r="L122" s="188"/>
      <c r="M122" s="175"/>
    </row>
    <row r="123" spans="1:13" s="61" customFormat="1" ht="15" customHeight="1">
      <c r="A123" s="205"/>
      <c r="B123" s="205"/>
      <c r="C123" s="190"/>
      <c r="D123" s="190"/>
      <c r="E123" s="188"/>
      <c r="F123" s="188"/>
      <c r="G123" s="188"/>
      <c r="H123" s="191"/>
      <c r="I123" s="175"/>
      <c r="J123" s="175"/>
      <c r="K123" s="173"/>
      <c r="L123" s="188"/>
      <c r="M123" s="175"/>
    </row>
    <row r="124" spans="1:13" ht="15" customHeight="1">
      <c r="A124" s="189" t="s">
        <v>366</v>
      </c>
      <c r="B124" s="189" t="s">
        <v>366</v>
      </c>
    </row>
    <row r="125" spans="1:13" ht="15" customHeight="1">
      <c r="A125" s="173" t="s">
        <v>367</v>
      </c>
      <c r="B125" s="173" t="s">
        <v>368</v>
      </c>
      <c r="C125" s="190"/>
      <c r="E125" s="188">
        <v>100</v>
      </c>
      <c r="F125" s="188">
        <v>0</v>
      </c>
      <c r="G125" s="188"/>
      <c r="H125" s="191">
        <f>SUM(F125:G125)</f>
        <v>0</v>
      </c>
      <c r="J125" s="188">
        <f>IFERROR(F125/$C125,0)</f>
        <v>0</v>
      </c>
      <c r="K125" s="192">
        <f>SUM(J125:J125)/12</f>
        <v>0</v>
      </c>
      <c r="L125" s="176">
        <f>+K125</f>
        <v>0</v>
      </c>
    </row>
    <row r="126" spans="1:13" ht="15" customHeight="1" thickBot="1">
      <c r="A126" s="173" t="s">
        <v>369</v>
      </c>
      <c r="B126" s="173" t="s">
        <v>370</v>
      </c>
      <c r="C126" s="190">
        <v>20</v>
      </c>
      <c r="E126" s="188">
        <v>3415</v>
      </c>
      <c r="F126" s="188">
        <v>3720</v>
      </c>
      <c r="G126" s="188"/>
      <c r="H126" s="191">
        <f>SUM(E126:F126)</f>
        <v>7135</v>
      </c>
      <c r="J126" s="188">
        <f>IFERROR(H126/$C126/12,0)</f>
        <v>29.729166666666668</v>
      </c>
      <c r="K126" s="192">
        <f>J126</f>
        <v>29.729166666666668</v>
      </c>
      <c r="L126" s="176">
        <f>+K126</f>
        <v>29.729166666666668</v>
      </c>
      <c r="M126" s="176">
        <f>H126/C126</f>
        <v>356.75</v>
      </c>
    </row>
    <row r="127" spans="1:13" ht="15" customHeight="1" thickBot="1">
      <c r="A127" s="195"/>
      <c r="B127" s="195"/>
      <c r="K127" s="198">
        <f>SUM(K125:K126)</f>
        <v>29.729166666666668</v>
      </c>
    </row>
    <row r="128" spans="1:13" ht="15" customHeight="1">
      <c r="A128" s="195"/>
      <c r="B128" s="196" t="s">
        <v>371</v>
      </c>
      <c r="E128" s="197">
        <f>SUM(E125:E127)</f>
        <v>3515</v>
      </c>
      <c r="F128" s="197">
        <f>SUM(F125:F127)</f>
        <v>3720</v>
      </c>
      <c r="G128" s="197"/>
      <c r="H128" s="197">
        <f t="shared" ref="H128" si="18">SUM(H125:H127)</f>
        <v>7135</v>
      </c>
    </row>
    <row r="129" spans="1:13" ht="15" customHeight="1">
      <c r="A129" s="195"/>
      <c r="B129" s="196"/>
      <c r="E129" s="207"/>
      <c r="F129" s="207"/>
      <c r="G129" s="207"/>
      <c r="H129" s="207"/>
    </row>
    <row r="130" spans="1:13" ht="15" customHeight="1">
      <c r="A130" s="189" t="s">
        <v>372</v>
      </c>
      <c r="B130" s="189" t="s">
        <v>372</v>
      </c>
      <c r="E130" s="207"/>
      <c r="F130" s="207"/>
      <c r="G130" s="207"/>
      <c r="H130" s="207"/>
    </row>
    <row r="131" spans="1:13" s="61" customFormat="1" ht="15" customHeight="1">
      <c r="A131" s="173" t="s">
        <v>373</v>
      </c>
      <c r="B131" s="173" t="s">
        <v>374</v>
      </c>
      <c r="C131" s="190"/>
      <c r="D131" s="190"/>
      <c r="E131" s="188">
        <v>13247.240000000002</v>
      </c>
      <c r="F131" s="188">
        <v>12198.43</v>
      </c>
      <c r="G131" s="188"/>
      <c r="H131" s="191">
        <f>SUM(E131:F131)</f>
        <v>25445.670000000002</v>
      </c>
      <c r="I131" s="175"/>
      <c r="J131" s="188">
        <f>IFERROR(F133/$C131,0)</f>
        <v>0</v>
      </c>
      <c r="K131" s="192">
        <f>AVERAGE(J131:J131)</f>
        <v>0</v>
      </c>
      <c r="L131" s="188"/>
      <c r="M131" s="175"/>
    </row>
    <row r="132" spans="1:13" ht="15" customHeight="1" thickBot="1">
      <c r="A132" s="195"/>
      <c r="B132" s="196"/>
    </row>
    <row r="133" spans="1:13" ht="15" customHeight="1" thickBot="1">
      <c r="A133" s="195"/>
      <c r="B133" s="196" t="s">
        <v>375</v>
      </c>
      <c r="E133" s="197">
        <f>SUM(E130:E132)</f>
        <v>13247.240000000002</v>
      </c>
      <c r="F133" s="197">
        <f>SUM(F130:F132)</f>
        <v>12198.43</v>
      </c>
      <c r="G133" s="197"/>
      <c r="H133" s="197">
        <f t="shared" ref="H133" si="19">SUM(H130:H132)</f>
        <v>25445.670000000002</v>
      </c>
      <c r="K133" s="198">
        <f>SUM(K131:K132)</f>
        <v>0</v>
      </c>
    </row>
    <row r="134" spans="1:13" ht="15" customHeight="1">
      <c r="A134" s="175"/>
      <c r="B134" s="175"/>
    </row>
    <row r="135" spans="1:13" ht="15" customHeight="1">
      <c r="A135" s="186" t="s">
        <v>376</v>
      </c>
      <c r="B135" s="186" t="s">
        <v>376</v>
      </c>
    </row>
    <row r="136" spans="1:13" ht="15" customHeight="1">
      <c r="A136" s="199"/>
      <c r="B136" s="199"/>
    </row>
    <row r="137" spans="1:13" ht="15" customHeight="1">
      <c r="A137" s="208" t="s">
        <v>377</v>
      </c>
      <c r="B137" s="208" t="s">
        <v>377</v>
      </c>
    </row>
    <row r="138" spans="1:13" ht="15" customHeight="1">
      <c r="A138" s="173" t="s">
        <v>378</v>
      </c>
      <c r="B138" s="173" t="s">
        <v>379</v>
      </c>
      <c r="C138" s="190">
        <v>229.5</v>
      </c>
      <c r="E138" s="188">
        <v>1377</v>
      </c>
      <c r="F138" s="188">
        <v>2088.1999999999998</v>
      </c>
      <c r="G138" s="188"/>
      <c r="H138" s="191">
        <f>SUM(E138:F138)</f>
        <v>3465.2</v>
      </c>
      <c r="J138" s="188">
        <f t="shared" ref="J138:J147" si="20">IFERROR((H138/$C138)/12,0)</f>
        <v>1.2582425562817718</v>
      </c>
      <c r="K138" s="192">
        <f t="shared" ref="K138:K147" si="21">J138</f>
        <v>1.2582425562817718</v>
      </c>
      <c r="L138" s="188"/>
      <c r="M138" s="193">
        <f t="shared" ref="M138:M147" si="22">H138/C138</f>
        <v>15.098910675381262</v>
      </c>
    </row>
    <row r="139" spans="1:13" ht="15" customHeight="1">
      <c r="A139" s="173" t="s">
        <v>380</v>
      </c>
      <c r="B139" s="173" t="s">
        <v>381</v>
      </c>
      <c r="C139" s="190">
        <v>212</v>
      </c>
      <c r="E139" s="188">
        <v>5512</v>
      </c>
      <c r="F139" s="188">
        <v>6360</v>
      </c>
      <c r="G139" s="188"/>
      <c r="H139" s="191">
        <f t="shared" ref="H139:H147" si="23">SUM(E139:F139)</f>
        <v>11872</v>
      </c>
      <c r="J139" s="188">
        <f t="shared" si="20"/>
        <v>4.666666666666667</v>
      </c>
      <c r="K139" s="192">
        <f t="shared" si="21"/>
        <v>4.666666666666667</v>
      </c>
      <c r="L139" s="188"/>
      <c r="M139" s="193">
        <f t="shared" si="22"/>
        <v>56</v>
      </c>
    </row>
    <row r="140" spans="1:13" ht="15" customHeight="1">
      <c r="A140" s="173" t="s">
        <v>382</v>
      </c>
      <c r="B140" s="173" t="s">
        <v>383</v>
      </c>
      <c r="C140" s="190">
        <v>328.75</v>
      </c>
      <c r="E140" s="188">
        <v>3193.55</v>
      </c>
      <c r="F140" s="188">
        <v>0</v>
      </c>
      <c r="G140" s="188"/>
      <c r="H140" s="191">
        <f t="shared" si="23"/>
        <v>3193.55</v>
      </c>
      <c r="J140" s="188">
        <f t="shared" si="20"/>
        <v>0.80951837769328261</v>
      </c>
      <c r="K140" s="192">
        <f t="shared" si="21"/>
        <v>0.80951837769328261</v>
      </c>
      <c r="L140" s="188"/>
      <c r="M140" s="193">
        <f t="shared" si="22"/>
        <v>9.7142205323193913</v>
      </c>
    </row>
    <row r="141" spans="1:13" ht="15" customHeight="1">
      <c r="A141" s="173" t="s">
        <v>384</v>
      </c>
      <c r="B141" s="173" t="s">
        <v>385</v>
      </c>
      <c r="C141" s="190">
        <v>313.7</v>
      </c>
      <c r="E141" s="188">
        <v>7215.1</v>
      </c>
      <c r="F141" s="188">
        <v>2195.8999999999996</v>
      </c>
      <c r="G141" s="188"/>
      <c r="H141" s="191">
        <f t="shared" si="23"/>
        <v>9411</v>
      </c>
      <c r="J141" s="188">
        <f t="shared" si="20"/>
        <v>2.5</v>
      </c>
      <c r="K141" s="192">
        <f t="shared" si="21"/>
        <v>2.5</v>
      </c>
      <c r="L141" s="188"/>
      <c r="M141" s="193">
        <f t="shared" si="22"/>
        <v>30</v>
      </c>
    </row>
    <row r="142" spans="1:13" ht="15" customHeight="1">
      <c r="A142" s="173" t="s">
        <v>386</v>
      </c>
      <c r="B142" s="173" t="s">
        <v>387</v>
      </c>
      <c r="C142" s="190">
        <v>212.02</v>
      </c>
      <c r="E142" s="188">
        <v>0</v>
      </c>
      <c r="F142" s="188">
        <v>313.7</v>
      </c>
      <c r="G142" s="188"/>
      <c r="H142" s="191">
        <f t="shared" si="23"/>
        <v>313.7</v>
      </c>
      <c r="J142" s="188">
        <f t="shared" si="20"/>
        <v>0.12329811652988711</v>
      </c>
      <c r="K142" s="192">
        <f t="shared" si="21"/>
        <v>0.12329811652988711</v>
      </c>
      <c r="L142" s="188"/>
      <c r="M142" s="193">
        <f t="shared" si="22"/>
        <v>1.4795773983586453</v>
      </c>
    </row>
    <row r="143" spans="1:13" ht="15" customHeight="1">
      <c r="A143" s="173" t="s">
        <v>388</v>
      </c>
      <c r="B143" s="173" t="s">
        <v>389</v>
      </c>
      <c r="C143" s="190">
        <v>96.3</v>
      </c>
      <c r="E143" s="188">
        <v>1367.46</v>
      </c>
      <c r="F143" s="188">
        <v>1775.1299999999999</v>
      </c>
      <c r="G143" s="188"/>
      <c r="H143" s="191">
        <f t="shared" si="23"/>
        <v>3142.59</v>
      </c>
      <c r="J143" s="188">
        <f t="shared" si="20"/>
        <v>2.7194444444444446</v>
      </c>
      <c r="K143" s="192">
        <f t="shared" si="21"/>
        <v>2.7194444444444446</v>
      </c>
      <c r="L143" s="188"/>
      <c r="M143" s="193">
        <f t="shared" si="22"/>
        <v>32.633333333333333</v>
      </c>
    </row>
    <row r="144" spans="1:13" ht="15" customHeight="1">
      <c r="A144" s="173" t="s">
        <v>390</v>
      </c>
      <c r="B144" s="173" t="s">
        <v>391</v>
      </c>
      <c r="C144" s="190">
        <v>120.3</v>
      </c>
      <c r="E144" s="188">
        <v>1263.1499999999999</v>
      </c>
      <c r="F144" s="188">
        <v>441.1</v>
      </c>
      <c r="G144" s="188"/>
      <c r="H144" s="191">
        <f t="shared" si="23"/>
        <v>1704.25</v>
      </c>
      <c r="J144" s="188">
        <f t="shared" si="20"/>
        <v>1.1805555555555556</v>
      </c>
      <c r="K144" s="192">
        <f t="shared" si="21"/>
        <v>1.1805555555555556</v>
      </c>
      <c r="L144" s="188"/>
      <c r="M144" s="193">
        <f t="shared" si="22"/>
        <v>14.166666666666668</v>
      </c>
    </row>
    <row r="145" spans="1:13" ht="15" customHeight="1">
      <c r="A145" s="173" t="s">
        <v>392</v>
      </c>
      <c r="B145" s="173" t="s">
        <v>393</v>
      </c>
      <c r="C145" s="190">
        <v>212.02</v>
      </c>
      <c r="E145" s="188">
        <v>1272.1200000000001</v>
      </c>
      <c r="F145" s="188">
        <v>1272.1200000000001</v>
      </c>
      <c r="G145" s="188"/>
      <c r="H145" s="191">
        <f t="shared" si="23"/>
        <v>2544.2400000000002</v>
      </c>
      <c r="J145" s="188">
        <f t="shared" si="20"/>
        <v>1</v>
      </c>
      <c r="K145" s="192">
        <f t="shared" si="21"/>
        <v>1</v>
      </c>
      <c r="L145" s="188"/>
      <c r="M145" s="193">
        <f t="shared" si="22"/>
        <v>12</v>
      </c>
    </row>
    <row r="146" spans="1:13" ht="15" customHeight="1">
      <c r="A146" s="173" t="s">
        <v>394</v>
      </c>
      <c r="B146" s="173" t="s">
        <v>395</v>
      </c>
      <c r="C146" s="190">
        <v>70.55</v>
      </c>
      <c r="E146" s="188">
        <v>1622.6499999999999</v>
      </c>
      <c r="F146" s="188">
        <v>1904.85</v>
      </c>
      <c r="G146" s="188"/>
      <c r="H146" s="191">
        <f t="shared" si="23"/>
        <v>3527.5</v>
      </c>
      <c r="J146" s="188">
        <f t="shared" si="20"/>
        <v>4.166666666666667</v>
      </c>
      <c r="K146" s="192">
        <f t="shared" si="21"/>
        <v>4.166666666666667</v>
      </c>
      <c r="L146" s="188"/>
      <c r="M146" s="193">
        <f t="shared" si="22"/>
        <v>50</v>
      </c>
    </row>
    <row r="147" spans="1:13" ht="15" customHeight="1">
      <c r="A147" s="173" t="s">
        <v>396</v>
      </c>
      <c r="B147" s="173" t="s">
        <v>397</v>
      </c>
      <c r="C147" s="190">
        <v>5.26</v>
      </c>
      <c r="E147" s="188">
        <v>10940.8</v>
      </c>
      <c r="F147" s="188">
        <v>5523</v>
      </c>
      <c r="G147" s="188"/>
      <c r="H147" s="191">
        <f t="shared" si="23"/>
        <v>16463.8</v>
      </c>
      <c r="J147" s="188">
        <f t="shared" si="20"/>
        <v>260.83333333333331</v>
      </c>
      <c r="K147" s="192">
        <f t="shared" si="21"/>
        <v>260.83333333333331</v>
      </c>
      <c r="L147" s="188"/>
      <c r="M147" s="193">
        <f t="shared" si="22"/>
        <v>3130</v>
      </c>
    </row>
    <row r="148" spans="1:13" s="61" customFormat="1" ht="15" customHeight="1" thickBot="1">
      <c r="A148" s="173"/>
      <c r="B148" s="173"/>
      <c r="C148" s="190"/>
      <c r="D148" s="190"/>
      <c r="E148" s="188"/>
      <c r="F148" s="188"/>
      <c r="G148" s="175"/>
      <c r="H148" s="175"/>
      <c r="I148" s="175"/>
      <c r="J148" s="175"/>
      <c r="K148" s="175"/>
      <c r="L148" s="188"/>
      <c r="M148" s="175"/>
    </row>
    <row r="149" spans="1:13" s="61" customFormat="1" ht="15" customHeight="1" thickBot="1">
      <c r="A149" s="173"/>
      <c r="B149" s="196" t="s">
        <v>398</v>
      </c>
      <c r="C149" s="190"/>
      <c r="D149" s="190"/>
      <c r="E149" s="197">
        <f>SUM(E138:E148)</f>
        <v>33763.83</v>
      </c>
      <c r="F149" s="197">
        <f>SUM(F138:F148)</f>
        <v>21874</v>
      </c>
      <c r="G149" s="197"/>
      <c r="H149" s="197">
        <f>SUM(H138:H148)</f>
        <v>55637.83</v>
      </c>
      <c r="I149" s="175"/>
      <c r="J149" s="175"/>
      <c r="K149" s="202">
        <f>SUM(K138:K148)</f>
        <v>279.25772571717158</v>
      </c>
      <c r="L149" s="188"/>
      <c r="M149" s="175"/>
    </row>
    <row r="150" spans="1:13" ht="15" customHeight="1">
      <c r="A150" s="195"/>
      <c r="B150" s="195"/>
    </row>
    <row r="151" spans="1:13" ht="15" customHeight="1">
      <c r="A151" s="208" t="s">
        <v>399</v>
      </c>
      <c r="B151" s="208" t="s">
        <v>399</v>
      </c>
    </row>
    <row r="152" spans="1:13" ht="15" customHeight="1">
      <c r="A152" s="173" t="s">
        <v>400</v>
      </c>
      <c r="B152" s="173" t="s">
        <v>401</v>
      </c>
      <c r="E152" s="188">
        <v>22892.880000000001</v>
      </c>
      <c r="F152" s="188">
        <v>18664.73</v>
      </c>
      <c r="G152" s="188"/>
      <c r="H152" s="191">
        <f>SUM(E152:F152)</f>
        <v>41557.61</v>
      </c>
    </row>
    <row r="153" spans="1:13" ht="15" customHeight="1">
      <c r="H153" s="209"/>
    </row>
    <row r="154" spans="1:13" ht="15" customHeight="1">
      <c r="A154" s="195"/>
      <c r="B154" s="196" t="s">
        <v>402</v>
      </c>
      <c r="E154" s="197">
        <f t="shared" ref="E154:H154" si="24">SUM(E152:E153)</f>
        <v>22892.880000000001</v>
      </c>
      <c r="F154" s="197">
        <f t="shared" si="24"/>
        <v>18664.73</v>
      </c>
      <c r="G154" s="197"/>
      <c r="H154" s="197">
        <f t="shared" si="24"/>
        <v>41557.61</v>
      </c>
    </row>
    <row r="155" spans="1:13" ht="15" customHeight="1">
      <c r="A155" s="195"/>
      <c r="B155" s="196"/>
      <c r="E155" s="207"/>
      <c r="F155" s="207"/>
      <c r="G155" s="207"/>
      <c r="H155" s="207"/>
    </row>
    <row r="156" spans="1:13" s="61" customFormat="1" ht="15" customHeight="1">
      <c r="A156" s="199" t="s">
        <v>403</v>
      </c>
      <c r="B156" s="199" t="s">
        <v>403</v>
      </c>
      <c r="C156" s="190"/>
      <c r="D156" s="190"/>
      <c r="E156" s="175"/>
      <c r="F156" s="175"/>
      <c r="G156" s="175"/>
      <c r="H156" s="191"/>
      <c r="I156" s="175"/>
      <c r="J156" s="188"/>
      <c r="K156" s="173"/>
      <c r="L156" s="188"/>
      <c r="M156" s="175"/>
    </row>
    <row r="157" spans="1:13" s="61" customFormat="1" ht="15" customHeight="1">
      <c r="A157" s="173" t="s">
        <v>404</v>
      </c>
      <c r="B157" s="173" t="s">
        <v>405</v>
      </c>
      <c r="C157" s="190"/>
      <c r="D157" s="190"/>
      <c r="E157" s="188">
        <v>1819.54</v>
      </c>
      <c r="F157" s="188">
        <v>1442.5100000000002</v>
      </c>
      <c r="G157" s="188"/>
      <c r="H157" s="191">
        <f>SUM(E157:F157)</f>
        <v>3262.05</v>
      </c>
      <c r="I157" s="175"/>
      <c r="J157" s="188"/>
      <c r="K157" s="173"/>
      <c r="L157" s="188"/>
      <c r="M157" s="175"/>
    </row>
    <row r="158" spans="1:13" s="61" customFormat="1" ht="15" customHeight="1">
      <c r="A158" s="173" t="s">
        <v>406</v>
      </c>
      <c r="B158" s="173" t="s">
        <v>407</v>
      </c>
      <c r="C158" s="190"/>
      <c r="D158" s="190"/>
      <c r="E158" s="188">
        <v>160.74</v>
      </c>
      <c r="F158" s="188">
        <v>18.03</v>
      </c>
      <c r="G158" s="188"/>
      <c r="H158" s="191">
        <f>SUM(E158:F158)</f>
        <v>178.77</v>
      </c>
      <c r="I158" s="175"/>
      <c r="J158" s="188"/>
      <c r="K158" s="173"/>
      <c r="L158" s="188"/>
      <c r="M158" s="175"/>
    </row>
    <row r="159" spans="1:13" s="61" customFormat="1" ht="15" customHeight="1">
      <c r="A159" s="173" t="s">
        <v>408</v>
      </c>
      <c r="B159" s="173" t="s">
        <v>409</v>
      </c>
      <c r="C159" s="190"/>
      <c r="D159" s="190"/>
      <c r="E159" s="188">
        <v>0</v>
      </c>
      <c r="F159" s="188">
        <v>-21.22</v>
      </c>
      <c r="G159" s="188"/>
      <c r="H159" s="191">
        <f>SUM(E159:F159)</f>
        <v>-21.22</v>
      </c>
      <c r="I159" s="175"/>
      <c r="J159" s="188"/>
      <c r="K159" s="173"/>
      <c r="L159" s="188"/>
      <c r="M159" s="175"/>
    </row>
    <row r="160" spans="1:13" s="61" customFormat="1" ht="15" customHeight="1">
      <c r="A160" s="194"/>
      <c r="B160" s="194"/>
      <c r="C160" s="190"/>
      <c r="D160" s="190"/>
      <c r="E160" s="175"/>
      <c r="F160" s="175"/>
      <c r="G160" s="175"/>
      <c r="H160" s="191"/>
      <c r="I160" s="175"/>
      <c r="J160" s="188"/>
      <c r="K160" s="173"/>
      <c r="L160" s="188"/>
      <c r="M160" s="175"/>
    </row>
    <row r="161" spans="1:13" s="61" customFormat="1" ht="15" customHeight="1">
      <c r="A161" s="195"/>
      <c r="B161" s="196" t="s">
        <v>410</v>
      </c>
      <c r="C161" s="190"/>
      <c r="D161" s="190"/>
      <c r="E161" s="197">
        <f>SUM(E157:E159)</f>
        <v>1980.28</v>
      </c>
      <c r="F161" s="197">
        <f>SUM(F157:F159)</f>
        <v>1439.3200000000002</v>
      </c>
      <c r="G161" s="197"/>
      <c r="H161" s="197">
        <f>SUM(H157:H159)</f>
        <v>3419.6000000000004</v>
      </c>
      <c r="I161" s="175"/>
      <c r="J161" s="188"/>
      <c r="K161" s="173"/>
      <c r="L161" s="188"/>
      <c r="M161" s="175"/>
    </row>
    <row r="162" spans="1:13" ht="15" customHeight="1">
      <c r="A162" s="195"/>
      <c r="B162" s="196"/>
    </row>
    <row r="163" spans="1:13" ht="15" customHeight="1">
      <c r="A163" s="177"/>
      <c r="B163" s="206" t="s">
        <v>411</v>
      </c>
      <c r="E163" s="197">
        <f>SUM(E36,E41,E122,E128,E149,E154,E161,E133)</f>
        <v>1047599.1149999999</v>
      </c>
      <c r="F163" s="197">
        <f>SUM(F36,F41,F122,F128,F149,F154,F161,F133)</f>
        <v>1021476.9699999997</v>
      </c>
      <c r="G163" s="197"/>
      <c r="H163" s="197">
        <f>SUM(H36,H41,H122,H128,H133,H149,H154,H161)</f>
        <v>2068976.0850000004</v>
      </c>
    </row>
    <row r="164" spans="1:13" ht="15" customHeight="1">
      <c r="A164" s="177"/>
      <c r="B164" s="177"/>
    </row>
    <row r="165" spans="1:13" ht="15" customHeight="1">
      <c r="E165" s="209"/>
      <c r="F165" s="209"/>
    </row>
    <row r="166" spans="1:13" ht="15" customHeight="1">
      <c r="E166" s="128"/>
      <c r="F166" s="128"/>
    </row>
  </sheetData>
  <mergeCells count="1">
    <mergeCell ref="A4:H4"/>
  </mergeCells>
  <printOptions horizontalCentered="1"/>
  <pageMargins left="0.7" right="0.7" top="0.75" bottom="0.75" header="0.3" footer="0.3"/>
  <pageSetup scale="60" fitToHeight="0" orientation="portrait" r:id="rId1"/>
  <headerFooter>
    <oddFooter>&amp;L&amp;F - &amp;A&amp;R&amp;P of &amp;N</oddFooter>
  </headerFooter>
  <rowBreaks count="2" manualBreakCount="2">
    <brk id="76" max="12" man="1"/>
    <brk id="134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1B02428039CF48AD4E2CD8980559B2" ma:contentTypeVersion="104" ma:contentTypeDescription="" ma:contentTypeScope="" ma:versionID="cfe6bc2898e456c14d52260fdc165c0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2016-11-14T08:00:00+00:00</OpenedDate>
    <Date1 xmlns="dc463f71-b30c-4ab2-9473-d307f9d35888">2016-11-14T08:00:00+00:00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EMPIRE DISPOSAL INC</CaseCompanyNames>
    <DocketNumber xmlns="dc463f71-b30c-4ab2-9473-d307f9d35888">161199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8D01460-AC9D-4A30-B6FA-397300FD0515}"/>
</file>

<file path=customXml/itemProps2.xml><?xml version="1.0" encoding="utf-8"?>
<ds:datastoreItem xmlns:ds="http://schemas.openxmlformats.org/officeDocument/2006/customXml" ds:itemID="{2EE2FA4F-F9B9-44F6-8C69-FADD448AFA4E}"/>
</file>

<file path=customXml/itemProps3.xml><?xml version="1.0" encoding="utf-8"?>
<ds:datastoreItem xmlns:ds="http://schemas.openxmlformats.org/officeDocument/2006/customXml" ds:itemID="{8D3472DA-8C79-4AD9-8CB8-EC18DBBCF478}"/>
</file>

<file path=customXml/itemProps4.xml><?xml version="1.0" encoding="utf-8"?>
<ds:datastoreItem xmlns:ds="http://schemas.openxmlformats.org/officeDocument/2006/customXml" ds:itemID="{D7DD8EE2-016F-48DD-A8F9-A5FC7E8D49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References</vt:lpstr>
      <vt:lpstr>Whitman DF Calc</vt:lpstr>
      <vt:lpstr>Proposed Rates</vt:lpstr>
      <vt:lpstr>Disposal Schedule</vt:lpstr>
      <vt:lpstr>Regulated Co Provided Priceout</vt:lpstr>
      <vt:lpstr>'Disposal Schedule'!Print_Area</vt:lpstr>
      <vt:lpstr>'Regulated Co Provided Priceout'!Print_Area</vt:lpstr>
      <vt:lpstr>'Whitman DF Calc'!Print_Area</vt:lpstr>
      <vt:lpstr>'Proposed Rates'!Print_Titles</vt:lpstr>
      <vt:lpstr>'Regulated Co Provided Priceout'!Print_Titles</vt:lpstr>
      <vt:lpstr>'Whitman DF Calc'!Print_Titles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Ben Thompson</cp:lastModifiedBy>
  <cp:lastPrinted>2016-11-14T18:19:28Z</cp:lastPrinted>
  <dcterms:created xsi:type="dcterms:W3CDTF">2014-11-03T21:22:13Z</dcterms:created>
  <dcterms:modified xsi:type="dcterms:W3CDTF">2016-11-14T18:20:01Z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0x0101006E56B4D1795A2E4DB2F0B01679ED314A00141B02428039CF48AD4E2CD8980559B2</vt:lpwstr>
  </property>
  <property fmtid="{D5CDD505-2E9C-101B-9397-08002B2CF9AE}" pid="3" name="_docset_NoMedatataSyncRequired">
    <vt:lpwstr>False</vt:lpwstr>
  </property>
</Properties>
</file>