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9240" tabRatio="886" activeTab="0"/>
  </bookViews>
  <sheets>
    <sheet name="Co. Pro WTB" sheetId="1" r:id="rId1"/>
    <sheet name="References" sheetId="2" r:id="rId2"/>
    <sheet name="Calc. and priceout" sheetId="3" r:id="rId3"/>
    <sheet name="Co. Pro Tonnage" sheetId="4" r:id="rId4"/>
  </sheets>
  <definedNames>
    <definedName name="_xlnm.Print_Area" localSheetId="3">'Co. Pro Tonnage'!$A$1:$P$15</definedName>
    <definedName name="_xlnm.Print_Area" localSheetId="0">'Co. Pro WTB'!$A$1:$J$252</definedName>
    <definedName name="_xlnm.Print_Area" localSheetId="1">'References'!$A$1:$H$64</definedName>
    <definedName name="_xlnm.Print_Titles" localSheetId="2">'Calc. and priceout'!$1:$1</definedName>
    <definedName name="_xlnm.Print_Titles" localSheetId="0">'Co. Pro WTB'!$1:$7</definedName>
  </definedNames>
  <calcPr fullCalcOnLoad="1" iterate="1" iterateCount="100" iterateDelta="0.001"/>
</workbook>
</file>

<file path=xl/comments1.xml><?xml version="1.0" encoding="utf-8"?>
<comments xmlns="http://schemas.openxmlformats.org/spreadsheetml/2006/main">
  <authors>
    <author>Mike Weinstein</author>
  </authors>
  <commentList>
    <comment ref="F11" authorId="0">
      <text>
        <r>
          <rPr>
            <b/>
            <sz val="8"/>
            <rFont val="Tahoma"/>
            <family val="2"/>
          </rPr>
          <t>Mike Weinstein:</t>
        </r>
        <r>
          <rPr>
            <sz val="8"/>
            <rFont val="Tahoma"/>
            <family val="2"/>
          </rPr>
          <t xml:space="preserve">
To adjust revenue requirement and related revenue sensitive expenses to reflect increase in disposal expense due to the increase in the Kitsap County disposal fees. See Tonnage sheet to show how much service fees are impacted by the disposal fee increase.</t>
        </r>
      </text>
    </comment>
    <comment ref="F29" authorId="0">
      <text>
        <r>
          <rPr>
            <b/>
            <sz val="8"/>
            <rFont val="Tahoma"/>
            <family val="2"/>
          </rPr>
          <t>Mike Weinstein:</t>
        </r>
        <r>
          <rPr>
            <sz val="8"/>
            <rFont val="Tahoma"/>
            <family val="2"/>
          </rPr>
          <t xml:space="preserve">
To reflect increase in disposal and pass through disposal fees due to the increase in the Kitsap County Tip fee from $62.02/ton to $65.00/ton</t>
        </r>
      </text>
    </comment>
    <comment ref="F34" authorId="0">
      <text>
        <r>
          <rPr>
            <b/>
            <sz val="8"/>
            <rFont val="Tahoma"/>
            <family val="2"/>
          </rPr>
          <t>Mike Weinstein:</t>
        </r>
        <r>
          <rPr>
            <sz val="8"/>
            <rFont val="Tahoma"/>
            <family val="2"/>
          </rPr>
          <t xml:space="preserve">
To record increase in revenue sensitive expenses due to the Disposal fee increase.</t>
        </r>
      </text>
    </comment>
  </commentList>
</comments>
</file>

<file path=xl/sharedStrings.xml><?xml version="1.0" encoding="utf-8"?>
<sst xmlns="http://schemas.openxmlformats.org/spreadsheetml/2006/main" count="649" uniqueCount="442">
  <si>
    <t>Waste Management - Brem-Air</t>
  </si>
  <si>
    <t>Working Trial Balance</t>
  </si>
  <si>
    <t>Pro Forma</t>
  </si>
  <si>
    <t>Adj.</t>
  </si>
  <si>
    <t>Account Description</t>
  </si>
  <si>
    <t>Account #</t>
  </si>
  <si>
    <t>%</t>
  </si>
  <si>
    <t>Total</t>
  </si>
  <si>
    <t>Operating Revenue</t>
  </si>
  <si>
    <t>External Operating Revenue</t>
  </si>
  <si>
    <t>Commercial Collection</t>
  </si>
  <si>
    <t>400000</t>
  </si>
  <si>
    <t>Commercial Rent</t>
  </si>
  <si>
    <t>Residential Collection</t>
  </si>
  <si>
    <t>405000</t>
  </si>
  <si>
    <t>Residential Collection Rcy</t>
  </si>
  <si>
    <t>408000</t>
  </si>
  <si>
    <t>MF Collection Rcy</t>
  </si>
  <si>
    <t>Residential Collection Yard Waste</t>
  </si>
  <si>
    <t>Roll Off Collection Permanent</t>
  </si>
  <si>
    <t>410000</t>
  </si>
  <si>
    <t>Roll Off Disposal Pass Through</t>
  </si>
  <si>
    <t>Roll Off Rent</t>
  </si>
  <si>
    <t>Sales - Collection</t>
  </si>
  <si>
    <t>Other Operating Revenue</t>
  </si>
  <si>
    <t>Other Late Fee Revenue</t>
  </si>
  <si>
    <t>458890</t>
  </si>
  <si>
    <t>Total Operating Revenue</t>
  </si>
  <si>
    <t>Revenue Reduction</t>
  </si>
  <si>
    <t>Disposal to Transfer Station</t>
  </si>
  <si>
    <t>500500</t>
  </si>
  <si>
    <t>Disposal Pass Through - roll Off</t>
  </si>
  <si>
    <t>Disposal to Other Facility</t>
  </si>
  <si>
    <t>500800</t>
  </si>
  <si>
    <t>Processing Fees</t>
  </si>
  <si>
    <t>Subcontractor Costs - Other</t>
  </si>
  <si>
    <t>502500</t>
  </si>
  <si>
    <t>State B &amp; O Tax</t>
  </si>
  <si>
    <t>WUTC Fees</t>
  </si>
  <si>
    <t>Total Revenue Reduction</t>
  </si>
  <si>
    <t>Net Revenue</t>
  </si>
  <si>
    <t>Operating Expenses</t>
  </si>
  <si>
    <t>Direct Labor Costs</t>
  </si>
  <si>
    <t>Wages - Hourly Operations</t>
  </si>
  <si>
    <t>511010</t>
  </si>
  <si>
    <t>Group Insurance - WMI</t>
  </si>
  <si>
    <t>513000</t>
  </si>
  <si>
    <t>Workers Compensation - Premium</t>
  </si>
  <si>
    <t>513100</t>
  </si>
  <si>
    <t>Workers Compensation - Claims</t>
  </si>
  <si>
    <t>513150</t>
  </si>
  <si>
    <t>Employer 401K Matching</t>
  </si>
  <si>
    <t>514000</t>
  </si>
  <si>
    <t>Safety Program Expense</t>
  </si>
  <si>
    <t>514300</t>
  </si>
  <si>
    <t>Payroll Tax Expense</t>
  </si>
  <si>
    <t>515000</t>
  </si>
  <si>
    <t>Medical Expense</t>
  </si>
  <si>
    <t>518300</t>
  </si>
  <si>
    <t>Uniforms</t>
  </si>
  <si>
    <t>518400</t>
  </si>
  <si>
    <t>Other Employee Costs</t>
  </si>
  <si>
    <t>518900</t>
  </si>
  <si>
    <t>Primary Equipment Costs</t>
  </si>
  <si>
    <t>Primary Equipment Fixed</t>
  </si>
  <si>
    <t>Road Use Taxes</t>
  </si>
  <si>
    <t>537000</t>
  </si>
  <si>
    <t>Toll Roads</t>
  </si>
  <si>
    <t>537100</t>
  </si>
  <si>
    <t>Vehicle License, Fees, Permits</t>
  </si>
  <si>
    <t>537500</t>
  </si>
  <si>
    <t>Other Transportation Costs</t>
  </si>
  <si>
    <t>537900</t>
  </si>
  <si>
    <t>Insurance - Trucks</t>
  </si>
  <si>
    <t>570000</t>
  </si>
  <si>
    <t>Insurance - General Liability</t>
  </si>
  <si>
    <t>570400</t>
  </si>
  <si>
    <t>Insurance - Umbrella</t>
  </si>
  <si>
    <t>570500</t>
  </si>
  <si>
    <t>Uninsured Loss - Corp Charge</t>
  </si>
  <si>
    <t>570800</t>
  </si>
  <si>
    <t>Uninsured Loss - Local Settle</t>
  </si>
  <si>
    <t>570850</t>
  </si>
  <si>
    <t>Fleet Pride Reclass</t>
  </si>
  <si>
    <t>570890</t>
  </si>
  <si>
    <t>Depreciation - Trucks</t>
  </si>
  <si>
    <t>700000</t>
  </si>
  <si>
    <t>Primary Equipment Variable Cost</t>
  </si>
  <si>
    <t>Wages - Salaried Operations</t>
  </si>
  <si>
    <t>510510</t>
  </si>
  <si>
    <t>Wages - Bonus Other</t>
  </si>
  <si>
    <t>512090</t>
  </si>
  <si>
    <t>Temporary Agency Labor</t>
  </si>
  <si>
    <t>516100</t>
  </si>
  <si>
    <t>New, Retread &amp; Repaired Tires</t>
  </si>
  <si>
    <t>520000</t>
  </si>
  <si>
    <t>Tire Third Prty Truck Specific</t>
  </si>
  <si>
    <t>520100</t>
  </si>
  <si>
    <t>Tire Warranty Reimbursements</t>
  </si>
  <si>
    <t>520200</t>
  </si>
  <si>
    <t>Other Tire Maintenance</t>
  </si>
  <si>
    <t>520900</t>
  </si>
  <si>
    <t>Parts Inventory Expense</t>
  </si>
  <si>
    <t>521000</t>
  </si>
  <si>
    <t>Maintenance Supplies Expense</t>
  </si>
  <si>
    <t>521100</t>
  </si>
  <si>
    <t>Small Tools Expense</t>
  </si>
  <si>
    <t>521200</t>
  </si>
  <si>
    <t>Parts Inventory Adjustments</t>
  </si>
  <si>
    <t>521400</t>
  </si>
  <si>
    <t>Primary Lubricants</t>
  </si>
  <si>
    <t>522000</t>
  </si>
  <si>
    <t>Third Party Repairs</t>
  </si>
  <si>
    <t>524000</t>
  </si>
  <si>
    <t>Truck Washing</t>
  </si>
  <si>
    <t>524200</t>
  </si>
  <si>
    <t>Third Party Towing</t>
  </si>
  <si>
    <t>524300</t>
  </si>
  <si>
    <t>Third Party Equipment Maint</t>
  </si>
  <si>
    <t>524400</t>
  </si>
  <si>
    <t>Warranty Recovery</t>
  </si>
  <si>
    <t>524800</t>
  </si>
  <si>
    <t>Clear Diesel Fuel - On Hwy</t>
  </si>
  <si>
    <t>535000</t>
  </si>
  <si>
    <t>Fuel Tax Credit</t>
  </si>
  <si>
    <t>536000</t>
  </si>
  <si>
    <t>Environmental Compliance</t>
  </si>
  <si>
    <t>Procurement Card Rebate</t>
  </si>
  <si>
    <t>577500</t>
  </si>
  <si>
    <t>Travel - Auto</t>
  </si>
  <si>
    <t>585000</t>
  </si>
  <si>
    <t>Travel - Lodging</t>
  </si>
  <si>
    <t>585300</t>
  </si>
  <si>
    <t>Allocations</t>
  </si>
  <si>
    <t>Depreciation - Equipment</t>
  </si>
  <si>
    <t>700400</t>
  </si>
  <si>
    <t>Truck/Primary Equipment Variable &amp; Shop Costs</t>
  </si>
  <si>
    <t>Secondary Equipment Costs</t>
  </si>
  <si>
    <t>Secondary Equipment Fixed Costs</t>
  </si>
  <si>
    <t>Depreciation - Containers</t>
  </si>
  <si>
    <t>700300</t>
  </si>
  <si>
    <t>Depreciation - Carts</t>
  </si>
  <si>
    <t>Secondary EquipmentVariable Costs</t>
  </si>
  <si>
    <t>Third Party Compactor Repairs</t>
  </si>
  <si>
    <t>524500</t>
  </si>
  <si>
    <t>Metal Replacements - Raw Steel</t>
  </si>
  <si>
    <t>525000</t>
  </si>
  <si>
    <t>Shop Paint Expense</t>
  </si>
  <si>
    <t>525100</t>
  </si>
  <si>
    <t>Container Lids</t>
  </si>
  <si>
    <t>525200</t>
  </si>
  <si>
    <t>Container Casters</t>
  </si>
  <si>
    <t>525300</t>
  </si>
  <si>
    <t>Compactor Repairs</t>
  </si>
  <si>
    <t>525500</t>
  </si>
  <si>
    <t>Third Party Container Maint</t>
  </si>
  <si>
    <t>525900</t>
  </si>
  <si>
    <t>Rental - Equipment</t>
  </si>
  <si>
    <t>531100</t>
  </si>
  <si>
    <t>Allocation in</t>
  </si>
  <si>
    <t>598100</t>
  </si>
  <si>
    <t>Depreciation - Support Vehicle</t>
  </si>
  <si>
    <t>700200</t>
  </si>
  <si>
    <t>Secondary Equipment Variable Costs</t>
  </si>
  <si>
    <t>Operations Support and Other</t>
  </si>
  <si>
    <t>Employee Relocation Expense</t>
  </si>
  <si>
    <t>518000</t>
  </si>
  <si>
    <t>Employment Fees</t>
  </si>
  <si>
    <t>518100</t>
  </si>
  <si>
    <t>Employee &amp; Community Activity</t>
  </si>
  <si>
    <t>518200</t>
  </si>
  <si>
    <t>Other Parts &amp; Supplies Maint</t>
  </si>
  <si>
    <t>521900</t>
  </si>
  <si>
    <t>Building Maintenance</t>
  </si>
  <si>
    <t>523000</t>
  </si>
  <si>
    <t>Grounds Maintenance</t>
  </si>
  <si>
    <t>523100</t>
  </si>
  <si>
    <t>Taxes - Personal Property</t>
  </si>
  <si>
    <t>530000</t>
  </si>
  <si>
    <t>Taxes - Real Property</t>
  </si>
  <si>
    <t>530100</t>
  </si>
  <si>
    <t>Rental - Land/Building</t>
  </si>
  <si>
    <t>531200</t>
  </si>
  <si>
    <t>Utilities</t>
  </si>
  <si>
    <t>534000</t>
  </si>
  <si>
    <t>Gasoline</t>
  </si>
  <si>
    <t>535100</t>
  </si>
  <si>
    <t>568000</t>
  </si>
  <si>
    <t>Insurance - Building</t>
  </si>
  <si>
    <t>570200</t>
  </si>
  <si>
    <t>Performance Bond Expense</t>
  </si>
  <si>
    <t>570900</t>
  </si>
  <si>
    <t>License, Fees, Permits</t>
  </si>
  <si>
    <t>571000</t>
  </si>
  <si>
    <t>Miscellaneous</t>
  </si>
  <si>
    <t>Training Expense</t>
  </si>
  <si>
    <t>581300</t>
  </si>
  <si>
    <t>Office Supplies</t>
  </si>
  <si>
    <t>582000</t>
  </si>
  <si>
    <t>Bale Wire</t>
  </si>
  <si>
    <t>Vehicles Safety Initiatives</t>
  </si>
  <si>
    <t>582800</t>
  </si>
  <si>
    <t>Other Supplies</t>
  </si>
  <si>
    <t>582900</t>
  </si>
  <si>
    <t>Telephone - Office</t>
  </si>
  <si>
    <t>584000</t>
  </si>
  <si>
    <t>Telephone - Mobile/Pager</t>
  </si>
  <si>
    <t>584100</t>
  </si>
  <si>
    <t>Specialized Operations Equipmt</t>
  </si>
  <si>
    <t>584200</t>
  </si>
  <si>
    <t>Travel - Meals</t>
  </si>
  <si>
    <t>585200</t>
  </si>
  <si>
    <t>Travel - Other</t>
  </si>
  <si>
    <t>585600</t>
  </si>
  <si>
    <t>Meals</t>
  </si>
  <si>
    <t>585900</t>
  </si>
  <si>
    <t>Depreciation - Buildings</t>
  </si>
  <si>
    <t>700600</t>
  </si>
  <si>
    <t>Operation Support and Other</t>
  </si>
  <si>
    <t>Gross Profit</t>
  </si>
  <si>
    <t>Sales, General, and Administrative</t>
  </si>
  <si>
    <t>Sales Expenses</t>
  </si>
  <si>
    <t>Advertising</t>
  </si>
  <si>
    <t>660000</t>
  </si>
  <si>
    <t>677500</t>
  </si>
  <si>
    <t>Sales Expense</t>
  </si>
  <si>
    <t>General and Administrative Expenses</t>
  </si>
  <si>
    <t>Bad Debt Expense</t>
  </si>
  <si>
    <t>661000</t>
  </si>
  <si>
    <t>Bank Charges</t>
  </si>
  <si>
    <t>662000</t>
  </si>
  <si>
    <t>Credit Card Fees</t>
  </si>
  <si>
    <t>662100</t>
  </si>
  <si>
    <t>Computer Supplies</t>
  </si>
  <si>
    <t>664000</t>
  </si>
  <si>
    <t>PC Expense</t>
  </si>
  <si>
    <t>664100</t>
  </si>
  <si>
    <t>Dues and Subscriptions</t>
  </si>
  <si>
    <t>667000</t>
  </si>
  <si>
    <t>Postage</t>
  </si>
  <si>
    <t>676000</t>
  </si>
  <si>
    <t>Printing</t>
  </si>
  <si>
    <t>677000</t>
  </si>
  <si>
    <t>Accounting &amp; Legal</t>
  </si>
  <si>
    <t>678000</t>
  </si>
  <si>
    <t>Allocation of Market Area Overhead</t>
  </si>
  <si>
    <t>Allocation of Market Area Customer Service</t>
  </si>
  <si>
    <t>Allocation of Corp. &amp; Group Overhead</t>
  </si>
  <si>
    <t>Income From Operations (EBIT)</t>
  </si>
  <si>
    <t>Operating Ratio</t>
  </si>
  <si>
    <t>WM Brem-Air</t>
  </si>
  <si>
    <t>Disposal Summary</t>
  </si>
  <si>
    <t>Current</t>
  </si>
  <si>
    <t>Cost</t>
  </si>
  <si>
    <t>Proposed</t>
  </si>
  <si>
    <t>Tons</t>
  </si>
  <si>
    <t>Rate</t>
  </si>
  <si>
    <t>Per G/L</t>
  </si>
  <si>
    <t>Expense</t>
  </si>
  <si>
    <t>Commercial garbage</t>
  </si>
  <si>
    <t>Residential garbage</t>
  </si>
  <si>
    <t>Roll Off garbage</t>
  </si>
  <si>
    <t>Roll Off soils</t>
  </si>
  <si>
    <t>Adjusted</t>
  </si>
  <si>
    <t>Adj.'s</t>
  </si>
  <si>
    <t xml:space="preserve">Related </t>
  </si>
  <si>
    <t>To Rates</t>
  </si>
  <si>
    <t>Dr.(Cr.)</t>
  </si>
  <si>
    <t>A</t>
  </si>
  <si>
    <t>B</t>
  </si>
  <si>
    <t>C</t>
  </si>
  <si>
    <t>Regulated</t>
  </si>
  <si>
    <t>Monthly Factor</t>
  </si>
  <si>
    <t>Pickups:</t>
  </si>
  <si>
    <t>1 unit</t>
  </si>
  <si>
    <t>2 units</t>
  </si>
  <si>
    <t>3 units</t>
  </si>
  <si>
    <t>4 units</t>
  </si>
  <si>
    <t>5 units</t>
  </si>
  <si>
    <t>6 units</t>
  </si>
  <si>
    <t>7 unit</t>
  </si>
  <si>
    <t>5 Times per Week</t>
  </si>
  <si>
    <t>4 Times per Week</t>
  </si>
  <si>
    <t>3 Times per Week</t>
  </si>
  <si>
    <t>2 Times per Week</t>
  </si>
  <si>
    <t>Weekly Pickup (WG)</t>
  </si>
  <si>
    <t>Every Other Week (EOWG)</t>
  </si>
  <si>
    <t>Monthly (MG)</t>
  </si>
  <si>
    <t>Meeks Weights</t>
  </si>
  <si>
    <t>Res'l</t>
  </si>
  <si>
    <t>Pounds per Pickup</t>
  </si>
  <si>
    <t>20 gal minican</t>
  </si>
  <si>
    <t>1 can</t>
  </si>
  <si>
    <t>2 cans</t>
  </si>
  <si>
    <t>3 cans</t>
  </si>
  <si>
    <t>Lbs. per ton</t>
  </si>
  <si>
    <t>4 cans</t>
  </si>
  <si>
    <t>Yds. Per ton</t>
  </si>
  <si>
    <t>n/a</t>
  </si>
  <si>
    <t>5 cans</t>
  </si>
  <si>
    <t>6 cans</t>
  </si>
  <si>
    <t>35 gallon Can</t>
  </si>
  <si>
    <t>*</t>
  </si>
  <si>
    <t>Supercan 60</t>
  </si>
  <si>
    <t>Supercan 90</t>
  </si>
  <si>
    <t>Once a month</t>
  </si>
  <si>
    <t>Extras</t>
  </si>
  <si>
    <t>Com'l</t>
  </si>
  <si>
    <t>Cans</t>
  </si>
  <si>
    <t>1 yd container</t>
  </si>
  <si>
    <t>1.5 yd container</t>
  </si>
  <si>
    <t>2 yd container</t>
  </si>
  <si>
    <t>3 yd container</t>
  </si>
  <si>
    <t>4 yd container</t>
  </si>
  <si>
    <t>6 yd container</t>
  </si>
  <si>
    <t>8 yd container</t>
  </si>
  <si>
    <t>1 yd packer/compactor</t>
  </si>
  <si>
    <t>1.5 yd packer/compactor</t>
  </si>
  <si>
    <t>2 yd packer/compactor</t>
  </si>
  <si>
    <t>3 yd packer/compactor</t>
  </si>
  <si>
    <t>4 yd packer/compactor</t>
  </si>
  <si>
    <t>5 yd packer/compactor</t>
  </si>
  <si>
    <t>6 yd packer/compactor</t>
  </si>
  <si>
    <t>8 yd packer/compactor</t>
  </si>
  <si>
    <t>Yards</t>
  </si>
  <si>
    <t>* not on meeks - calculated by staff</t>
  </si>
  <si>
    <t>Kitsap County</t>
  </si>
  <si>
    <t>Per Ton</t>
  </si>
  <si>
    <t>Per Pound</t>
  </si>
  <si>
    <t>Gross Up Factors</t>
  </si>
  <si>
    <t xml:space="preserve">Current Rate </t>
  </si>
  <si>
    <t>B&amp;O tax</t>
  </si>
  <si>
    <t>New Rate per ton</t>
  </si>
  <si>
    <t>WUTC fees</t>
  </si>
  <si>
    <t>Increase</t>
  </si>
  <si>
    <t>Bad Debts</t>
  </si>
  <si>
    <t>Transfer Station</t>
  </si>
  <si>
    <t>Increase per ton</t>
  </si>
  <si>
    <t>Factor</t>
  </si>
  <si>
    <t>Grossed Up Increase per ton</t>
  </si>
  <si>
    <t>Tons Collected</t>
  </si>
  <si>
    <t>Disposal Fee Revenue Increase</t>
  </si>
  <si>
    <t>Tariff Page</t>
  </si>
  <si>
    <t>Scheduled Service</t>
  </si>
  <si>
    <t>Monthly Customers</t>
  </si>
  <si>
    <t>Monthly Frequency</t>
  </si>
  <si>
    <t>Annual PU's</t>
  </si>
  <si>
    <t>Calculated Annual Pounds</t>
  </si>
  <si>
    <t>Adjusted Annual Pounds</t>
  </si>
  <si>
    <t>Gross Up</t>
  </si>
  <si>
    <t>Tariff Rate Increase</t>
  </si>
  <si>
    <t>Company Current Tariff</t>
  </si>
  <si>
    <t>Company Current Revenue</t>
  </si>
  <si>
    <t>Revised Tariff Rate</t>
  </si>
  <si>
    <t>Revised Revenue</t>
  </si>
  <si>
    <t>Revised Revenue Increase</t>
  </si>
  <si>
    <t>Residential</t>
  </si>
  <si>
    <t>Commercial</t>
  </si>
  <si>
    <t>Totals</t>
  </si>
  <si>
    <t>Adjustment Factor Calculation</t>
  </si>
  <si>
    <t>Not on Meeks</t>
  </si>
  <si>
    <t>Total Tonnage</t>
  </si>
  <si>
    <t>Total Pounds</t>
  </si>
  <si>
    <t>Total Pick Ups</t>
  </si>
  <si>
    <t>na - multiple pickups not on tariff</t>
  </si>
  <si>
    <t>Adjustment factor</t>
  </si>
  <si>
    <t>1 - 20 gallon can weekly</t>
  </si>
  <si>
    <t>1 -32 gallon can EOW</t>
  </si>
  <si>
    <t>1 - 32 gallon can monthly</t>
  </si>
  <si>
    <t>1 - 32 gallon can on call</t>
  </si>
  <si>
    <t>1 - 32 gallon can weekly</t>
  </si>
  <si>
    <t>2 - 32 gallon can weekly</t>
  </si>
  <si>
    <t>3 - 32 gallon can weekly</t>
  </si>
  <si>
    <t>4 - 32 gallon can weekly</t>
  </si>
  <si>
    <t>5 - 32 gallon can weekly</t>
  </si>
  <si>
    <t>1 - 32 gallon cart EOW</t>
  </si>
  <si>
    <t>1 - 32 gallon cart monthly</t>
  </si>
  <si>
    <t>1 - 32 gallon cart weekly</t>
  </si>
  <si>
    <t>2 - 32 gallon cart weekly</t>
  </si>
  <si>
    <t>4 - 32 gallon cart weekly</t>
  </si>
  <si>
    <t>1 - 64 gallon cart weekly</t>
  </si>
  <si>
    <t>2 - 64 gallon cart weekly</t>
  </si>
  <si>
    <t>3 - 64 gallon cart weekly</t>
  </si>
  <si>
    <t>1 - 96 gallon cart weekly</t>
  </si>
  <si>
    <t>2 - 96 gallon cart weekly</t>
  </si>
  <si>
    <t>3 - 96 gallon cart weekly</t>
  </si>
  <si>
    <t>Company Proposed Tariff</t>
  </si>
  <si>
    <t>1 - 32 gallon can</t>
  </si>
  <si>
    <t>2 - 32 gallon can</t>
  </si>
  <si>
    <t>3 - 32 gallon can</t>
  </si>
  <si>
    <t>4 - 32 gallon can</t>
  </si>
  <si>
    <t>5 - 32 gallon can</t>
  </si>
  <si>
    <t>6 - 32 gallon can</t>
  </si>
  <si>
    <t>96 - 32 gallon can</t>
  </si>
  <si>
    <t>1 - 32 gallon cart</t>
  </si>
  <si>
    <t>2 - 32 gallon cart</t>
  </si>
  <si>
    <t>1 - 64 gallon cart</t>
  </si>
  <si>
    <t>2 - 64 gallon cart</t>
  </si>
  <si>
    <t>3 - 64 gallon cart</t>
  </si>
  <si>
    <t>4 - 64 gallon cart</t>
  </si>
  <si>
    <t>6 - 64 gallon cart</t>
  </si>
  <si>
    <t>1 - 96 gallon cart</t>
  </si>
  <si>
    <t>2 - 96 gallon cart</t>
  </si>
  <si>
    <t>3 - 96 gallon cart</t>
  </si>
  <si>
    <t>4 - 96 gallon cart</t>
  </si>
  <si>
    <t>1 - 1 yard frontload</t>
  </si>
  <si>
    <t>1 - 1.5 yard frontload</t>
  </si>
  <si>
    <t>2 - 1.5 yard frontload</t>
  </si>
  <si>
    <t>1 - 2 yard frontload</t>
  </si>
  <si>
    <t>2 - 2 yard frontload</t>
  </si>
  <si>
    <t>1 - 3 yard frontload</t>
  </si>
  <si>
    <t>2 - 3 yard frontload</t>
  </si>
  <si>
    <t>3 - 3 yard frontload</t>
  </si>
  <si>
    <t>6 - 3 yard frontload</t>
  </si>
  <si>
    <t>4 - 3 yard frontload</t>
  </si>
  <si>
    <t>5 - 3 yard frontload</t>
  </si>
  <si>
    <t>1 - 4 yard frontload</t>
  </si>
  <si>
    <t>2 - 4 yard frontload</t>
  </si>
  <si>
    <t>4 - 4 yard frontload</t>
  </si>
  <si>
    <t>1 - 6 yard frontload</t>
  </si>
  <si>
    <t>2 - 6 yard frontload</t>
  </si>
  <si>
    <t>3 - 6 yard frontload</t>
  </si>
  <si>
    <t>4 - 6 yard frontload</t>
  </si>
  <si>
    <t>5 - 6 yard frontload</t>
  </si>
  <si>
    <t>6 - 6 yard frontload</t>
  </si>
  <si>
    <t>7 - 6 yard frontload</t>
  </si>
  <si>
    <t>1 - 8 yard frontload</t>
  </si>
  <si>
    <t>5 - 8 yard frontload</t>
  </si>
  <si>
    <t>1 - 2 yard compactor</t>
  </si>
  <si>
    <t>1 - 3 yard compactor</t>
  </si>
  <si>
    <t>1 - 4 yard compactor</t>
  </si>
  <si>
    <t>Extra Bag, Box, or Can</t>
  </si>
  <si>
    <t>Yardage MSW (Loose)</t>
  </si>
  <si>
    <t>na</t>
  </si>
  <si>
    <t>(per TG-143718)</t>
  </si>
  <si>
    <t>Roll Off</t>
  </si>
  <si>
    <t>Revenue Sensitive costs</t>
  </si>
  <si>
    <t>after RO</t>
  </si>
  <si>
    <t>before RO</t>
  </si>
  <si>
    <t>(updated from TG-143718)</t>
  </si>
  <si>
    <t>Revenue Sensitive Costs distributed to Res'l and Com'l *</t>
  </si>
  <si>
    <r>
      <rPr>
        <b/>
        <sz val="11"/>
        <color indexed="8"/>
        <rFont val="Calibri"/>
        <family val="2"/>
      </rPr>
      <t>(a)</t>
    </r>
    <r>
      <rPr>
        <sz val="11"/>
        <color theme="1"/>
        <rFont val="Calibri"/>
        <family val="2"/>
      </rPr>
      <t xml:space="preserve">  As Roll off disposal is a pass through, the revenue associated costs due to the increase in roll off disposal fees must be borne by the commercial and residential customers.</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</si>
</sst>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_(* #,##0.0_);_(* \(#,##0.0\);_(* &quot;-&quot;??_);_(@_)"/>
    <numFmt numFmtId="166" formatCode="_(* #,##0_);_(* \(#,##0\);_(* &quot;-&quot;??_);_(@_)"/>
    <numFmt numFmtId="167" formatCode="m/d/yy\ h:mm\ AM/PM"/>
    <numFmt numFmtId="168" formatCode="mm/dd/yy"/>
    <numFmt numFmtId="169" formatCode="mmm\-yyyy"/>
    <numFmt numFmtId="170" formatCode="mmmm\-yy"/>
    <numFmt numFmtId="171" formatCode="_*\ #,###.0,;_(* \(#,###.0,\);_(* &quot;-&quot;??_);_(@_)"/>
    <numFmt numFmtId="172" formatCode="0.0%"/>
    <numFmt numFmtId="173" formatCode="_(* #,##0,_);_(* \(#,##0,\);_(* &quot;-&quot;??_);_(@_)"/>
    <numFmt numFmtId="174" formatCode="_(&quot;$&quot;* #,##0_);_(&quot;$&quot;* \(#,##0\);_(&quot;$&quot;* &quot;-&quot;??_);_(@_)"/>
    <numFmt numFmtId="175" formatCode="_(* #,##0_);_(&quot;$&quot;* \(#,##0\);_(* &quot;-&quot;??_);_(@_)"/>
    <numFmt numFmtId="176" formatCode="#,##0.0000_);\(#,##0.0000\)"/>
    <numFmt numFmtId="177" formatCode=";;;"/>
    <numFmt numFmtId="178" formatCode="#,##0.000_);\(#,##0.000\)"/>
    <numFmt numFmtId="179" formatCode="0.0000%"/>
    <numFmt numFmtId="180" formatCode="#,##0.0_);\(#,##0.0\)"/>
    <numFmt numFmtId="181" formatCode="m/d/yy;@"/>
    <numFmt numFmtId="182" formatCode="General_)"/>
    <numFmt numFmtId="183" formatCode="_(&quot;$&quot;* #,##0.000_);_(&quot;$&quot;* \(#,##0.000\);_(&quot;$&quot;* &quot;-&quot;??_);_(@_)"/>
    <numFmt numFmtId="184" formatCode="0.000%"/>
    <numFmt numFmtId="185" formatCode="_(&quot;$&quot;* #,##0.000000_);_(&quot;$&quot;* \(#,##0.000000\);_(&quot;$&quot;* &quot;-&quot;??????_);_(@_)"/>
    <numFmt numFmtId="186" formatCode="_(&quot;$&quot;* #,##0.0_);_(&quot;$&quot;* \(#,##0.0\);_(&quot;$&quot;* &quot;-&quot;??_);_(@_)"/>
    <numFmt numFmtId="187" formatCode="_(&quot;$&quot;* #,##0.0000_);_(&quot;$&quot;* \(#,##0.0000\);_(&quot;$&quot;* &quot;-&quot;????_);_(@_)"/>
    <numFmt numFmtId="188" formatCode="_(* #,##0.000000_);_(* \(#,##0.000000\);_(* &quot;-&quot;??_);_(@_)"/>
    <numFmt numFmtId="189" formatCode="_(&quot;$&quot;* #,##0.000000_);_(&quot;$&quot;* \(#,##0.000000\);_(&quot;$&quot;* &quot;-&quot;??_);_(@_)"/>
    <numFmt numFmtId="190" formatCode="0.000000"/>
    <numFmt numFmtId="191" formatCode="#,##0.00000000"/>
    <numFmt numFmtId="192" formatCode="_(* #,##0.000_);_(* \(#,##0.000\);_(* &quot;-&quot;??_);_(@_)"/>
    <numFmt numFmtId="193" formatCode="_(* #,##0.000_);_(* \(#,##0.000\);_(* &quot;-&quot;???_);_(@_)"/>
    <numFmt numFmtId="194" formatCode="0.0000"/>
    <numFmt numFmtId="195" formatCode="0.000"/>
    <numFmt numFmtId="196" formatCode="_(* #,##0.0000_);_(* \(#,##0.0000\);_(* &quot;-&quot;??_);_(@_)"/>
    <numFmt numFmtId="197" formatCode="_(* #,##0.00000_);_(* \(#,##0.00000\);_(* &quot;-&quot;??_);_(@_)"/>
    <numFmt numFmtId="198" formatCode="_(&quot;$&quot;* #,##0.0000_);_(&quot;$&quot;* \(#,##0.0000\);_(&quot;$&quot;* &quot;-&quot;??_);_(@_)"/>
    <numFmt numFmtId="199" formatCode="_(&quot;$&quot;* #,##0.00000_);_(&quot;$&quot;* \(#,##0.00000\);_(&quot;$&quot;* &quot;-&quot;??_);_(@_)"/>
    <numFmt numFmtId="200" formatCode="_(* #,##0.0000_);_(* \(#,##0.0000\);_(* &quot;-&quot;????_);_(@_)"/>
  </numFmts>
  <fonts count="97">
    <font>
      <sz val="11"/>
      <color theme="1"/>
      <name val="Calibri"/>
      <family val="2"/>
    </font>
    <font>
      <sz val="11"/>
      <color indexed="8"/>
      <name val="Calibri"/>
      <family val="2"/>
    </font>
    <font>
      <sz val="10"/>
      <name val="Arial"/>
      <family val="2"/>
    </font>
    <font>
      <sz val="12"/>
      <name val="Arial"/>
      <family val="2"/>
    </font>
    <font>
      <b/>
      <sz val="14"/>
      <name val="Arial"/>
      <family val="2"/>
    </font>
    <font>
      <b/>
      <sz val="12"/>
      <name val="Arial"/>
      <family val="2"/>
    </font>
    <font>
      <sz val="8"/>
      <color indexed="56"/>
      <name val="Arial"/>
      <family val="2"/>
    </font>
    <font>
      <b/>
      <sz val="16"/>
      <name val="Arial"/>
      <family val="2"/>
    </font>
    <font>
      <b/>
      <sz val="10"/>
      <name val="Arial"/>
      <family val="2"/>
    </font>
    <font>
      <i/>
      <sz val="12"/>
      <name val="Arial"/>
      <family val="2"/>
    </font>
    <font>
      <b/>
      <sz val="20"/>
      <name val="Arial"/>
      <family val="2"/>
    </font>
    <font>
      <b/>
      <u val="single"/>
      <sz val="12"/>
      <name val="Arial"/>
      <family val="2"/>
    </font>
    <font>
      <u val="single"/>
      <sz val="12"/>
      <name val="Arial"/>
      <family val="2"/>
    </font>
    <font>
      <u val="singleAccounting"/>
      <sz val="12"/>
      <name val="Arial"/>
      <family val="2"/>
    </font>
    <font>
      <b/>
      <u val="singleAccounting"/>
      <sz val="12"/>
      <name val="Arial"/>
      <family val="2"/>
    </font>
    <font>
      <b/>
      <u val="doubleAccounting"/>
      <sz val="12"/>
      <name val="Arial"/>
      <family val="2"/>
    </font>
    <font>
      <b/>
      <i/>
      <u val="single"/>
      <sz val="12"/>
      <name val="Arial"/>
      <family val="2"/>
    </font>
    <font>
      <b/>
      <sz val="10"/>
      <name val="MS Sans Serif"/>
      <family val="2"/>
    </font>
    <font>
      <b/>
      <i/>
      <u val="double"/>
      <sz val="12"/>
      <name val="Arial"/>
      <family val="2"/>
    </font>
    <font>
      <sz val="10"/>
      <name val="MS Sans Serif"/>
      <family val="2"/>
    </font>
    <font>
      <b/>
      <u val="double"/>
      <sz val="12"/>
      <name val="Arial"/>
      <family val="2"/>
    </font>
    <font>
      <b/>
      <u val="singleAccounting"/>
      <sz val="10"/>
      <name val="Arial"/>
      <family val="2"/>
    </font>
    <font>
      <u val="single"/>
      <sz val="10"/>
      <name val="Arial"/>
      <family val="2"/>
    </font>
    <font>
      <sz val="8"/>
      <name val="Tahoma"/>
      <family val="2"/>
    </font>
    <font>
      <b/>
      <sz val="8"/>
      <name val="Tahoma"/>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Arial"/>
      <family val="2"/>
    </font>
    <font>
      <b/>
      <u val="single"/>
      <sz val="12"/>
      <color indexed="8"/>
      <name val="Arial"/>
      <family val="2"/>
    </font>
    <font>
      <b/>
      <u val="singleAccounting"/>
      <sz val="12"/>
      <color indexed="8"/>
      <name val="Arial"/>
      <family val="2"/>
    </font>
    <font>
      <b/>
      <sz val="12"/>
      <color indexed="8"/>
      <name val="Arial"/>
      <family val="2"/>
    </font>
    <font>
      <b/>
      <sz val="16"/>
      <color indexed="8"/>
      <name val="Arial"/>
      <family val="2"/>
    </font>
    <font>
      <b/>
      <sz val="20"/>
      <color indexed="8"/>
      <name val="Arial"/>
      <family val="2"/>
    </font>
    <font>
      <sz val="12"/>
      <color indexed="10"/>
      <name val="Arial"/>
      <family val="2"/>
    </font>
    <font>
      <u val="singleAccounting"/>
      <sz val="12"/>
      <color indexed="8"/>
      <name val="Arial"/>
      <family val="2"/>
    </font>
    <font>
      <b/>
      <u val="doubleAccounting"/>
      <sz val="12"/>
      <color indexed="8"/>
      <name val="Arial"/>
      <family val="2"/>
    </font>
    <font>
      <sz val="11"/>
      <color indexed="8"/>
      <name val="Arial"/>
      <family val="2"/>
    </font>
    <font>
      <b/>
      <sz val="11"/>
      <color indexed="8"/>
      <name val="Arial"/>
      <family val="2"/>
    </font>
    <font>
      <sz val="12"/>
      <color indexed="8"/>
      <name val="Calibri"/>
      <family val="2"/>
    </font>
    <font>
      <u val="singleAccounting"/>
      <sz val="12"/>
      <color indexed="8"/>
      <name val="Calibri"/>
      <family val="2"/>
    </font>
    <font>
      <sz val="11"/>
      <name val="Calibri"/>
      <family val="2"/>
    </font>
    <font>
      <b/>
      <sz val="11"/>
      <name val="Calibri"/>
      <family val="2"/>
    </font>
    <font>
      <b/>
      <u val="doubleAccounting"/>
      <sz val="11"/>
      <color indexed="8"/>
      <name val="Calibri"/>
      <family val="2"/>
    </font>
    <font>
      <u val="singleAccounting"/>
      <sz val="11"/>
      <color indexed="8"/>
      <name val="Calibri"/>
      <family val="2"/>
    </font>
    <font>
      <u val="single"/>
      <sz val="11"/>
      <color indexed="8"/>
      <name val="Calibri"/>
      <family val="2"/>
    </font>
    <font>
      <b/>
      <u val="double"/>
      <sz val="11"/>
      <color indexed="8"/>
      <name val="Calibri"/>
      <family val="2"/>
    </font>
    <font>
      <u val="doub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u val="single"/>
      <sz val="12"/>
      <color theme="1"/>
      <name val="Arial"/>
      <family val="2"/>
    </font>
    <font>
      <b/>
      <u val="singleAccounting"/>
      <sz val="12"/>
      <color theme="1"/>
      <name val="Arial"/>
      <family val="2"/>
    </font>
    <font>
      <b/>
      <sz val="12"/>
      <color theme="1"/>
      <name val="Arial"/>
      <family val="2"/>
    </font>
    <font>
      <b/>
      <sz val="16"/>
      <color theme="1"/>
      <name val="Arial"/>
      <family val="2"/>
    </font>
    <font>
      <b/>
      <sz val="20"/>
      <color theme="1"/>
      <name val="Arial"/>
      <family val="2"/>
    </font>
    <font>
      <sz val="12"/>
      <color rgb="FFFF0000"/>
      <name val="Arial"/>
      <family val="2"/>
    </font>
    <font>
      <u val="singleAccounting"/>
      <sz val="12"/>
      <color theme="1"/>
      <name val="Arial"/>
      <family val="2"/>
    </font>
    <font>
      <b/>
      <u val="doubleAccounting"/>
      <sz val="12"/>
      <color theme="1"/>
      <name val="Arial"/>
      <family val="2"/>
    </font>
    <font>
      <sz val="11"/>
      <color theme="1"/>
      <name val="Arial"/>
      <family val="2"/>
    </font>
    <font>
      <b/>
      <sz val="11"/>
      <color theme="1"/>
      <name val="Arial"/>
      <family val="2"/>
    </font>
    <font>
      <sz val="12"/>
      <color theme="1"/>
      <name val="Calibri"/>
      <family val="2"/>
    </font>
    <font>
      <u val="singleAccounting"/>
      <sz val="12"/>
      <color theme="1"/>
      <name val="Calibri"/>
      <family val="2"/>
    </font>
    <font>
      <sz val="11"/>
      <color theme="3" tint="0.39998000860214233"/>
      <name val="Calibri"/>
      <family val="2"/>
    </font>
    <font>
      <b/>
      <u val="doubleAccounting"/>
      <sz val="11"/>
      <color theme="1"/>
      <name val="Calibri"/>
      <family val="2"/>
    </font>
    <font>
      <u val="singleAccounting"/>
      <sz val="11"/>
      <color theme="1"/>
      <name val="Calibri"/>
      <family val="2"/>
    </font>
    <font>
      <u val="single"/>
      <sz val="11"/>
      <color theme="1"/>
      <name val="Calibri"/>
      <family val="2"/>
    </font>
    <font>
      <b/>
      <u val="double"/>
      <sz val="11"/>
      <color theme="1"/>
      <name val="Calibri"/>
      <family val="2"/>
    </font>
    <font>
      <u val="doub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43"/>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right/>
      <top style="thin"/>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8" fontId="6" fillId="0" borderId="0" applyNumberFormat="0" applyFont="0" applyFill="0" applyBorder="0">
      <alignment horizontal="left" indent="4"/>
      <protection locked="0"/>
    </xf>
    <xf numFmtId="0" fontId="19" fillId="0" borderId="0" applyNumberFormat="0" applyFont="0" applyFill="0" applyBorder="0" applyAlignment="0" applyProtection="0"/>
    <xf numFmtId="15" fontId="19" fillId="0" borderId="0" applyFont="0" applyFill="0" applyBorder="0" applyAlignment="0" applyProtection="0"/>
    <xf numFmtId="4" fontId="19" fillId="0" borderId="0" applyFont="0" applyFill="0" applyBorder="0" applyAlignment="0" applyProtection="0"/>
    <xf numFmtId="0" fontId="17" fillId="0" borderId="9">
      <alignment horizontal="center"/>
      <protection/>
    </xf>
    <xf numFmtId="3" fontId="19" fillId="0" borderId="0" applyFont="0" applyFill="0" applyBorder="0" applyAlignment="0" applyProtection="0"/>
    <xf numFmtId="0" fontId="19" fillId="33" borderId="0" applyNumberFormat="0" applyFont="0" applyBorder="0" applyAlignment="0" applyProtection="0"/>
    <xf numFmtId="0" fontId="74" fillId="0" borderId="0" applyNumberFormat="0" applyFill="0" applyBorder="0" applyAlignment="0" applyProtection="0"/>
    <xf numFmtId="0" fontId="75" fillId="0" borderId="10" applyNumberFormat="0" applyFill="0" applyAlignment="0" applyProtection="0"/>
    <xf numFmtId="0" fontId="76" fillId="0" borderId="0" applyNumberFormat="0" applyFill="0" applyBorder="0" applyAlignment="0" applyProtection="0"/>
    <xf numFmtId="166" fontId="3" fillId="34" borderId="0" applyFont="0" applyFill="0" applyBorder="0" applyAlignment="0" applyProtection="0"/>
  </cellStyleXfs>
  <cellXfs count="259">
    <xf numFmtId="0" fontId="0" fillId="0" borderId="0" xfId="0" applyFont="1" applyAlignment="1">
      <alignment/>
    </xf>
    <xf numFmtId="0" fontId="2" fillId="0" borderId="0" xfId="67">
      <alignment/>
      <protection/>
    </xf>
    <xf numFmtId="0" fontId="5" fillId="0" borderId="0" xfId="67" applyFont="1" applyFill="1" applyBorder="1">
      <alignment/>
      <protection/>
    </xf>
    <xf numFmtId="174" fontId="3" fillId="0" borderId="0" xfId="55" applyNumberFormat="1" applyFont="1" applyFill="1" applyBorder="1" applyAlignment="1">
      <alignment/>
    </xf>
    <xf numFmtId="174" fontId="5" fillId="0" borderId="0" xfId="55" applyNumberFormat="1" applyFont="1" applyFill="1" applyBorder="1" applyAlignment="1">
      <alignment/>
    </xf>
    <xf numFmtId="166" fontId="3" fillId="0" borderId="0" xfId="51" applyNumberFormat="1" applyFont="1" applyFill="1" applyBorder="1" applyAlignment="1">
      <alignment/>
    </xf>
    <xf numFmtId="0" fontId="4" fillId="0" borderId="0" xfId="67" applyFont="1" applyFill="1" applyBorder="1" applyAlignment="1">
      <alignment horizontal="left"/>
      <protection/>
    </xf>
    <xf numFmtId="0" fontId="2" fillId="0" borderId="0" xfId="67" applyFont="1" applyFill="1" applyBorder="1" applyAlignment="1">
      <alignment horizontal="left"/>
      <protection/>
    </xf>
    <xf numFmtId="0" fontId="5" fillId="0" borderId="0" xfId="67" applyFont="1" applyFill="1" applyBorder="1" applyAlignment="1">
      <alignment horizontal="left"/>
      <protection/>
    </xf>
    <xf numFmtId="164" fontId="3" fillId="0" borderId="0" xfId="67" applyNumberFormat="1" applyFont="1" applyFill="1" applyBorder="1" applyProtection="1">
      <alignment/>
      <protection/>
    </xf>
    <xf numFmtId="166" fontId="3" fillId="0" borderId="0" xfId="51" applyNumberFormat="1" applyFont="1" applyFill="1" applyBorder="1" applyAlignment="1">
      <alignment/>
    </xf>
    <xf numFmtId="0" fontId="2" fillId="0" borderId="0" xfId="67" applyFont="1" applyFill="1" applyBorder="1" applyAlignment="1">
      <alignment horizontal="center"/>
      <protection/>
    </xf>
    <xf numFmtId="0" fontId="8" fillId="0" borderId="0" xfId="67" applyFont="1" applyFill="1" applyBorder="1" applyAlignment="1">
      <alignment horizontal="center"/>
      <protection/>
    </xf>
    <xf numFmtId="0" fontId="3" fillId="0" borderId="0" xfId="67" applyFont="1" applyFill="1" applyBorder="1" applyAlignment="1">
      <alignment horizontal="center"/>
      <protection/>
    </xf>
    <xf numFmtId="0" fontId="5" fillId="0" borderId="0" xfId="67" applyFont="1" applyFill="1" applyBorder="1" applyAlignment="1">
      <alignment horizontal="center"/>
      <protection/>
    </xf>
    <xf numFmtId="174" fontId="3" fillId="0" borderId="0" xfId="55" applyNumberFormat="1" applyFont="1" applyFill="1" applyBorder="1" applyAlignment="1">
      <alignment horizontal="center"/>
    </xf>
    <xf numFmtId="164" fontId="3" fillId="0" borderId="0" xfId="67" applyNumberFormat="1" applyFont="1" applyFill="1" applyBorder="1" applyAlignment="1" applyProtection="1">
      <alignment horizontal="center"/>
      <protection/>
    </xf>
    <xf numFmtId="164" fontId="5" fillId="0" borderId="0" xfId="67" applyNumberFormat="1" applyFont="1" applyFill="1" applyBorder="1" applyAlignment="1" applyProtection="1">
      <alignment horizontal="center"/>
      <protection/>
    </xf>
    <xf numFmtId="164" fontId="3" fillId="0" borderId="0" xfId="67" applyNumberFormat="1" applyFont="1" applyFill="1" applyBorder="1" applyAlignment="1" applyProtection="1" quotePrefix="1">
      <alignment horizontal="center"/>
      <protection/>
    </xf>
    <xf numFmtId="0" fontId="3" fillId="0" borderId="0" xfId="67" applyFont="1" applyFill="1" applyBorder="1" applyAlignment="1" applyProtection="1">
      <alignment horizontal="center"/>
      <protection/>
    </xf>
    <xf numFmtId="0" fontId="5" fillId="0" borderId="0" xfId="67" applyFont="1" applyFill="1" applyBorder="1" applyAlignment="1" applyProtection="1">
      <alignment horizontal="center"/>
      <protection/>
    </xf>
    <xf numFmtId="0" fontId="3" fillId="0" borderId="0" xfId="67" applyFont="1" applyFill="1" applyBorder="1" applyAlignment="1">
      <alignment horizontal="left" indent="8"/>
      <protection/>
    </xf>
    <xf numFmtId="172" fontId="3" fillId="0" borderId="0" xfId="51" applyNumberFormat="1" applyFont="1" applyFill="1" applyBorder="1" applyAlignment="1">
      <alignment/>
    </xf>
    <xf numFmtId="164" fontId="5" fillId="0" borderId="0" xfId="67" applyNumberFormat="1" applyFont="1" applyFill="1" applyBorder="1" applyAlignment="1" applyProtection="1" quotePrefix="1">
      <alignment horizontal="left"/>
      <protection/>
    </xf>
    <xf numFmtId="164" fontId="5" fillId="0" borderId="0" xfId="67" applyNumberFormat="1" applyFont="1" applyFill="1" applyBorder="1" applyAlignment="1" applyProtection="1" quotePrefix="1">
      <alignment horizontal="left" indent="1"/>
      <protection/>
    </xf>
    <xf numFmtId="0" fontId="3" fillId="0" borderId="0" xfId="67" applyFont="1" applyFill="1" applyBorder="1" applyAlignment="1">
      <alignment horizontal="left" indent="3"/>
      <protection/>
    </xf>
    <xf numFmtId="166" fontId="3" fillId="0" borderId="0" xfId="51" applyNumberFormat="1" applyFont="1" applyFill="1" applyBorder="1" applyAlignment="1" quotePrefix="1">
      <alignment/>
    </xf>
    <xf numFmtId="0" fontId="3" fillId="0" borderId="0" xfId="67" applyFont="1" applyFill="1" applyBorder="1" applyAlignment="1">
      <alignment horizontal="left" indent="4"/>
      <protection/>
    </xf>
    <xf numFmtId="0" fontId="5" fillId="0" borderId="0" xfId="67" applyFont="1" applyFill="1" applyBorder="1" applyAlignment="1">
      <alignment horizontal="left" indent="2"/>
      <protection/>
    </xf>
    <xf numFmtId="166" fontId="5" fillId="0" borderId="0" xfId="51" applyNumberFormat="1" applyFont="1" applyFill="1" applyBorder="1" applyAlignment="1" quotePrefix="1">
      <alignment/>
    </xf>
    <xf numFmtId="166" fontId="5" fillId="0" borderId="0" xfId="51" applyNumberFormat="1" applyFont="1" applyFill="1" applyBorder="1" applyAlignment="1">
      <alignment/>
    </xf>
    <xf numFmtId="0" fontId="3" fillId="0" borderId="0" xfId="67" applyFont="1" applyFill="1" applyBorder="1" applyAlignment="1">
      <alignment horizontal="left" indent="6"/>
      <protection/>
    </xf>
    <xf numFmtId="0" fontId="10" fillId="0" borderId="0" xfId="67" applyFont="1" applyFill="1" applyBorder="1" applyAlignment="1">
      <alignment horizontal="left"/>
      <protection/>
    </xf>
    <xf numFmtId="0" fontId="7" fillId="0" borderId="0" xfId="67" applyFont="1" applyFill="1" applyBorder="1" applyAlignment="1">
      <alignment horizontal="left"/>
      <protection/>
    </xf>
    <xf numFmtId="166" fontId="5" fillId="0" borderId="0" xfId="51" applyNumberFormat="1" applyFont="1" applyBorder="1" applyAlignment="1">
      <alignment horizontal="center"/>
    </xf>
    <xf numFmtId="10" fontId="9" fillId="0" borderId="0" xfId="78" applyNumberFormat="1" applyFont="1" applyFill="1" applyBorder="1" applyAlignment="1">
      <alignment/>
    </xf>
    <xf numFmtId="10" fontId="9" fillId="0" borderId="0" xfId="78" applyNumberFormat="1" applyFont="1" applyFill="1" applyBorder="1" applyAlignment="1" quotePrefix="1">
      <alignment horizontal="center" wrapText="1"/>
    </xf>
    <xf numFmtId="164" fontId="11" fillId="0" borderId="0" xfId="67" applyNumberFormat="1" applyFont="1" applyFill="1" applyBorder="1" applyAlignment="1" applyProtection="1">
      <alignment horizontal="center"/>
      <protection/>
    </xf>
    <xf numFmtId="166" fontId="11" fillId="0" borderId="0" xfId="51" applyNumberFormat="1" applyFont="1" applyBorder="1" applyAlignment="1">
      <alignment horizontal="center"/>
    </xf>
    <xf numFmtId="0" fontId="11" fillId="0" borderId="0" xfId="67" applyFont="1" applyBorder="1" applyAlignment="1">
      <alignment horizontal="center"/>
      <protection/>
    </xf>
    <xf numFmtId="172" fontId="12" fillId="0" borderId="0" xfId="51" applyNumberFormat="1" applyFont="1" applyFill="1" applyBorder="1" applyAlignment="1">
      <alignment/>
    </xf>
    <xf numFmtId="174" fontId="14" fillId="0" borderId="0" xfId="55" applyNumberFormat="1" applyFont="1" applyFill="1" applyBorder="1" applyAlignment="1">
      <alignment/>
    </xf>
    <xf numFmtId="166" fontId="14" fillId="0" borderId="0" xfId="51" applyNumberFormat="1" applyFont="1" applyFill="1" applyBorder="1" applyAlignment="1" quotePrefix="1">
      <alignment/>
    </xf>
    <xf numFmtId="174" fontId="14" fillId="0" borderId="0" xfId="55" applyNumberFormat="1" applyFont="1" applyFill="1" applyBorder="1" applyAlignment="1" quotePrefix="1">
      <alignment/>
    </xf>
    <xf numFmtId="174" fontId="15" fillId="0" borderId="0" xfId="55" applyNumberFormat="1" applyFont="1" applyFill="1" applyBorder="1" applyAlignment="1" quotePrefix="1">
      <alignment/>
    </xf>
    <xf numFmtId="166" fontId="15" fillId="0" borderId="0" xfId="51" applyNumberFormat="1" applyFont="1" applyFill="1" applyBorder="1" applyAlignment="1" quotePrefix="1">
      <alignment/>
    </xf>
    <xf numFmtId="166" fontId="12" fillId="0" borderId="0" xfId="51" applyNumberFormat="1" applyFont="1" applyFill="1" applyBorder="1" applyAlignment="1">
      <alignment/>
    </xf>
    <xf numFmtId="10" fontId="16" fillId="0" borderId="0" xfId="78" applyNumberFormat="1" applyFont="1" applyFill="1" applyBorder="1" applyAlignment="1">
      <alignment horizontal="center"/>
    </xf>
    <xf numFmtId="0" fontId="3" fillId="0" borderId="0" xfId="67" applyFont="1" applyFill="1">
      <alignment/>
      <protection/>
    </xf>
    <xf numFmtId="0" fontId="8" fillId="0" borderId="0" xfId="67" applyFont="1" applyFill="1" applyBorder="1">
      <alignment/>
      <protection/>
    </xf>
    <xf numFmtId="166" fontId="5" fillId="0" borderId="0" xfId="48" applyNumberFormat="1" applyFont="1" applyFill="1" applyBorder="1" applyAlignment="1">
      <alignment/>
    </xf>
    <xf numFmtId="0" fontId="5" fillId="0" borderId="0" xfId="67" applyFont="1" applyFill="1">
      <alignment/>
      <protection/>
    </xf>
    <xf numFmtId="0" fontId="3" fillId="0" borderId="0" xfId="67" applyFont="1" applyFill="1" applyAlignment="1">
      <alignment horizontal="left" indent="8"/>
      <protection/>
    </xf>
    <xf numFmtId="10" fontId="18" fillId="0" borderId="0" xfId="79" applyNumberFormat="1" applyFont="1" applyFill="1" applyBorder="1" applyAlignment="1">
      <alignment/>
    </xf>
    <xf numFmtId="0" fontId="5" fillId="0" borderId="0" xfId="67" applyFont="1" applyFill="1" applyAlignment="1">
      <alignment horizontal="right"/>
      <protection/>
    </xf>
    <xf numFmtId="0" fontId="3" fillId="0" borderId="0" xfId="67" applyFont="1" applyFill="1" applyAlignment="1">
      <alignment horizontal="center"/>
      <protection/>
    </xf>
    <xf numFmtId="166" fontId="13" fillId="0" borderId="0" xfId="51" applyNumberFormat="1" applyFont="1" applyFill="1" applyBorder="1" applyAlignment="1">
      <alignment/>
    </xf>
    <xf numFmtId="0" fontId="3" fillId="0" borderId="0" xfId="67" applyFont="1" applyBorder="1">
      <alignment/>
      <protection/>
    </xf>
    <xf numFmtId="172" fontId="5" fillId="0" borderId="0" xfId="79" applyNumberFormat="1" applyFont="1" applyFill="1" applyBorder="1" applyAlignment="1">
      <alignment/>
    </xf>
    <xf numFmtId="174" fontId="5" fillId="0" borderId="0" xfId="56" applyNumberFormat="1" applyFont="1" applyFill="1" applyBorder="1" applyAlignment="1">
      <alignment/>
    </xf>
    <xf numFmtId="0" fontId="2" fillId="0" borderId="0" xfId="67" applyBorder="1">
      <alignment/>
      <protection/>
    </xf>
    <xf numFmtId="0" fontId="5" fillId="0" borderId="0" xfId="67" applyFont="1" applyBorder="1" applyAlignment="1">
      <alignment horizontal="center"/>
      <protection/>
    </xf>
    <xf numFmtId="0" fontId="0" fillId="0" borderId="0" xfId="0" applyBorder="1" applyAlignment="1">
      <alignment/>
    </xf>
    <xf numFmtId="172" fontId="11" fillId="0" borderId="0" xfId="51" applyNumberFormat="1" applyFont="1" applyFill="1" applyBorder="1" applyAlignment="1">
      <alignment/>
    </xf>
    <xf numFmtId="0" fontId="2" fillId="0" borderId="0" xfId="66">
      <alignment/>
      <protection/>
    </xf>
    <xf numFmtId="0" fontId="77" fillId="0" borderId="0" xfId="66" applyFont="1">
      <alignment/>
      <protection/>
    </xf>
    <xf numFmtId="0" fontId="78" fillId="0" borderId="0" xfId="66" applyFont="1" applyAlignment="1">
      <alignment horizontal="center"/>
      <protection/>
    </xf>
    <xf numFmtId="44" fontId="79" fillId="0" borderId="0" xfId="56" applyFont="1" applyAlignment="1">
      <alignment horizontal="center"/>
    </xf>
    <xf numFmtId="0" fontId="80" fillId="0" borderId="0" xfId="66" applyFont="1" applyAlignment="1">
      <alignment horizontal="center"/>
      <protection/>
    </xf>
    <xf numFmtId="44" fontId="80" fillId="0" borderId="0" xfId="56" applyFont="1" applyAlignment="1">
      <alignment horizontal="center"/>
    </xf>
    <xf numFmtId="0" fontId="81" fillId="0" borderId="0" xfId="66" applyFont="1">
      <alignment/>
      <protection/>
    </xf>
    <xf numFmtId="0" fontId="82" fillId="0" borderId="0" xfId="66" applyFont="1">
      <alignment/>
      <protection/>
    </xf>
    <xf numFmtId="44" fontId="77" fillId="0" borderId="0" xfId="56" applyFont="1" applyBorder="1" applyAlignment="1">
      <alignment/>
    </xf>
    <xf numFmtId="0" fontId="77" fillId="0" borderId="0" xfId="66" applyFont="1" applyBorder="1">
      <alignment/>
      <protection/>
    </xf>
    <xf numFmtId="44" fontId="83" fillId="0" borderId="0" xfId="56" applyFont="1" applyBorder="1" applyAlignment="1">
      <alignment/>
    </xf>
    <xf numFmtId="174" fontId="77" fillId="0" borderId="0" xfId="56" applyNumberFormat="1" applyFont="1" applyBorder="1" applyAlignment="1">
      <alignment/>
    </xf>
    <xf numFmtId="174" fontId="84" fillId="0" borderId="0" xfId="56" applyNumberFormat="1" applyFont="1" applyBorder="1" applyAlignment="1">
      <alignment/>
    </xf>
    <xf numFmtId="44" fontId="77" fillId="0" borderId="0" xfId="66" applyNumberFormat="1" applyFont="1" applyBorder="1">
      <alignment/>
      <protection/>
    </xf>
    <xf numFmtId="174" fontId="79" fillId="0" borderId="0" xfId="56" applyNumberFormat="1" applyFont="1" applyBorder="1" applyAlignment="1">
      <alignment/>
    </xf>
    <xf numFmtId="174" fontId="85" fillId="0" borderId="0" xfId="56" applyNumberFormat="1" applyFont="1" applyBorder="1" applyAlignment="1">
      <alignment/>
    </xf>
    <xf numFmtId="0" fontId="5" fillId="0" borderId="0" xfId="0" applyFont="1" applyFill="1" applyAlignment="1">
      <alignment horizontal="center"/>
    </xf>
    <xf numFmtId="0" fontId="5" fillId="0" borderId="0" xfId="0" applyFont="1" applyFill="1" applyBorder="1" applyAlignment="1">
      <alignment horizontal="center"/>
    </xf>
    <xf numFmtId="0" fontId="11" fillId="0" borderId="0" xfId="0" applyFont="1" applyFill="1" applyBorder="1" applyAlignment="1">
      <alignment horizontal="center"/>
    </xf>
    <xf numFmtId="0" fontId="77" fillId="0" borderId="0" xfId="0" applyFont="1" applyBorder="1" applyAlignment="1">
      <alignment/>
    </xf>
    <xf numFmtId="0" fontId="86" fillId="0" borderId="0" xfId="0" applyFont="1" applyAlignment="1">
      <alignment/>
    </xf>
    <xf numFmtId="174" fontId="77" fillId="0" borderId="0" xfId="0" applyNumberFormat="1" applyFont="1" applyBorder="1" applyAlignment="1">
      <alignment/>
    </xf>
    <xf numFmtId="0" fontId="2" fillId="0" borderId="0" xfId="67" applyFont="1">
      <alignment/>
      <protection/>
    </xf>
    <xf numFmtId="166" fontId="77" fillId="0" borderId="0" xfId="42" applyNumberFormat="1" applyFont="1" applyBorder="1" applyAlignment="1">
      <alignment/>
    </xf>
    <xf numFmtId="166" fontId="84" fillId="0" borderId="0" xfId="42" applyNumberFormat="1" applyFont="1" applyBorder="1" applyAlignment="1">
      <alignment/>
    </xf>
    <xf numFmtId="172" fontId="20" fillId="0" borderId="0" xfId="51" applyNumberFormat="1" applyFont="1" applyFill="1" applyBorder="1" applyAlignment="1">
      <alignment/>
    </xf>
    <xf numFmtId="0" fontId="84" fillId="0" borderId="0" xfId="0" applyFont="1" applyBorder="1" applyAlignment="1">
      <alignment/>
    </xf>
    <xf numFmtId="43" fontId="77" fillId="0" borderId="0" xfId="66" applyNumberFormat="1" applyFont="1" applyBorder="1">
      <alignment/>
      <protection/>
    </xf>
    <xf numFmtId="174" fontId="77" fillId="0" borderId="0" xfId="66" applyNumberFormat="1" applyFont="1" applyBorder="1">
      <alignment/>
      <protection/>
    </xf>
    <xf numFmtId="43" fontId="84" fillId="0" borderId="0" xfId="47" applyFont="1" applyBorder="1" applyAlignment="1">
      <alignment/>
    </xf>
    <xf numFmtId="174" fontId="84" fillId="0" borderId="0" xfId="66" applyNumberFormat="1" applyFont="1" applyBorder="1">
      <alignment/>
      <protection/>
    </xf>
    <xf numFmtId="43" fontId="79" fillId="0" borderId="0" xfId="66" applyNumberFormat="1" applyFont="1" applyBorder="1">
      <alignment/>
      <protection/>
    </xf>
    <xf numFmtId="43" fontId="80" fillId="0" borderId="0" xfId="66" applyNumberFormat="1" applyFont="1" applyBorder="1">
      <alignment/>
      <protection/>
    </xf>
    <xf numFmtId="43" fontId="85" fillId="0" borderId="0" xfId="66" applyNumberFormat="1" applyFont="1" applyBorder="1">
      <alignment/>
      <protection/>
    </xf>
    <xf numFmtId="43" fontId="84" fillId="0" borderId="0" xfId="66" applyNumberFormat="1" applyFont="1" applyBorder="1">
      <alignment/>
      <protection/>
    </xf>
    <xf numFmtId="0" fontId="2" fillId="0" borderId="0" xfId="66" applyBorder="1">
      <alignment/>
      <protection/>
    </xf>
    <xf numFmtId="183" fontId="77" fillId="0" borderId="0" xfId="66" applyNumberFormat="1" applyFont="1" applyBorder="1">
      <alignment/>
      <protection/>
    </xf>
    <xf numFmtId="174" fontId="86" fillId="0" borderId="0" xfId="0" applyNumberFormat="1" applyFont="1" applyAlignment="1">
      <alignment/>
    </xf>
    <xf numFmtId="44" fontId="86" fillId="0" borderId="0" xfId="0" applyNumberFormat="1" applyFont="1" applyAlignment="1">
      <alignment/>
    </xf>
    <xf numFmtId="10" fontId="86" fillId="0" borderId="0" xfId="77" applyNumberFormat="1" applyFont="1" applyAlignment="1">
      <alignment/>
    </xf>
    <xf numFmtId="179" fontId="86" fillId="0" borderId="0" xfId="77" applyNumberFormat="1" applyFont="1" applyAlignment="1">
      <alignment/>
    </xf>
    <xf numFmtId="10" fontId="86" fillId="0" borderId="0" xfId="0" applyNumberFormat="1" applyFont="1" applyAlignment="1">
      <alignment/>
    </xf>
    <xf numFmtId="0" fontId="2" fillId="0" borderId="0" xfId="0" applyFont="1" applyAlignment="1">
      <alignment/>
    </xf>
    <xf numFmtId="44" fontId="2" fillId="0" borderId="0" xfId="55" applyFont="1" applyAlignment="1">
      <alignment/>
    </xf>
    <xf numFmtId="44" fontId="0" fillId="0" borderId="0" xfId="0" applyNumberFormat="1" applyAlignment="1">
      <alignment/>
    </xf>
    <xf numFmtId="0" fontId="0" fillId="0" borderId="0" xfId="0" applyFill="1" applyAlignment="1">
      <alignment/>
    </xf>
    <xf numFmtId="0" fontId="2" fillId="0" borderId="0" xfId="0" applyFont="1" applyFill="1" applyAlignment="1">
      <alignment/>
    </xf>
    <xf numFmtId="172" fontId="0" fillId="0" borderId="0" xfId="77" applyNumberFormat="1" applyFont="1" applyAlignment="1">
      <alignment/>
    </xf>
    <xf numFmtId="0" fontId="8" fillId="0" borderId="0" xfId="67" applyFont="1" applyBorder="1">
      <alignment/>
      <protection/>
    </xf>
    <xf numFmtId="0" fontId="2" fillId="0" borderId="0" xfId="67" applyFont="1" applyFill="1" applyBorder="1">
      <alignment/>
      <protection/>
    </xf>
    <xf numFmtId="0" fontId="8" fillId="0" borderId="0" xfId="67" applyFont="1" applyBorder="1" applyAlignment="1">
      <alignment horizontal="center"/>
      <protection/>
    </xf>
    <xf numFmtId="174" fontId="5" fillId="0" borderId="0" xfId="55" applyNumberFormat="1" applyFont="1" applyFill="1" applyBorder="1" applyAlignment="1">
      <alignment horizontal="center"/>
    </xf>
    <xf numFmtId="0" fontId="11" fillId="0" borderId="0" xfId="67" applyFont="1" applyFill="1" applyBorder="1" applyAlignment="1">
      <alignment horizontal="center"/>
      <protection/>
    </xf>
    <xf numFmtId="0" fontId="21" fillId="0" borderId="0" xfId="67" applyFont="1" applyBorder="1" applyAlignment="1">
      <alignment horizontal="center"/>
      <protection/>
    </xf>
    <xf numFmtId="0" fontId="87" fillId="0" borderId="0" xfId="0" applyFont="1" applyAlignment="1">
      <alignment horizontal="center"/>
    </xf>
    <xf numFmtId="0" fontId="75" fillId="0" borderId="0" xfId="0" applyFont="1" applyBorder="1" applyAlignment="1">
      <alignment horizontal="center"/>
    </xf>
    <xf numFmtId="174" fontId="86" fillId="0" borderId="0" xfId="77" applyNumberFormat="1" applyFont="1" applyAlignment="1">
      <alignment/>
    </xf>
    <xf numFmtId="172" fontId="77" fillId="0" borderId="0" xfId="77" applyNumberFormat="1" applyFont="1" applyBorder="1" applyAlignment="1">
      <alignment/>
    </xf>
    <xf numFmtId="174" fontId="80" fillId="0" borderId="0" xfId="53" applyNumberFormat="1" applyFont="1" applyBorder="1" applyAlignment="1">
      <alignment/>
    </xf>
    <xf numFmtId="43" fontId="77" fillId="0" borderId="0" xfId="42" applyFont="1" applyBorder="1" applyAlignment="1">
      <alignment/>
    </xf>
    <xf numFmtId="43" fontId="84" fillId="0" borderId="0" xfId="42" applyFont="1" applyBorder="1" applyAlignment="1">
      <alignment/>
    </xf>
    <xf numFmtId="43" fontId="0" fillId="0" borderId="0" xfId="42" applyFont="1" applyBorder="1" applyAlignment="1">
      <alignment/>
    </xf>
    <xf numFmtId="10" fontId="83" fillId="0" borderId="0" xfId="78" applyNumberFormat="1" applyFont="1" applyAlignment="1">
      <alignment horizontal="center"/>
    </xf>
    <xf numFmtId="179" fontId="83" fillId="0" borderId="0" xfId="78" applyNumberFormat="1" applyFont="1" applyAlignment="1">
      <alignment horizontal="center"/>
    </xf>
    <xf numFmtId="0" fontId="5" fillId="0" borderId="0" xfId="0" applyFont="1" applyAlignment="1">
      <alignment horizontal="center"/>
    </xf>
    <xf numFmtId="0" fontId="11" fillId="0" borderId="0" xfId="0" applyFont="1" applyAlignment="1">
      <alignment horizontal="center"/>
    </xf>
    <xf numFmtId="174" fontId="88" fillId="0" borderId="0" xfId="55" applyNumberFormat="1" applyFont="1" applyBorder="1" applyAlignment="1">
      <alignment/>
    </xf>
    <xf numFmtId="0" fontId="88" fillId="0" borderId="0" xfId="0" applyFont="1" applyAlignment="1">
      <alignment/>
    </xf>
    <xf numFmtId="166" fontId="88" fillId="0" borderId="0" xfId="42" applyNumberFormat="1" applyFont="1" applyBorder="1" applyAlignment="1">
      <alignment/>
    </xf>
    <xf numFmtId="166" fontId="88" fillId="0" borderId="0" xfId="42" applyNumberFormat="1" applyFont="1" applyAlignment="1">
      <alignment/>
    </xf>
    <xf numFmtId="166" fontId="89" fillId="0" borderId="0" xfId="42" applyNumberFormat="1" applyFont="1" applyBorder="1" applyAlignment="1">
      <alignment/>
    </xf>
    <xf numFmtId="166" fontId="89" fillId="0" borderId="0" xfId="42" applyNumberFormat="1" applyFont="1" applyAlignment="1">
      <alignment/>
    </xf>
    <xf numFmtId="0" fontId="0" fillId="0" borderId="0" xfId="0" applyFont="1" applyAlignment="1">
      <alignment/>
    </xf>
    <xf numFmtId="0" fontId="0" fillId="0" borderId="11" xfId="0" applyFont="1" applyBorder="1" applyAlignment="1">
      <alignment horizontal="center"/>
    </xf>
    <xf numFmtId="0" fontId="0" fillId="0" borderId="11" xfId="0" applyFont="1" applyFill="1" applyBorder="1" applyAlignment="1">
      <alignment horizontal="center"/>
    </xf>
    <xf numFmtId="43" fontId="0" fillId="0" borderId="0" xfId="42" applyFont="1" applyAlignment="1">
      <alignment/>
    </xf>
    <xf numFmtId="43" fontId="0" fillId="0" borderId="0" xfId="0" applyNumberFormat="1" applyFont="1" applyBorder="1" applyAlignment="1">
      <alignment horizontal="center"/>
    </xf>
    <xf numFmtId="43" fontId="0" fillId="0" borderId="0" xfId="0" applyNumberFormat="1" applyFont="1" applyAlignment="1">
      <alignment/>
    </xf>
    <xf numFmtId="0" fontId="75" fillId="0" borderId="0" xfId="0" applyFont="1" applyAlignment="1">
      <alignment/>
    </xf>
    <xf numFmtId="43" fontId="0" fillId="0" borderId="0" xfId="42" applyFont="1" applyAlignment="1">
      <alignment horizontal="center"/>
    </xf>
    <xf numFmtId="0" fontId="0" fillId="0" borderId="0" xfId="0" applyFont="1" applyAlignment="1">
      <alignment horizontal="left" indent="1"/>
    </xf>
    <xf numFmtId="166" fontId="0" fillId="0" borderId="0" xfId="42" applyNumberFormat="1" applyFont="1" applyAlignment="1">
      <alignment/>
    </xf>
    <xf numFmtId="0" fontId="0" fillId="35" borderId="0" xfId="0" applyFont="1" applyFill="1" applyAlignment="1">
      <alignment horizontal="center"/>
    </xf>
    <xf numFmtId="0" fontId="76" fillId="0" borderId="0" xfId="0" applyFont="1" applyFill="1" applyAlignment="1">
      <alignment/>
    </xf>
    <xf numFmtId="0" fontId="76" fillId="0" borderId="0" xfId="0" applyFont="1" applyFill="1" applyAlignment="1">
      <alignment horizontal="center"/>
    </xf>
    <xf numFmtId="0" fontId="75" fillId="36" borderId="11" xfId="0" applyFont="1" applyFill="1" applyBorder="1" applyAlignment="1">
      <alignment/>
    </xf>
    <xf numFmtId="0" fontId="0" fillId="36" borderId="11" xfId="0" applyFont="1" applyFill="1" applyBorder="1" applyAlignment="1">
      <alignment horizontal="center"/>
    </xf>
    <xf numFmtId="0" fontId="0" fillId="0" borderId="0" xfId="0" applyFont="1" applyAlignment="1">
      <alignment horizontal="left"/>
    </xf>
    <xf numFmtId="0" fontId="0" fillId="36" borderId="11" xfId="0" applyFont="1" applyFill="1" applyBorder="1" applyAlignment="1">
      <alignment/>
    </xf>
    <xf numFmtId="44" fontId="0" fillId="0" borderId="0" xfId="0" applyNumberFormat="1" applyFont="1" applyAlignment="1">
      <alignment/>
    </xf>
    <xf numFmtId="190" fontId="0" fillId="0" borderId="0" xfId="0" applyNumberFormat="1" applyFont="1" applyAlignment="1">
      <alignment/>
    </xf>
    <xf numFmtId="166" fontId="0" fillId="0" borderId="11" xfId="42" applyNumberFormat="1" applyFont="1" applyBorder="1" applyAlignment="1">
      <alignment/>
    </xf>
    <xf numFmtId="0" fontId="75" fillId="36" borderId="11" xfId="0" applyFont="1" applyFill="1" applyBorder="1" applyAlignment="1">
      <alignment horizontal="center" wrapText="1"/>
    </xf>
    <xf numFmtId="0" fontId="75" fillId="36" borderId="11" xfId="0" applyFont="1" applyFill="1" applyBorder="1" applyAlignment="1">
      <alignment horizontal="center" vertical="center"/>
    </xf>
    <xf numFmtId="0" fontId="75" fillId="36" borderId="0" xfId="0" applyFont="1" applyFill="1" applyBorder="1" applyAlignment="1">
      <alignment horizontal="center" wrapText="1"/>
    </xf>
    <xf numFmtId="166" fontId="75" fillId="36" borderId="11" xfId="42" applyNumberFormat="1" applyFont="1" applyFill="1" applyBorder="1" applyAlignment="1">
      <alignment horizontal="center" wrapText="1"/>
    </xf>
    <xf numFmtId="0" fontId="0" fillId="0" borderId="0" xfId="0" applyFont="1" applyBorder="1" applyAlignment="1">
      <alignment/>
    </xf>
    <xf numFmtId="0" fontId="0" fillId="0" borderId="0" xfId="0" applyFont="1" applyFill="1" applyBorder="1" applyAlignment="1">
      <alignment horizontal="center" vertical="center"/>
    </xf>
    <xf numFmtId="166" fontId="0" fillId="0" borderId="0" xfId="42" applyNumberFormat="1" applyFont="1" applyFill="1" applyBorder="1" applyAlignment="1">
      <alignment/>
    </xf>
    <xf numFmtId="44" fontId="0" fillId="0" borderId="0" xfId="53" applyFont="1" applyFill="1" applyBorder="1" applyAlignment="1">
      <alignment/>
    </xf>
    <xf numFmtId="44" fontId="0" fillId="37" borderId="0" xfId="53" applyFont="1" applyFill="1" applyBorder="1" applyAlignment="1">
      <alignment/>
    </xf>
    <xf numFmtId="0" fontId="0" fillId="0" borderId="0" xfId="0" applyFont="1" applyFill="1" applyBorder="1" applyAlignment="1">
      <alignment/>
    </xf>
    <xf numFmtId="43" fontId="0" fillId="0" borderId="0" xfId="42" applyNumberFormat="1" applyFont="1" applyFill="1" applyBorder="1" applyAlignment="1">
      <alignment/>
    </xf>
    <xf numFmtId="166" fontId="0" fillId="0" borderId="0" xfId="42" applyNumberFormat="1" applyFont="1" applyFill="1" applyBorder="1" applyAlignment="1">
      <alignment horizontal="center" wrapText="1"/>
    </xf>
    <xf numFmtId="43" fontId="54" fillId="0" borderId="0" xfId="42" applyNumberFormat="1" applyFont="1" applyFill="1" applyBorder="1" applyAlignment="1">
      <alignment/>
    </xf>
    <xf numFmtId="0" fontId="0" fillId="0" borderId="0" xfId="0" applyFont="1" applyFill="1" applyBorder="1" applyAlignment="1">
      <alignment vertical="center" textRotation="90"/>
    </xf>
    <xf numFmtId="166" fontId="54" fillId="0" borderId="0" xfId="42" applyNumberFormat="1" applyFont="1" applyFill="1" applyBorder="1" applyAlignment="1">
      <alignment/>
    </xf>
    <xf numFmtId="0" fontId="0" fillId="36" borderId="11" xfId="0" applyFont="1" applyFill="1" applyBorder="1" applyAlignment="1">
      <alignment vertical="center" textRotation="90"/>
    </xf>
    <xf numFmtId="0" fontId="0" fillId="36" borderId="11" xfId="0" applyFont="1" applyFill="1" applyBorder="1" applyAlignment="1">
      <alignment horizontal="center" vertical="center"/>
    </xf>
    <xf numFmtId="0" fontId="55" fillId="36" borderId="11" xfId="74" applyFont="1" applyFill="1" applyBorder="1" applyAlignment="1">
      <alignment horizontal="left"/>
      <protection/>
    </xf>
    <xf numFmtId="3" fontId="75" fillId="36" borderId="11" xfId="0" applyNumberFormat="1" applyFont="1" applyFill="1" applyBorder="1" applyAlignment="1">
      <alignment horizontal="right"/>
    </xf>
    <xf numFmtId="43" fontId="0" fillId="36" borderId="11" xfId="42" applyFont="1" applyFill="1" applyBorder="1" applyAlignment="1">
      <alignment/>
    </xf>
    <xf numFmtId="3" fontId="75" fillId="36" borderId="11" xfId="0" applyNumberFormat="1" applyFont="1" applyFill="1" applyBorder="1" applyAlignment="1">
      <alignment/>
    </xf>
    <xf numFmtId="166" fontId="75" fillId="36" borderId="11" xfId="42" applyNumberFormat="1" applyFont="1" applyFill="1" applyBorder="1" applyAlignment="1">
      <alignment/>
    </xf>
    <xf numFmtId="44" fontId="0" fillId="36" borderId="11" xfId="53" applyFont="1" applyFill="1" applyBorder="1" applyAlignment="1">
      <alignment/>
    </xf>
    <xf numFmtId="44" fontId="75" fillId="36" borderId="11" xfId="53" applyFont="1" applyFill="1" applyBorder="1" applyAlignment="1">
      <alignment/>
    </xf>
    <xf numFmtId="166" fontId="0" fillId="0" borderId="0" xfId="42" applyNumberFormat="1" applyFont="1" applyBorder="1" applyAlignment="1">
      <alignment/>
    </xf>
    <xf numFmtId="166" fontId="2" fillId="0" borderId="0" xfId="42" applyNumberFormat="1" applyFont="1" applyAlignment="1">
      <alignment/>
    </xf>
    <xf numFmtId="0" fontId="0" fillId="0" borderId="0" xfId="0" applyFont="1" applyBorder="1" applyAlignment="1">
      <alignment horizontal="center"/>
    </xf>
    <xf numFmtId="0" fontId="55" fillId="0" borderId="0" xfId="74" applyFont="1" applyFill="1" applyBorder="1" applyAlignment="1">
      <alignment horizontal="left"/>
      <protection/>
    </xf>
    <xf numFmtId="166" fontId="75" fillId="0" borderId="0" xfId="42" applyNumberFormat="1" applyFont="1" applyBorder="1" applyAlignment="1">
      <alignment horizontal="right"/>
    </xf>
    <xf numFmtId="44" fontId="75" fillId="0" borderId="0" xfId="53" applyFont="1" applyBorder="1" applyAlignment="1">
      <alignment horizontal="right"/>
    </xf>
    <xf numFmtId="0" fontId="0" fillId="0" borderId="0" xfId="0" applyFont="1" applyBorder="1" applyAlignment="1">
      <alignment horizontal="right"/>
    </xf>
    <xf numFmtId="44" fontId="0" fillId="0" borderId="0" xfId="42" applyNumberFormat="1" applyFont="1" applyFill="1" applyBorder="1" applyAlignment="1">
      <alignment/>
    </xf>
    <xf numFmtId="174" fontId="0" fillId="0" borderId="0" xfId="0" applyNumberFormat="1" applyFont="1" applyBorder="1" applyAlignment="1">
      <alignment/>
    </xf>
    <xf numFmtId="166" fontId="0" fillId="0" borderId="0" xfId="42" applyNumberFormat="1" applyFont="1" applyFill="1" applyBorder="1" applyAlignment="1">
      <alignment/>
    </xf>
    <xf numFmtId="0" fontId="76" fillId="0" borderId="0" xfId="70" applyFont="1" applyBorder="1" applyAlignment="1">
      <alignment horizontal="left"/>
      <protection/>
    </xf>
    <xf numFmtId="0" fontId="0" fillId="0" borderId="0" xfId="0" applyFont="1" applyFill="1" applyBorder="1" applyAlignment="1">
      <alignment/>
    </xf>
    <xf numFmtId="166" fontId="75" fillId="0" borderId="11" xfId="42" applyNumberFormat="1" applyFont="1" applyBorder="1" applyAlignment="1">
      <alignment horizontal="center"/>
    </xf>
    <xf numFmtId="0" fontId="0" fillId="35" borderId="0" xfId="0" applyFont="1" applyFill="1" applyBorder="1" applyAlignment="1">
      <alignment horizontal="left"/>
    </xf>
    <xf numFmtId="43" fontId="0" fillId="0" borderId="0" xfId="0" applyNumberFormat="1" applyFont="1" applyBorder="1" applyAlignment="1">
      <alignment/>
    </xf>
    <xf numFmtId="166" fontId="54" fillId="0" borderId="0" xfId="42" applyNumberFormat="1" applyFont="1" applyFill="1" applyBorder="1" applyAlignment="1">
      <alignment horizontal="left"/>
    </xf>
    <xf numFmtId="166" fontId="0" fillId="0" borderId="0" xfId="42" applyNumberFormat="1" applyFont="1" applyBorder="1" applyAlignment="1">
      <alignment horizontal="right"/>
    </xf>
    <xf numFmtId="0" fontId="90" fillId="0" borderId="0" xfId="42" applyNumberFormat="1" applyFont="1" applyBorder="1" applyAlignment="1">
      <alignment horizontal="left"/>
    </xf>
    <xf numFmtId="0" fontId="0" fillId="0" borderId="0" xfId="0" applyFont="1" applyBorder="1" applyAlignment="1">
      <alignment horizontal="left"/>
    </xf>
    <xf numFmtId="10" fontId="0" fillId="0" borderId="0" xfId="77" applyNumberFormat="1" applyFont="1" applyBorder="1" applyAlignment="1">
      <alignment horizontal="right"/>
    </xf>
    <xf numFmtId="10" fontId="0" fillId="0" borderId="0" xfId="77" applyNumberFormat="1" applyFont="1" applyBorder="1" applyAlignment="1">
      <alignment/>
    </xf>
    <xf numFmtId="0" fontId="0" fillId="0" borderId="0" xfId="0" applyFont="1" applyBorder="1" applyAlignment="1">
      <alignment horizontal="right" wrapText="1"/>
    </xf>
    <xf numFmtId="0" fontId="0" fillId="0" borderId="0" xfId="0" applyFont="1" applyBorder="1" applyAlignment="1">
      <alignment horizontal="center" wrapText="1"/>
    </xf>
    <xf numFmtId="0" fontId="54" fillId="0" borderId="0" xfId="74" applyFont="1" applyFill="1" applyBorder="1" applyAlignment="1">
      <alignment horizontal="left"/>
      <protection/>
    </xf>
    <xf numFmtId="43" fontId="0" fillId="0" borderId="0" xfId="42" applyFont="1" applyBorder="1" applyAlignment="1">
      <alignment/>
    </xf>
    <xf numFmtId="44" fontId="0" fillId="0" borderId="0" xfId="0" applyNumberFormat="1" applyFont="1" applyBorder="1" applyAlignment="1">
      <alignment/>
    </xf>
    <xf numFmtId="174" fontId="0" fillId="0" borderId="0" xfId="53" applyNumberFormat="1" applyFont="1" applyBorder="1" applyAlignment="1">
      <alignment/>
    </xf>
    <xf numFmtId="44" fontId="0" fillId="0" borderId="0" xfId="53" applyFont="1" applyBorder="1" applyAlignment="1">
      <alignment horizontal="right"/>
    </xf>
    <xf numFmtId="183" fontId="0" fillId="0" borderId="0" xfId="53" applyNumberFormat="1" applyFont="1" applyBorder="1" applyAlignment="1">
      <alignment/>
    </xf>
    <xf numFmtId="166" fontId="0" fillId="0" borderId="0" xfId="42" applyNumberFormat="1" applyFont="1" applyFill="1" applyBorder="1" applyAlignment="1">
      <alignment/>
    </xf>
    <xf numFmtId="44" fontId="2" fillId="0" borderId="0" xfId="55" applyFont="1" applyFill="1" applyAlignment="1">
      <alignment/>
    </xf>
    <xf numFmtId="0" fontId="0" fillId="0" borderId="0" xfId="0" applyFont="1" applyFill="1" applyBorder="1" applyAlignment="1">
      <alignment horizontal="center" vertical="center" textRotation="90"/>
    </xf>
    <xf numFmtId="43" fontId="0" fillId="0" borderId="0" xfId="53" applyNumberFormat="1" applyFont="1" applyFill="1" applyBorder="1" applyAlignment="1">
      <alignment/>
    </xf>
    <xf numFmtId="166" fontId="0" fillId="0" borderId="0" xfId="42" applyNumberFormat="1" applyFont="1" applyFill="1" applyBorder="1" applyAlignment="1">
      <alignment/>
    </xf>
    <xf numFmtId="44" fontId="0" fillId="0" borderId="0" xfId="53" applyFont="1" applyFill="1" applyBorder="1" applyAlignment="1">
      <alignment/>
    </xf>
    <xf numFmtId="44" fontId="0" fillId="0" borderId="11" xfId="53" applyFont="1" applyFill="1" applyBorder="1" applyAlignment="1">
      <alignment/>
    </xf>
    <xf numFmtId="44" fontId="0" fillId="0" borderId="0" xfId="53" applyFont="1" applyFill="1" applyAlignment="1">
      <alignment/>
    </xf>
    <xf numFmtId="183" fontId="0" fillId="0" borderId="0" xfId="53" applyNumberFormat="1" applyFont="1" applyFill="1" applyAlignment="1">
      <alignment/>
    </xf>
    <xf numFmtId="183" fontId="0" fillId="0" borderId="11" xfId="53" applyNumberFormat="1" applyFont="1" applyFill="1" applyBorder="1" applyAlignment="1">
      <alignment/>
    </xf>
    <xf numFmtId="189" fontId="0" fillId="0" borderId="0" xfId="53" applyNumberFormat="1" applyFont="1" applyFill="1" applyAlignment="1">
      <alignment/>
    </xf>
    <xf numFmtId="166" fontId="2" fillId="0" borderId="0" xfId="42" applyNumberFormat="1" applyFont="1" applyFill="1" applyAlignment="1">
      <alignment/>
    </xf>
    <xf numFmtId="0" fontId="0" fillId="25" borderId="0" xfId="0" applyFont="1" applyFill="1" applyBorder="1" applyAlignment="1">
      <alignment horizontal="center" vertical="center"/>
    </xf>
    <xf numFmtId="0" fontId="0" fillId="25" borderId="0" xfId="42" applyNumberFormat="1" applyFont="1" applyFill="1" applyBorder="1" applyAlignment="1">
      <alignment/>
    </xf>
    <xf numFmtId="166" fontId="0" fillId="25" borderId="0" xfId="42" applyNumberFormat="1" applyFont="1" applyFill="1" applyBorder="1" applyAlignment="1">
      <alignment/>
    </xf>
    <xf numFmtId="0" fontId="0" fillId="0" borderId="0" xfId="0" applyFont="1" applyFill="1" applyBorder="1" applyAlignment="1">
      <alignment horizontal="left"/>
    </xf>
    <xf numFmtId="43" fontId="25" fillId="0" borderId="12" xfId="49" applyNumberFormat="1" applyFont="1" applyFill="1" applyBorder="1" applyAlignment="1">
      <alignment/>
    </xf>
    <xf numFmtId="166" fontId="2" fillId="0" borderId="0" xfId="46" applyNumberFormat="1" applyFont="1" applyAlignment="1">
      <alignment/>
    </xf>
    <xf numFmtId="166" fontId="2" fillId="0" borderId="0" xfId="46" applyNumberFormat="1" applyFont="1" applyFill="1" applyAlignment="1">
      <alignment/>
    </xf>
    <xf numFmtId="166" fontId="0" fillId="36" borderId="11" xfId="0" applyNumberFormat="1" applyFont="1" applyFill="1" applyBorder="1" applyAlignment="1">
      <alignment/>
    </xf>
    <xf numFmtId="166" fontId="2" fillId="35" borderId="0" xfId="46" applyNumberFormat="1" applyFont="1" applyFill="1" applyAlignment="1">
      <alignment/>
    </xf>
    <xf numFmtId="166" fontId="75" fillId="36" borderId="11" xfId="0" applyNumberFormat="1" applyFont="1" applyFill="1" applyBorder="1" applyAlignment="1">
      <alignment horizontal="right"/>
    </xf>
    <xf numFmtId="166" fontId="0" fillId="0" borderId="0" xfId="0" applyNumberFormat="1" applyFont="1" applyBorder="1" applyAlignment="1">
      <alignment/>
    </xf>
    <xf numFmtId="166" fontId="3" fillId="0" borderId="0" xfId="42" applyNumberFormat="1" applyFont="1" applyFill="1" applyBorder="1" applyAlignment="1">
      <alignment/>
    </xf>
    <xf numFmtId="166" fontId="13" fillId="0" borderId="0" xfId="42" applyNumberFormat="1" applyFont="1" applyFill="1" applyBorder="1" applyAlignment="1">
      <alignment/>
    </xf>
    <xf numFmtId="44" fontId="91" fillId="0" borderId="0" xfId="53" applyFont="1" applyBorder="1" applyAlignment="1">
      <alignment horizontal="right"/>
    </xf>
    <xf numFmtId="44" fontId="0" fillId="0" borderId="0" xfId="53" applyNumberFormat="1" applyFont="1" applyFill="1" applyBorder="1" applyAlignment="1">
      <alignment/>
    </xf>
    <xf numFmtId="44" fontId="0" fillId="0" borderId="0" xfId="53" applyFont="1" applyAlignment="1">
      <alignment/>
    </xf>
    <xf numFmtId="174" fontId="0" fillId="0" borderId="0" xfId="53" applyNumberFormat="1" applyFont="1" applyAlignment="1">
      <alignment/>
    </xf>
    <xf numFmtId="174" fontId="92" fillId="0" borderId="0" xfId="53" applyNumberFormat="1" applyFont="1" applyAlignment="1">
      <alignment/>
    </xf>
    <xf numFmtId="174" fontId="91" fillId="0" borderId="0" xfId="0" applyNumberFormat="1" applyFont="1" applyAlignment="1">
      <alignment/>
    </xf>
    <xf numFmtId="184" fontId="0" fillId="0" borderId="0" xfId="77" applyNumberFormat="1" applyFont="1" applyAlignment="1">
      <alignment/>
    </xf>
    <xf numFmtId="179" fontId="0" fillId="0" borderId="0" xfId="77" applyNumberFormat="1" applyFont="1" applyAlignment="1">
      <alignment/>
    </xf>
    <xf numFmtId="179" fontId="0" fillId="0" borderId="0" xfId="77" applyNumberFormat="1" applyFont="1" applyBorder="1" applyAlignment="1">
      <alignment/>
    </xf>
    <xf numFmtId="179" fontId="93" fillId="0" borderId="0" xfId="77" applyNumberFormat="1" applyFont="1" applyAlignment="1">
      <alignment/>
    </xf>
    <xf numFmtId="179" fontId="94" fillId="0" borderId="0" xfId="77" applyNumberFormat="1" applyFont="1" applyAlignment="1">
      <alignment/>
    </xf>
    <xf numFmtId="10" fontId="5" fillId="0" borderId="0" xfId="78" applyNumberFormat="1" applyFont="1" applyAlignment="1">
      <alignment horizontal="center"/>
    </xf>
    <xf numFmtId="44" fontId="91" fillId="0" borderId="0" xfId="0" applyNumberFormat="1" applyFont="1" applyAlignment="1">
      <alignment/>
    </xf>
    <xf numFmtId="179" fontId="0" fillId="0" borderId="0" xfId="0" applyNumberFormat="1" applyAlignment="1">
      <alignment/>
    </xf>
    <xf numFmtId="179" fontId="93" fillId="0" borderId="0" xfId="0" applyNumberFormat="1" applyFont="1" applyAlignment="1">
      <alignment/>
    </xf>
    <xf numFmtId="179" fontId="22" fillId="0" borderId="0" xfId="78" applyNumberFormat="1" applyFont="1" applyAlignment="1">
      <alignment horizontal="right"/>
    </xf>
    <xf numFmtId="179" fontId="95" fillId="0" borderId="0" xfId="77" applyNumberFormat="1" applyFont="1" applyAlignment="1">
      <alignment/>
    </xf>
    <xf numFmtId="164" fontId="11" fillId="0" borderId="0" xfId="67" applyNumberFormat="1" applyFont="1" applyFill="1" applyBorder="1" applyAlignment="1" applyProtection="1">
      <alignment horizontal="center"/>
      <protection/>
    </xf>
    <xf numFmtId="0" fontId="0" fillId="36" borderId="0" xfId="0" applyFont="1" applyFill="1" applyAlignment="1">
      <alignment horizontal="center"/>
    </xf>
    <xf numFmtId="0" fontId="0" fillId="0" borderId="0" xfId="0" applyFont="1" applyAlignment="1">
      <alignment horizontal="left"/>
    </xf>
    <xf numFmtId="0" fontId="75" fillId="36" borderId="11" xfId="0" applyFont="1" applyFill="1" applyBorder="1" applyAlignment="1">
      <alignment horizontal="center"/>
    </xf>
    <xf numFmtId="0" fontId="0" fillId="0" borderId="0" xfId="0" applyAlignment="1">
      <alignment vertical="top" wrapText="1"/>
    </xf>
    <xf numFmtId="0" fontId="0" fillId="0" borderId="0" xfId="0" applyFont="1" applyFill="1" applyBorder="1" applyAlignment="1">
      <alignment horizontal="center" vertical="center" textRotation="90"/>
    </xf>
    <xf numFmtId="0" fontId="0" fillId="0" borderId="13" xfId="0" applyFont="1" applyFill="1" applyBorder="1" applyAlignment="1">
      <alignment horizontal="center" vertical="center" textRotation="90"/>
    </xf>
    <xf numFmtId="0" fontId="0" fillId="36" borderId="0" xfId="0" applyFont="1" applyFill="1" applyBorder="1" applyAlignment="1">
      <alignment horizontal="center"/>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10" xfId="46"/>
    <cellStyle name="Comma 2" xfId="47"/>
    <cellStyle name="Comma 2 6" xfId="48"/>
    <cellStyle name="Comma 20" xfId="49"/>
    <cellStyle name="Comma 3" xfId="50"/>
    <cellStyle name="Comma 4" xfId="51"/>
    <cellStyle name="Comma 5" xfId="52"/>
    <cellStyle name="Currency" xfId="53"/>
    <cellStyle name="Currency [0]" xfId="54"/>
    <cellStyle name="Currency 2" xfId="55"/>
    <cellStyle name="Currency 2 6"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10" xfId="66"/>
    <cellStyle name="Normal 2" xfId="67"/>
    <cellStyle name="Normal 2 2 2 2 3" xfId="68"/>
    <cellStyle name="Normal 2 8" xfId="69"/>
    <cellStyle name="Normal 90" xfId="70"/>
    <cellStyle name="Normal 93" xfId="71"/>
    <cellStyle name="Normal 94" xfId="72"/>
    <cellStyle name="Normal 98" xfId="73"/>
    <cellStyle name="Normal_Price out" xfId="74"/>
    <cellStyle name="Note" xfId="75"/>
    <cellStyle name="Output" xfId="76"/>
    <cellStyle name="Percent" xfId="77"/>
    <cellStyle name="Percent 2" xfId="78"/>
    <cellStyle name="Percent 2 6" xfId="79"/>
    <cellStyle name="Percent 3" xfId="80"/>
    <cellStyle name="PS_Comma" xfId="81"/>
    <cellStyle name="PSChar" xfId="82"/>
    <cellStyle name="PSDate" xfId="83"/>
    <cellStyle name="PSDec" xfId="84"/>
    <cellStyle name="PSHeading" xfId="85"/>
    <cellStyle name="PSInt" xfId="86"/>
    <cellStyle name="PSSpacer" xfId="87"/>
    <cellStyle name="Title" xfId="88"/>
    <cellStyle name="Total" xfId="89"/>
    <cellStyle name="Warning Text" xfId="90"/>
    <cellStyle name="WM_STANDARD"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Y259"/>
  <sheetViews>
    <sheetView tabSelected="1" zoomScalePageLayoutView="0" workbookViewId="0" topLeftCell="A1">
      <selection activeCell="M20" sqref="M20"/>
    </sheetView>
  </sheetViews>
  <sheetFormatPr defaultColWidth="9.140625" defaultRowHeight="15"/>
  <cols>
    <col min="1" max="1" width="60.140625" style="0" bestFit="1" customWidth="1"/>
    <col min="2" max="2" width="2.421875" style="0" customWidth="1"/>
    <col min="3" max="3" width="12.28125" style="0" bestFit="1" customWidth="1"/>
    <col min="4" max="4" width="3.140625" style="62" customWidth="1"/>
    <col min="5" max="5" width="18.8515625" style="62" bestFit="1" customWidth="1"/>
    <col min="6" max="6" width="3.00390625" style="119" bestFit="1" customWidth="1"/>
    <col min="7" max="7" width="15.57421875" style="83" bestFit="1" customWidth="1"/>
    <col min="8" max="8" width="4.140625" style="83" customWidth="1"/>
    <col min="9" max="9" width="16.140625" style="83" bestFit="1" customWidth="1"/>
    <col min="10" max="10" width="9.28125" style="62" bestFit="1" customWidth="1"/>
    <col min="11" max="11" width="9.140625" style="84" customWidth="1"/>
    <col min="12" max="12" width="9.8515625" style="84" bestFit="1" customWidth="1"/>
    <col min="13" max="13" width="14.00390625" style="84" bestFit="1" customWidth="1"/>
    <col min="14" max="14" width="16.8515625" style="84" bestFit="1" customWidth="1"/>
    <col min="15" max="15" width="11.00390625" style="84" bestFit="1" customWidth="1"/>
  </cols>
  <sheetData>
    <row r="1" spans="1:10" ht="26.25">
      <c r="A1" s="32" t="s">
        <v>0</v>
      </c>
      <c r="B1" s="1"/>
      <c r="C1" s="1"/>
      <c r="D1" s="60"/>
      <c r="E1" s="60"/>
      <c r="F1" s="114"/>
      <c r="G1" s="57"/>
      <c r="H1" s="57"/>
      <c r="J1" s="60"/>
    </row>
    <row r="2" spans="1:10" ht="20.25">
      <c r="A2" s="33" t="s">
        <v>1</v>
      </c>
      <c r="B2" s="8"/>
      <c r="C2" s="1"/>
      <c r="D2" s="60"/>
      <c r="E2" s="60"/>
      <c r="F2" s="114"/>
      <c r="G2" s="57"/>
      <c r="H2" s="57"/>
      <c r="J2" s="60"/>
    </row>
    <row r="3" spans="1:10" ht="15.75">
      <c r="A3" s="112" t="s">
        <v>439</v>
      </c>
      <c r="B3" s="8"/>
      <c r="C3" s="1"/>
      <c r="D3" s="60"/>
      <c r="E3" s="60"/>
      <c r="F3" s="114"/>
      <c r="G3" s="57"/>
      <c r="H3" s="57"/>
      <c r="J3" s="60"/>
    </row>
    <row r="4" spans="1:10" ht="18">
      <c r="A4" s="113"/>
      <c r="B4" s="6"/>
      <c r="C4" s="11"/>
      <c r="D4" s="61"/>
      <c r="E4" s="34"/>
      <c r="F4" s="61"/>
      <c r="G4" s="80" t="s">
        <v>264</v>
      </c>
      <c r="H4" s="81"/>
      <c r="I4" s="80"/>
      <c r="J4" s="35"/>
    </row>
    <row r="5" spans="1:10" ht="15.75">
      <c r="A5" s="113"/>
      <c r="B5" s="7"/>
      <c r="C5" s="11"/>
      <c r="D5" s="61"/>
      <c r="E5" s="34"/>
      <c r="F5" s="61"/>
      <c r="G5" s="80" t="s">
        <v>265</v>
      </c>
      <c r="H5" s="81"/>
      <c r="I5" s="80" t="s">
        <v>263</v>
      </c>
      <c r="J5" s="35"/>
    </row>
    <row r="6" spans="1:10" ht="15.75">
      <c r="A6" s="113"/>
      <c r="B6" s="8"/>
      <c r="C6" s="12"/>
      <c r="D6" s="61"/>
      <c r="E6" s="34" t="s">
        <v>2</v>
      </c>
      <c r="F6" s="61"/>
      <c r="G6" s="80" t="s">
        <v>266</v>
      </c>
      <c r="H6" s="81"/>
      <c r="I6" s="80" t="s">
        <v>2</v>
      </c>
      <c r="J6" s="36"/>
    </row>
    <row r="7" spans="1:10" ht="15.75">
      <c r="A7" s="251" t="s">
        <v>4</v>
      </c>
      <c r="B7" s="251"/>
      <c r="C7" s="37" t="s">
        <v>5</v>
      </c>
      <c r="D7" s="39"/>
      <c r="E7" s="38" t="s">
        <v>7</v>
      </c>
      <c r="F7" s="39"/>
      <c r="G7" s="82" t="s">
        <v>267</v>
      </c>
      <c r="H7" s="81"/>
      <c r="I7" s="82" t="s">
        <v>7</v>
      </c>
      <c r="J7" s="47" t="s">
        <v>6</v>
      </c>
    </row>
    <row r="8" spans="1:10" ht="15">
      <c r="A8" s="9"/>
      <c r="B8" s="9"/>
      <c r="C8" s="16"/>
      <c r="D8" s="60"/>
      <c r="E8" s="60"/>
      <c r="F8" s="114"/>
      <c r="G8" s="57"/>
      <c r="H8" s="57"/>
      <c r="J8" s="60"/>
    </row>
    <row r="9" spans="1:12" ht="15.75">
      <c r="A9" s="23" t="s">
        <v>8</v>
      </c>
      <c r="B9" s="23"/>
      <c r="C9" s="1"/>
      <c r="D9" s="60"/>
      <c r="E9" s="60"/>
      <c r="F9" s="114"/>
      <c r="G9" s="57"/>
      <c r="H9" s="57"/>
      <c r="J9" s="60"/>
      <c r="L9" s="101"/>
    </row>
    <row r="10" spans="1:10" ht="15.75">
      <c r="A10" s="24" t="s">
        <v>9</v>
      </c>
      <c r="B10" s="24"/>
      <c r="C10" s="1"/>
      <c r="D10" s="60"/>
      <c r="E10" s="60"/>
      <c r="F10" s="114"/>
      <c r="G10" s="57"/>
      <c r="H10" s="57"/>
      <c r="J10" s="60"/>
    </row>
    <row r="11" spans="1:15" ht="15">
      <c r="A11" s="21" t="s">
        <v>10</v>
      </c>
      <c r="B11" s="1"/>
      <c r="C11" s="13" t="s">
        <v>11</v>
      </c>
      <c r="D11" s="3"/>
      <c r="E11" s="3">
        <v>3538352</v>
      </c>
      <c r="F11" s="114" t="s">
        <v>268</v>
      </c>
      <c r="G11" s="3">
        <f>+'Calc. and priceout'!R105</f>
        <v>69695.57509114106</v>
      </c>
      <c r="H11" s="57"/>
      <c r="I11" s="85">
        <f aca="true" t="shared" si="0" ref="I11:I19">+G11+E11</f>
        <v>3608047.5750911413</v>
      </c>
      <c r="J11" s="22">
        <f>+I11/$I$26</f>
        <v>0.2159708574323421</v>
      </c>
      <c r="L11" s="103"/>
      <c r="M11" s="103"/>
      <c r="N11" s="102"/>
      <c r="O11" s="103">
        <f>+G11/E11</f>
        <v>0.01969718532558125</v>
      </c>
    </row>
    <row r="12" spans="1:10" ht="15">
      <c r="A12" s="52" t="s">
        <v>12</v>
      </c>
      <c r="B12" s="1"/>
      <c r="C12" s="1"/>
      <c r="D12" s="5"/>
      <c r="E12" s="232">
        <v>227730</v>
      </c>
      <c r="F12" s="114"/>
      <c r="G12" s="5"/>
      <c r="I12" s="87">
        <f t="shared" si="0"/>
        <v>227730</v>
      </c>
      <c r="J12" s="22">
        <f aca="true" t="shared" si="1" ref="J12:J75">+I12/$I$26</f>
        <v>0.013631484158527172</v>
      </c>
    </row>
    <row r="13" spans="1:15" ht="15">
      <c r="A13" s="21" t="s">
        <v>13</v>
      </c>
      <c r="B13" s="1"/>
      <c r="C13" s="13" t="s">
        <v>14</v>
      </c>
      <c r="D13" s="5"/>
      <c r="E13" s="232">
        <v>7079794</v>
      </c>
      <c r="F13" s="114" t="s">
        <v>268</v>
      </c>
      <c r="G13" s="3">
        <f>+'Calc. and priceout'!R23</f>
        <v>99447.0694097556</v>
      </c>
      <c r="I13" s="87">
        <f t="shared" si="0"/>
        <v>7179241.069409756</v>
      </c>
      <c r="J13" s="22">
        <f t="shared" si="1"/>
        <v>0.4297356997668588</v>
      </c>
      <c r="L13" s="103"/>
      <c r="M13" s="120"/>
      <c r="N13" s="102"/>
      <c r="O13" s="105">
        <f>+G13/E13</f>
        <v>0.014046604944968117</v>
      </c>
    </row>
    <row r="14" spans="1:10" ht="15">
      <c r="A14" s="21" t="s">
        <v>15</v>
      </c>
      <c r="B14" s="1"/>
      <c r="C14" s="13" t="s">
        <v>16</v>
      </c>
      <c r="D14" s="5"/>
      <c r="E14" s="232">
        <v>3321024</v>
      </c>
      <c r="F14" s="114"/>
      <c r="G14" s="5"/>
      <c r="I14" s="87">
        <f t="shared" si="0"/>
        <v>3321024</v>
      </c>
      <c r="J14" s="22">
        <f t="shared" si="1"/>
        <v>0.19879017277516595</v>
      </c>
    </row>
    <row r="15" spans="1:10" ht="15">
      <c r="A15" s="21" t="s">
        <v>17</v>
      </c>
      <c r="B15" s="1"/>
      <c r="C15" s="1"/>
      <c r="D15" s="5"/>
      <c r="E15" s="232">
        <v>298022</v>
      </c>
      <c r="F15" s="114"/>
      <c r="G15" s="5"/>
      <c r="I15" s="87">
        <f t="shared" si="0"/>
        <v>298022</v>
      </c>
      <c r="J15" s="22">
        <f t="shared" si="1"/>
        <v>0.017839029429115992</v>
      </c>
    </row>
    <row r="16" spans="1:10" ht="15">
      <c r="A16" s="52" t="s">
        <v>18</v>
      </c>
      <c r="B16" s="1"/>
      <c r="C16" s="1"/>
      <c r="D16" s="5"/>
      <c r="E16" s="232">
        <v>431843</v>
      </c>
      <c r="F16" s="114"/>
      <c r="G16" s="5"/>
      <c r="I16" s="87">
        <f t="shared" si="0"/>
        <v>431843</v>
      </c>
      <c r="J16" s="22">
        <f t="shared" si="1"/>
        <v>0.02584929966833904</v>
      </c>
    </row>
    <row r="17" spans="1:10" ht="15">
      <c r="A17" s="21" t="s">
        <v>19</v>
      </c>
      <c r="B17" s="1"/>
      <c r="C17" s="13" t="s">
        <v>20</v>
      </c>
      <c r="D17" s="5"/>
      <c r="E17" s="232">
        <v>731272</v>
      </c>
      <c r="F17" s="114"/>
      <c r="G17" s="5"/>
      <c r="I17" s="87">
        <f t="shared" si="0"/>
        <v>731272</v>
      </c>
      <c r="J17" s="22">
        <f t="shared" si="1"/>
        <v>0.043772549438257945</v>
      </c>
    </row>
    <row r="18" spans="1:12" ht="15">
      <c r="A18" s="52" t="s">
        <v>21</v>
      </c>
      <c r="B18" s="48"/>
      <c r="C18" s="55"/>
      <c r="D18" s="5"/>
      <c r="E18" s="232">
        <v>822535</v>
      </c>
      <c r="F18" s="114" t="s">
        <v>269</v>
      </c>
      <c r="G18" s="5">
        <f>+'Co. Pro Tonnage'!J11</f>
        <v>36288.29999999993</v>
      </c>
      <c r="I18" s="87">
        <f t="shared" si="0"/>
        <v>858823.2999999999</v>
      </c>
      <c r="J18" s="22">
        <f t="shared" si="1"/>
        <v>0.051407527374188855</v>
      </c>
      <c r="L18" s="103"/>
    </row>
    <row r="19" spans="1:10" ht="17.25">
      <c r="A19" s="52" t="s">
        <v>22</v>
      </c>
      <c r="B19" s="1"/>
      <c r="C19" s="1"/>
      <c r="D19" s="5"/>
      <c r="E19" s="233">
        <v>36295</v>
      </c>
      <c r="F19" s="114"/>
      <c r="G19" s="56">
        <v>0</v>
      </c>
      <c r="I19" s="88">
        <f t="shared" si="0"/>
        <v>36295</v>
      </c>
      <c r="J19" s="40">
        <f t="shared" si="1"/>
        <v>0.0021725495873786663</v>
      </c>
    </row>
    <row r="20" spans="1:15" ht="17.25">
      <c r="A20" s="28" t="s">
        <v>23</v>
      </c>
      <c r="B20" s="28"/>
      <c r="C20" s="15"/>
      <c r="D20" s="41"/>
      <c r="E20" s="41">
        <f>SUM(E11:E19)</f>
        <v>16486867</v>
      </c>
      <c r="F20" s="115"/>
      <c r="G20" s="41">
        <f>SUM(G11:G19)</f>
        <v>205430.94450089658</v>
      </c>
      <c r="I20" s="41">
        <f>SUM(I11:I19)</f>
        <v>16692297.944500897</v>
      </c>
      <c r="J20" s="63">
        <f t="shared" si="1"/>
        <v>0.9991691696301745</v>
      </c>
      <c r="M20" s="101">
        <f>+E13+E11</f>
        <v>10618146</v>
      </c>
      <c r="N20" s="120">
        <f>+G11+G13</f>
        <v>169142.64450089665</v>
      </c>
      <c r="O20" s="103">
        <f>+N20/M20</f>
        <v>0.015929583611008612</v>
      </c>
    </row>
    <row r="21" spans="1:10" ht="15">
      <c r="A21" s="1"/>
      <c r="B21" s="1"/>
      <c r="C21" s="1"/>
      <c r="D21" s="5"/>
      <c r="E21" s="5"/>
      <c r="F21" s="114"/>
      <c r="G21" s="5"/>
      <c r="I21" s="5"/>
      <c r="J21" s="22"/>
    </row>
    <row r="22" spans="1:10" ht="17.25">
      <c r="A22" s="21" t="s">
        <v>25</v>
      </c>
      <c r="B22" s="1"/>
      <c r="C22" s="13" t="s">
        <v>26</v>
      </c>
      <c r="D22" s="46"/>
      <c r="E22" s="233">
        <v>13880</v>
      </c>
      <c r="F22" s="114"/>
      <c r="G22" s="46"/>
      <c r="I22" s="46">
        <f>+G22+E22</f>
        <v>13880</v>
      </c>
      <c r="J22" s="40">
        <f t="shared" si="1"/>
        <v>0.0008308303698254826</v>
      </c>
    </row>
    <row r="23" spans="1:10" ht="17.25">
      <c r="A23" s="28" t="s">
        <v>24</v>
      </c>
      <c r="B23" s="28"/>
      <c r="C23" s="1"/>
      <c r="D23" s="42"/>
      <c r="E23" s="42">
        <f>+E22</f>
        <v>13880</v>
      </c>
      <c r="F23" s="114"/>
      <c r="G23" s="42">
        <f>SUM(G22)</f>
        <v>0</v>
      </c>
      <c r="I23" s="42">
        <f>SUM(I22)</f>
        <v>13880</v>
      </c>
      <c r="J23" s="63">
        <f t="shared" si="1"/>
        <v>0.0008308303698254826</v>
      </c>
    </row>
    <row r="24" spans="1:10" ht="17.25">
      <c r="A24" s="28"/>
      <c r="B24" s="28"/>
      <c r="C24" s="1"/>
      <c r="D24" s="42"/>
      <c r="E24" s="42"/>
      <c r="F24" s="114"/>
      <c r="G24" s="42"/>
      <c r="I24" s="42"/>
      <c r="J24" s="22"/>
    </row>
    <row r="25" spans="1:10" ht="15">
      <c r="A25" s="9"/>
      <c r="B25" s="9"/>
      <c r="C25" s="16"/>
      <c r="D25" s="10"/>
      <c r="E25" s="10"/>
      <c r="F25" s="114"/>
      <c r="G25" s="10"/>
      <c r="I25" s="10"/>
      <c r="J25" s="22"/>
    </row>
    <row r="26" spans="1:10" ht="17.25">
      <c r="A26" s="23" t="s">
        <v>27</v>
      </c>
      <c r="B26" s="23"/>
      <c r="C26" s="16"/>
      <c r="D26" s="44"/>
      <c r="E26" s="44">
        <f>+E23+E20</f>
        <v>16500747</v>
      </c>
      <c r="F26" s="114"/>
      <c r="G26" s="44">
        <f>+G23+G20</f>
        <v>205430.94450089658</v>
      </c>
      <c r="I26" s="44">
        <f>+I23+I20</f>
        <v>16706177.944500897</v>
      </c>
      <c r="J26" s="89">
        <f t="shared" si="1"/>
        <v>1</v>
      </c>
    </row>
    <row r="27" spans="1:10" ht="15">
      <c r="A27" s="9"/>
      <c r="B27" s="9"/>
      <c r="C27" s="16"/>
      <c r="D27" s="5"/>
      <c r="E27" s="5"/>
      <c r="F27" s="114"/>
      <c r="G27" s="5"/>
      <c r="I27" s="5"/>
      <c r="J27" s="22"/>
    </row>
    <row r="28" spans="1:10" ht="15.75">
      <c r="A28" s="23" t="s">
        <v>28</v>
      </c>
      <c r="B28" s="23"/>
      <c r="C28" s="16"/>
      <c r="D28" s="5"/>
      <c r="E28" s="5"/>
      <c r="F28" s="114"/>
      <c r="G28" s="5"/>
      <c r="I28" s="5"/>
      <c r="J28" s="22"/>
    </row>
    <row r="29" spans="1:10" ht="15">
      <c r="A29" s="21" t="s">
        <v>29</v>
      </c>
      <c r="B29" s="1"/>
      <c r="C29" s="13" t="s">
        <v>30</v>
      </c>
      <c r="D29" s="5"/>
      <c r="E29" s="232">
        <v>3657539</v>
      </c>
      <c r="F29" s="114" t="s">
        <v>269</v>
      </c>
      <c r="G29" s="5">
        <f>+'Co. Pro Tonnage'!J6+'Co. Pro Tonnage'!J8</f>
        <v>161362.00884951954</v>
      </c>
      <c r="I29" s="5">
        <f>+G29+E29</f>
        <v>3818901.0088495193</v>
      </c>
      <c r="J29" s="22">
        <f t="shared" si="1"/>
        <v>0.2285921424718555</v>
      </c>
    </row>
    <row r="30" spans="1:10" ht="15">
      <c r="A30" s="52" t="s">
        <v>31</v>
      </c>
      <c r="B30" s="1"/>
      <c r="C30" s="1"/>
      <c r="D30" s="5"/>
      <c r="E30" s="232">
        <v>822535</v>
      </c>
      <c r="F30" s="114" t="s">
        <v>269</v>
      </c>
      <c r="G30" s="5">
        <f>+G18</f>
        <v>36288.29999999993</v>
      </c>
      <c r="I30" s="5">
        <f aca="true" t="shared" si="2" ref="I30:I35">+G30+E30</f>
        <v>858823.2999999999</v>
      </c>
      <c r="J30" s="22">
        <f t="shared" si="1"/>
        <v>0.051407527374188855</v>
      </c>
    </row>
    <row r="31" spans="1:10" ht="15">
      <c r="A31" s="21" t="s">
        <v>32</v>
      </c>
      <c r="B31" s="1"/>
      <c r="C31" s="13" t="s">
        <v>33</v>
      </c>
      <c r="D31" s="5"/>
      <c r="E31" s="232">
        <v>75317</v>
      </c>
      <c r="F31" s="114"/>
      <c r="G31" s="5"/>
      <c r="I31" s="5">
        <f t="shared" si="2"/>
        <v>75317</v>
      </c>
      <c r="J31" s="22">
        <f t="shared" si="1"/>
        <v>0.0045083322020278</v>
      </c>
    </row>
    <row r="32" spans="1:10" ht="15">
      <c r="A32" s="21" t="s">
        <v>34</v>
      </c>
      <c r="B32" s="1"/>
      <c r="C32" s="1"/>
      <c r="D32" s="5"/>
      <c r="E32" s="232">
        <v>741695</v>
      </c>
      <c r="F32" s="114"/>
      <c r="G32" s="5"/>
      <c r="I32" s="5">
        <f t="shared" si="2"/>
        <v>741695</v>
      </c>
      <c r="J32" s="22">
        <f t="shared" si="1"/>
        <v>0.04439645037087257</v>
      </c>
    </row>
    <row r="33" spans="1:10" ht="15">
      <c r="A33" s="21" t="s">
        <v>35</v>
      </c>
      <c r="B33" s="1"/>
      <c r="C33" s="13" t="s">
        <v>36</v>
      </c>
      <c r="D33" s="5"/>
      <c r="E33" s="232">
        <v>262749</v>
      </c>
      <c r="F33" s="114"/>
      <c r="G33" s="5"/>
      <c r="I33" s="5">
        <f t="shared" si="2"/>
        <v>262749</v>
      </c>
      <c r="J33" s="22">
        <f t="shared" si="1"/>
        <v>0.015727654815653868</v>
      </c>
    </row>
    <row r="34" spans="1:10" ht="15">
      <c r="A34" s="52" t="s">
        <v>37</v>
      </c>
      <c r="B34" s="1"/>
      <c r="C34" s="1"/>
      <c r="D34" s="5"/>
      <c r="E34" s="232">
        <v>280708</v>
      </c>
      <c r="F34" s="114" t="s">
        <v>270</v>
      </c>
      <c r="G34" s="5">
        <f>+G26*References!G47</f>
        <v>3081.4641675134485</v>
      </c>
      <c r="I34" s="5">
        <f t="shared" si="2"/>
        <v>283789.4641675135</v>
      </c>
      <c r="J34" s="22">
        <f t="shared" si="1"/>
        <v>0.016987096935653513</v>
      </c>
    </row>
    <row r="35" spans="1:10" ht="17.25">
      <c r="A35" s="52" t="s">
        <v>38</v>
      </c>
      <c r="B35" s="1"/>
      <c r="C35" s="1"/>
      <c r="D35" s="5"/>
      <c r="E35" s="233">
        <v>70026</v>
      </c>
      <c r="F35" s="114" t="s">
        <v>270</v>
      </c>
      <c r="G35" s="56">
        <f>+G26*References!G48</f>
        <v>878.2172877413329</v>
      </c>
      <c r="I35" s="56">
        <f t="shared" si="2"/>
        <v>70904.21728774134</v>
      </c>
      <c r="J35" s="40">
        <f t="shared" si="1"/>
        <v>0.004244191431654215</v>
      </c>
    </row>
    <row r="36" spans="1:10" ht="17.25">
      <c r="A36" s="23" t="s">
        <v>39</v>
      </c>
      <c r="B36" s="23"/>
      <c r="C36" s="16"/>
      <c r="D36" s="43"/>
      <c r="E36" s="43">
        <f>SUM(E29:E35)</f>
        <v>5910569</v>
      </c>
      <c r="F36" s="114"/>
      <c r="G36" s="43">
        <f>SUM(G29:G35)</f>
        <v>201609.99030477426</v>
      </c>
      <c r="I36" s="43">
        <f>SUM(I29:I35)</f>
        <v>6112178.990304775</v>
      </c>
      <c r="J36" s="63">
        <f t="shared" si="1"/>
        <v>0.36586339560190634</v>
      </c>
    </row>
    <row r="37" spans="1:10" ht="15.75">
      <c r="A37" s="9"/>
      <c r="B37" s="9"/>
      <c r="C37" s="16"/>
      <c r="D37" s="4"/>
      <c r="E37" s="4"/>
      <c r="F37" s="114"/>
      <c r="G37" s="4"/>
      <c r="I37" s="4"/>
      <c r="J37" s="63"/>
    </row>
    <row r="38" spans="1:10" ht="20.25">
      <c r="A38" s="23" t="s">
        <v>40</v>
      </c>
      <c r="B38" s="23"/>
      <c r="C38" s="16"/>
      <c r="D38" s="43"/>
      <c r="E38" s="43">
        <f>+E26-E36</f>
        <v>10590178</v>
      </c>
      <c r="F38" s="114"/>
      <c r="G38" s="43">
        <f>+G26-G36</f>
        <v>3820.9541961223294</v>
      </c>
      <c r="I38" s="43">
        <f>+I26-I36</f>
        <v>10593998.954196122</v>
      </c>
      <c r="J38" s="63">
        <f t="shared" si="1"/>
        <v>0.6341366043980936</v>
      </c>
    </row>
    <row r="39" spans="1:10" ht="15.75">
      <c r="A39" s="9"/>
      <c r="B39" s="9"/>
      <c r="C39" s="16"/>
      <c r="D39" s="5"/>
      <c r="E39" s="5"/>
      <c r="F39" s="114"/>
      <c r="G39" s="5"/>
      <c r="I39" s="5"/>
      <c r="J39" s="22"/>
    </row>
    <row r="40" spans="1:10" ht="15.75">
      <c r="A40" s="23" t="s">
        <v>41</v>
      </c>
      <c r="B40" s="23"/>
      <c r="C40" s="16"/>
      <c r="D40" s="5"/>
      <c r="E40" s="5"/>
      <c r="F40" s="114"/>
      <c r="G40" s="5"/>
      <c r="I40" s="5"/>
      <c r="J40" s="22"/>
    </row>
    <row r="41" spans="1:10" ht="15.75">
      <c r="A41" s="24" t="s">
        <v>42</v>
      </c>
      <c r="B41" s="24"/>
      <c r="C41" s="16"/>
      <c r="D41" s="5"/>
      <c r="E41" s="5"/>
      <c r="F41" s="114"/>
      <c r="G41" s="5"/>
      <c r="I41" s="5"/>
      <c r="J41" s="22"/>
    </row>
    <row r="42" spans="1:10" ht="15.75">
      <c r="A42" s="21" t="s">
        <v>43</v>
      </c>
      <c r="B42" s="1"/>
      <c r="C42" s="13" t="s">
        <v>44</v>
      </c>
      <c r="D42" s="5"/>
      <c r="E42" s="232">
        <v>2070641</v>
      </c>
      <c r="F42" s="114"/>
      <c r="G42" s="5"/>
      <c r="I42" s="5">
        <f>+G42+E42</f>
        <v>2070641</v>
      </c>
      <c r="J42" s="22">
        <f t="shared" si="1"/>
        <v>0.12394462736353076</v>
      </c>
    </row>
    <row r="43" spans="1:10" ht="15.75">
      <c r="A43" s="21" t="s">
        <v>45</v>
      </c>
      <c r="B43" s="1"/>
      <c r="C43" s="13" t="s">
        <v>46</v>
      </c>
      <c r="D43" s="5"/>
      <c r="E43" s="232">
        <v>312547</v>
      </c>
      <c r="F43" s="114"/>
      <c r="G43" s="5"/>
      <c r="I43" s="5">
        <f aca="true" t="shared" si="3" ref="I43:I51">+G43+E43</f>
        <v>312547</v>
      </c>
      <c r="J43" s="22">
        <f t="shared" si="1"/>
        <v>0.01870846827073812</v>
      </c>
    </row>
    <row r="44" spans="1:10" ht="15.75">
      <c r="A44" s="21" t="s">
        <v>47</v>
      </c>
      <c r="B44" s="1"/>
      <c r="C44" s="13" t="s">
        <v>48</v>
      </c>
      <c r="D44" s="5"/>
      <c r="E44" s="232">
        <v>17020</v>
      </c>
      <c r="F44" s="114"/>
      <c r="G44" s="5"/>
      <c r="I44" s="5">
        <f t="shared" si="3"/>
        <v>17020</v>
      </c>
      <c r="J44" s="22">
        <f t="shared" si="1"/>
        <v>0.001018784790664965</v>
      </c>
    </row>
    <row r="45" spans="1:10" ht="15.75">
      <c r="A45" s="21" t="s">
        <v>49</v>
      </c>
      <c r="B45" s="1"/>
      <c r="C45" s="13" t="s">
        <v>50</v>
      </c>
      <c r="D45" s="5"/>
      <c r="E45" s="232">
        <v>256839</v>
      </c>
      <c r="F45" s="114"/>
      <c r="G45" s="5"/>
      <c r="I45" s="5">
        <f t="shared" si="3"/>
        <v>256839</v>
      </c>
      <c r="J45" s="22">
        <f t="shared" si="1"/>
        <v>0.015373893469424143</v>
      </c>
    </row>
    <row r="46" spans="1:10" ht="15.75">
      <c r="A46" s="21" t="s">
        <v>51</v>
      </c>
      <c r="B46" s="1"/>
      <c r="C46" s="13" t="s">
        <v>52</v>
      </c>
      <c r="D46" s="5"/>
      <c r="E46" s="232">
        <v>114460</v>
      </c>
      <c r="F46" s="114"/>
      <c r="G46" s="5"/>
      <c r="I46" s="5">
        <f t="shared" si="3"/>
        <v>114460</v>
      </c>
      <c r="J46" s="22">
        <f t="shared" si="1"/>
        <v>0.0068513576462697935</v>
      </c>
    </row>
    <row r="47" spans="1:10" ht="15.75">
      <c r="A47" s="21" t="s">
        <v>53</v>
      </c>
      <c r="B47" s="1"/>
      <c r="C47" s="13" t="s">
        <v>54</v>
      </c>
      <c r="D47" s="5"/>
      <c r="E47" s="232">
        <v>22</v>
      </c>
      <c r="F47" s="114"/>
      <c r="G47" s="5"/>
      <c r="I47" s="5">
        <f t="shared" si="3"/>
        <v>22</v>
      </c>
      <c r="J47" s="22">
        <f t="shared" si="1"/>
        <v>1.3168781077925515E-06</v>
      </c>
    </row>
    <row r="48" spans="1:10" ht="15.75">
      <c r="A48" s="21" t="s">
        <v>55</v>
      </c>
      <c r="B48" s="1"/>
      <c r="C48" s="13" t="s">
        <v>56</v>
      </c>
      <c r="D48" s="5"/>
      <c r="E48" s="232">
        <v>179763</v>
      </c>
      <c r="F48" s="114"/>
      <c r="G48" s="5"/>
      <c r="I48" s="5">
        <f t="shared" si="3"/>
        <v>179763</v>
      </c>
      <c r="J48" s="22">
        <f t="shared" si="1"/>
        <v>0.010760270876868748</v>
      </c>
    </row>
    <row r="49" spans="1:10" ht="15.75">
      <c r="A49" s="21" t="s">
        <v>57</v>
      </c>
      <c r="B49" s="1"/>
      <c r="C49" s="13" t="s">
        <v>58</v>
      </c>
      <c r="D49" s="5"/>
      <c r="E49" s="232">
        <v>1895</v>
      </c>
      <c r="F49" s="114"/>
      <c r="G49" s="5"/>
      <c r="I49" s="5">
        <f t="shared" si="3"/>
        <v>1895</v>
      </c>
      <c r="J49" s="22">
        <f t="shared" si="1"/>
        <v>0.0001134310915575857</v>
      </c>
    </row>
    <row r="50" spans="1:10" ht="15.75">
      <c r="A50" s="21" t="s">
        <v>59</v>
      </c>
      <c r="B50" s="1"/>
      <c r="C50" s="13" t="s">
        <v>60</v>
      </c>
      <c r="D50" s="5"/>
      <c r="E50" s="232">
        <v>12589</v>
      </c>
      <c r="F50" s="114"/>
      <c r="G50" s="5"/>
      <c r="I50" s="5">
        <f t="shared" si="3"/>
        <v>12589</v>
      </c>
      <c r="J50" s="22">
        <f t="shared" si="1"/>
        <v>0.0007535535681363832</v>
      </c>
    </row>
    <row r="51" spans="1:10" ht="17.25">
      <c r="A51" s="21" t="s">
        <v>61</v>
      </c>
      <c r="B51" s="1"/>
      <c r="C51" s="13" t="s">
        <v>62</v>
      </c>
      <c r="D51" s="46"/>
      <c r="E51" s="233">
        <v>1831</v>
      </c>
      <c r="F51" s="116"/>
      <c r="G51" s="46"/>
      <c r="I51" s="56">
        <f t="shared" si="3"/>
        <v>1831</v>
      </c>
      <c r="J51" s="40">
        <f t="shared" si="1"/>
        <v>0.00010960017342582555</v>
      </c>
    </row>
    <row r="52" spans="1:10" ht="20.25">
      <c r="A52" s="24" t="s">
        <v>42</v>
      </c>
      <c r="B52" s="24"/>
      <c r="C52" s="16"/>
      <c r="D52" s="42"/>
      <c r="E52" s="42">
        <f>SUM(E42:E51)</f>
        <v>2967607</v>
      </c>
      <c r="F52" s="114"/>
      <c r="G52" s="42">
        <f>SUM(G42:G51)</f>
        <v>0</v>
      </c>
      <c r="I52" s="42">
        <f>SUM(I42:I51)</f>
        <v>2967607</v>
      </c>
      <c r="J52" s="63">
        <f t="shared" si="1"/>
        <v>0.1776353041287241</v>
      </c>
    </row>
    <row r="53" spans="1:10" ht="15.75">
      <c r="A53" s="9"/>
      <c r="B53" s="9"/>
      <c r="C53" s="16"/>
      <c r="D53" s="5"/>
      <c r="E53" s="5"/>
      <c r="F53" s="114"/>
      <c r="G53" s="5"/>
      <c r="I53" s="5"/>
      <c r="J53" s="22"/>
    </row>
    <row r="54" spans="1:10" ht="15.75">
      <c r="A54" s="24" t="s">
        <v>63</v>
      </c>
      <c r="B54" s="24"/>
      <c r="C54" s="16"/>
      <c r="D54" s="5"/>
      <c r="E54" s="5"/>
      <c r="F54" s="114"/>
      <c r="G54" s="5"/>
      <c r="I54" s="5"/>
      <c r="J54" s="22"/>
    </row>
    <row r="55" spans="1:10" ht="15.75">
      <c r="A55" s="28" t="s">
        <v>64</v>
      </c>
      <c r="B55" s="28"/>
      <c r="C55" s="16"/>
      <c r="D55" s="5"/>
      <c r="E55" s="5"/>
      <c r="F55" s="114"/>
      <c r="G55" s="5"/>
      <c r="I55" s="5"/>
      <c r="J55" s="22"/>
    </row>
    <row r="56" spans="1:10" ht="15.75">
      <c r="A56" s="21" t="s">
        <v>65</v>
      </c>
      <c r="B56" s="1"/>
      <c r="C56" s="13" t="s">
        <v>66</v>
      </c>
      <c r="D56" s="5"/>
      <c r="E56" s="232">
        <v>32</v>
      </c>
      <c r="F56" s="114"/>
      <c r="G56" s="5"/>
      <c r="I56" s="5">
        <f>+G56+E56</f>
        <v>32</v>
      </c>
      <c r="J56" s="22">
        <f t="shared" si="1"/>
        <v>1.915459065880075E-06</v>
      </c>
    </row>
    <row r="57" spans="1:10" ht="15.75">
      <c r="A57" s="21" t="s">
        <v>67</v>
      </c>
      <c r="B57" s="1"/>
      <c r="C57" s="13" t="s">
        <v>68</v>
      </c>
      <c r="D57" s="5"/>
      <c r="E57" s="232">
        <v>62</v>
      </c>
      <c r="F57" s="114"/>
      <c r="G57" s="5"/>
      <c r="I57" s="5">
        <f aca="true" t="shared" si="4" ref="I57:I66">+G57+E57</f>
        <v>62</v>
      </c>
      <c r="J57" s="22">
        <f t="shared" si="1"/>
        <v>3.7112019401426454E-06</v>
      </c>
    </row>
    <row r="58" spans="1:10" ht="15.75">
      <c r="A58" s="21" t="s">
        <v>69</v>
      </c>
      <c r="B58" s="1"/>
      <c r="C58" s="13" t="s">
        <v>70</v>
      </c>
      <c r="D58" s="5"/>
      <c r="E58" s="232">
        <v>31715</v>
      </c>
      <c r="F58" s="114"/>
      <c r="G58" s="5"/>
      <c r="I58" s="5">
        <f t="shared" si="4"/>
        <v>31715</v>
      </c>
      <c r="J58" s="22">
        <f t="shared" si="1"/>
        <v>0.0018983995085745805</v>
      </c>
    </row>
    <row r="59" spans="1:10" ht="15.75">
      <c r="A59" s="21" t="s">
        <v>71</v>
      </c>
      <c r="B59" s="1"/>
      <c r="C59" s="13" t="s">
        <v>72</v>
      </c>
      <c r="D59" s="5"/>
      <c r="E59" s="232">
        <v>1264</v>
      </c>
      <c r="F59" s="114"/>
      <c r="G59" s="5"/>
      <c r="I59" s="5">
        <f t="shared" si="4"/>
        <v>1264</v>
      </c>
      <c r="J59" s="22">
        <f t="shared" si="1"/>
        <v>7.566063310226296E-05</v>
      </c>
    </row>
    <row r="60" spans="1:10" ht="15.75">
      <c r="A60" s="21" t="s">
        <v>73</v>
      </c>
      <c r="B60" s="1"/>
      <c r="C60" s="13" t="s">
        <v>74</v>
      </c>
      <c r="D60" s="5"/>
      <c r="E60" s="232">
        <v>34686</v>
      </c>
      <c r="F60" s="114"/>
      <c r="G60" s="5"/>
      <c r="I60" s="5">
        <f t="shared" si="4"/>
        <v>34686</v>
      </c>
      <c r="J60" s="22">
        <f t="shared" si="1"/>
        <v>0.002076237911222384</v>
      </c>
    </row>
    <row r="61" spans="1:10" ht="15.75">
      <c r="A61" s="21" t="s">
        <v>75</v>
      </c>
      <c r="B61" s="1"/>
      <c r="C61" s="13" t="s">
        <v>76</v>
      </c>
      <c r="D61" s="5"/>
      <c r="E61" s="232">
        <v>16073</v>
      </c>
      <c r="F61" s="114"/>
      <c r="G61" s="5"/>
      <c r="I61" s="5">
        <f t="shared" si="4"/>
        <v>16073</v>
      </c>
      <c r="J61" s="22">
        <f t="shared" si="1"/>
        <v>0.0009620991739340765</v>
      </c>
    </row>
    <row r="62" spans="1:10" ht="15.75">
      <c r="A62" s="21" t="s">
        <v>77</v>
      </c>
      <c r="B62" s="1"/>
      <c r="C62" s="13" t="s">
        <v>78</v>
      </c>
      <c r="D62" s="5"/>
      <c r="E62" s="232">
        <v>11761</v>
      </c>
      <c r="F62" s="114"/>
      <c r="G62" s="5"/>
      <c r="I62" s="5">
        <f t="shared" si="4"/>
        <v>11761</v>
      </c>
      <c r="J62" s="22">
        <f t="shared" si="1"/>
        <v>0.0007039910648067363</v>
      </c>
    </row>
    <row r="63" spans="1:10" ht="15.75">
      <c r="A63" s="21" t="s">
        <v>79</v>
      </c>
      <c r="B63" s="1"/>
      <c r="C63" s="13" t="s">
        <v>80</v>
      </c>
      <c r="D63" s="5"/>
      <c r="E63" s="232">
        <v>-565</v>
      </c>
      <c r="F63" s="114"/>
      <c r="G63" s="5"/>
      <c r="I63" s="5">
        <f t="shared" si="4"/>
        <v>-565</v>
      </c>
      <c r="J63" s="22">
        <f t="shared" si="1"/>
        <v>-3.381982413194508E-05</v>
      </c>
    </row>
    <row r="64" spans="1:10" ht="15.75">
      <c r="A64" s="21" t="s">
        <v>81</v>
      </c>
      <c r="B64" s="1"/>
      <c r="C64" s="13" t="s">
        <v>82</v>
      </c>
      <c r="D64" s="5"/>
      <c r="E64" s="232">
        <v>17959</v>
      </c>
      <c r="F64" s="114"/>
      <c r="G64" s="5"/>
      <c r="I64" s="5">
        <f t="shared" si="4"/>
        <v>17959</v>
      </c>
      <c r="J64" s="22">
        <f t="shared" si="1"/>
        <v>0.0010749915426293835</v>
      </c>
    </row>
    <row r="65" spans="1:10" ht="15.75">
      <c r="A65" s="21" t="s">
        <v>83</v>
      </c>
      <c r="B65" s="1"/>
      <c r="C65" s="13" t="s">
        <v>84</v>
      </c>
      <c r="D65" s="5"/>
      <c r="E65" s="232">
        <v>18509</v>
      </c>
      <c r="F65" s="114"/>
      <c r="G65" s="5"/>
      <c r="I65" s="5">
        <f t="shared" si="4"/>
        <v>18509</v>
      </c>
      <c r="J65" s="22">
        <f t="shared" si="1"/>
        <v>0.001107913495324197</v>
      </c>
    </row>
    <row r="66" spans="1:10" ht="17.25">
      <c r="A66" s="21" t="s">
        <v>85</v>
      </c>
      <c r="B66" s="1"/>
      <c r="C66" s="13" t="s">
        <v>86</v>
      </c>
      <c r="D66" s="46"/>
      <c r="E66" s="233">
        <v>731227</v>
      </c>
      <c r="F66" s="116"/>
      <c r="G66" s="46"/>
      <c r="I66" s="56">
        <f t="shared" si="4"/>
        <v>731227</v>
      </c>
      <c r="J66" s="40">
        <f t="shared" si="1"/>
        <v>0.04376985582394655</v>
      </c>
    </row>
    <row r="67" spans="1:10" ht="20.25">
      <c r="A67" s="28" t="s">
        <v>64</v>
      </c>
      <c r="B67" s="28"/>
      <c r="C67" s="16"/>
      <c r="D67" s="42"/>
      <c r="E67" s="42">
        <f>SUM(E56:E66)</f>
        <v>862723</v>
      </c>
      <c r="F67" s="114"/>
      <c r="G67" s="42">
        <f>SUM(G56:G66)</f>
        <v>0</v>
      </c>
      <c r="I67" s="42">
        <f>SUM(I56:I66)</f>
        <v>862723</v>
      </c>
      <c r="J67" s="63">
        <f t="shared" si="1"/>
        <v>0.051640955990414246</v>
      </c>
    </row>
    <row r="68" spans="1:10" ht="15.75">
      <c r="A68" s="1"/>
      <c r="B68" s="1"/>
      <c r="C68" s="16"/>
      <c r="D68" s="5"/>
      <c r="E68" s="5"/>
      <c r="F68" s="114"/>
      <c r="G68" s="5"/>
      <c r="I68" s="5"/>
      <c r="J68" s="22"/>
    </row>
    <row r="69" spans="1:10" ht="15.75">
      <c r="A69" s="28" t="s">
        <v>87</v>
      </c>
      <c r="B69" s="28"/>
      <c r="C69" s="16"/>
      <c r="D69" s="5"/>
      <c r="E69" s="5"/>
      <c r="F69" s="114"/>
      <c r="G69" s="5"/>
      <c r="I69" s="5"/>
      <c r="J69" s="22"/>
    </row>
    <row r="70" spans="1:10" ht="15.75">
      <c r="A70" s="21" t="s">
        <v>43</v>
      </c>
      <c r="B70" s="1"/>
      <c r="C70" s="13" t="s">
        <v>44</v>
      </c>
      <c r="D70" s="5"/>
      <c r="E70" s="232">
        <v>350249</v>
      </c>
      <c r="F70" s="114"/>
      <c r="G70" s="5"/>
      <c r="I70" s="5">
        <f>+G70+E70</f>
        <v>350249</v>
      </c>
      <c r="J70" s="22">
        <f t="shared" si="1"/>
        <v>0.0209652381989197</v>
      </c>
    </row>
    <row r="71" spans="1:10" ht="15.75">
      <c r="A71" s="21" t="s">
        <v>90</v>
      </c>
      <c r="B71" s="1"/>
      <c r="C71" s="13" t="s">
        <v>91</v>
      </c>
      <c r="D71" s="5"/>
      <c r="E71" s="232">
        <v>1893</v>
      </c>
      <c r="F71" s="114"/>
      <c r="G71" s="5"/>
      <c r="I71" s="5">
        <f aca="true" t="shared" si="5" ref="I71:I109">+G71+E71</f>
        <v>1893</v>
      </c>
      <c r="J71" s="22">
        <f t="shared" si="1"/>
        <v>0.0001133113753659682</v>
      </c>
    </row>
    <row r="72" spans="1:10" ht="15.75">
      <c r="A72" s="21" t="s">
        <v>45</v>
      </c>
      <c r="B72" s="1"/>
      <c r="C72" s="13" t="s">
        <v>46</v>
      </c>
      <c r="D72" s="5"/>
      <c r="E72" s="232">
        <v>43057</v>
      </c>
      <c r="F72" s="114"/>
      <c r="G72" s="5"/>
      <c r="I72" s="5">
        <f t="shared" si="5"/>
        <v>43057</v>
      </c>
      <c r="J72" s="22">
        <f t="shared" si="1"/>
        <v>0.00257731003123745</v>
      </c>
    </row>
    <row r="73" spans="1:10" ht="15.75">
      <c r="A73" s="21" t="s">
        <v>47</v>
      </c>
      <c r="B73" s="1"/>
      <c r="C73" s="13" t="s">
        <v>48</v>
      </c>
      <c r="D73" s="5"/>
      <c r="E73" s="232">
        <v>2929</v>
      </c>
      <c r="F73" s="114"/>
      <c r="G73" s="5"/>
      <c r="I73" s="5">
        <f t="shared" si="5"/>
        <v>2929</v>
      </c>
      <c r="J73" s="22">
        <f t="shared" si="1"/>
        <v>0.0001753243626238356</v>
      </c>
    </row>
    <row r="74" spans="1:10" ht="15.75">
      <c r="A74" s="21" t="s">
        <v>51</v>
      </c>
      <c r="B74" s="1"/>
      <c r="C74" s="13" t="s">
        <v>52</v>
      </c>
      <c r="D74" s="5"/>
      <c r="E74" s="232">
        <v>22374</v>
      </c>
      <c r="F74" s="114"/>
      <c r="G74" s="5"/>
      <c r="I74" s="5">
        <f t="shared" si="5"/>
        <v>22374</v>
      </c>
      <c r="J74" s="22">
        <f t="shared" si="1"/>
        <v>0.001339265035625025</v>
      </c>
    </row>
    <row r="75" spans="1:10" ht="15.75">
      <c r="A75" s="21" t="s">
        <v>53</v>
      </c>
      <c r="B75" s="1"/>
      <c r="C75" s="13" t="s">
        <v>54</v>
      </c>
      <c r="D75" s="5"/>
      <c r="E75" s="232">
        <v>52</v>
      </c>
      <c r="F75" s="114"/>
      <c r="G75" s="5"/>
      <c r="I75" s="5">
        <f t="shared" si="5"/>
        <v>52</v>
      </c>
      <c r="J75" s="22">
        <f t="shared" si="1"/>
        <v>3.112620982055122E-06</v>
      </c>
    </row>
    <row r="76" spans="1:10" ht="15.75">
      <c r="A76" s="21" t="s">
        <v>55</v>
      </c>
      <c r="B76" s="1"/>
      <c r="C76" s="13" t="s">
        <v>56</v>
      </c>
      <c r="D76" s="5"/>
      <c r="E76" s="232">
        <v>34080</v>
      </c>
      <c r="F76" s="114"/>
      <c r="G76" s="5"/>
      <c r="I76" s="5">
        <f t="shared" si="5"/>
        <v>34080</v>
      </c>
      <c r="J76" s="22">
        <f aca="true" t="shared" si="6" ref="J76:J139">+I76/$I$26</f>
        <v>0.00203996390516228</v>
      </c>
    </row>
    <row r="77" spans="1:10" ht="15.75">
      <c r="A77" s="21" t="s">
        <v>92</v>
      </c>
      <c r="B77" s="1"/>
      <c r="C77" s="13" t="s">
        <v>93</v>
      </c>
      <c r="D77" s="5"/>
      <c r="E77" s="232">
        <v>25928</v>
      </c>
      <c r="F77" s="114"/>
      <c r="G77" s="5"/>
      <c r="I77" s="5">
        <f t="shared" si="5"/>
        <v>25928</v>
      </c>
      <c r="J77" s="22">
        <f t="shared" si="6"/>
        <v>0.0015520007081293308</v>
      </c>
    </row>
    <row r="78" spans="1:10" ht="15.75">
      <c r="A78" s="21" t="s">
        <v>57</v>
      </c>
      <c r="B78" s="1"/>
      <c r="C78" s="13" t="s">
        <v>58</v>
      </c>
      <c r="D78" s="5"/>
      <c r="E78" s="232">
        <v>115</v>
      </c>
      <c r="F78" s="114"/>
      <c r="G78" s="5"/>
      <c r="I78" s="5">
        <f t="shared" si="5"/>
        <v>115</v>
      </c>
      <c r="J78" s="22">
        <f t="shared" si="6"/>
        <v>6.88368101800652E-06</v>
      </c>
    </row>
    <row r="79" spans="1:10" ht="15.75">
      <c r="A79" s="21" t="s">
        <v>59</v>
      </c>
      <c r="B79" s="1"/>
      <c r="C79" s="13" t="s">
        <v>60</v>
      </c>
      <c r="D79" s="5"/>
      <c r="E79" s="232">
        <v>4395</v>
      </c>
      <c r="F79" s="114"/>
      <c r="G79" s="5"/>
      <c r="I79" s="5">
        <f t="shared" si="5"/>
        <v>4395</v>
      </c>
      <c r="J79" s="22">
        <f t="shared" si="6"/>
        <v>0.0002630763310794666</v>
      </c>
    </row>
    <row r="80" spans="1:10" ht="15.75">
      <c r="A80" s="21" t="s">
        <v>61</v>
      </c>
      <c r="B80" s="1"/>
      <c r="C80" s="13" t="s">
        <v>62</v>
      </c>
      <c r="D80" s="5"/>
      <c r="E80" s="232">
        <v>266</v>
      </c>
      <c r="F80" s="114"/>
      <c r="G80" s="5"/>
      <c r="I80" s="5">
        <f t="shared" si="5"/>
        <v>266</v>
      </c>
      <c r="J80" s="22">
        <f t="shared" si="6"/>
        <v>1.5922253485128122E-05</v>
      </c>
    </row>
    <row r="81" spans="1:10" ht="15.75">
      <c r="A81" s="21" t="s">
        <v>94</v>
      </c>
      <c r="B81" s="1"/>
      <c r="C81" s="13" t="s">
        <v>95</v>
      </c>
      <c r="D81" s="5"/>
      <c r="E81" s="232">
        <v>91963</v>
      </c>
      <c r="F81" s="114"/>
      <c r="G81" s="5"/>
      <c r="I81" s="5">
        <f t="shared" si="5"/>
        <v>91963</v>
      </c>
      <c r="J81" s="22">
        <f t="shared" si="6"/>
        <v>0.005504730064860292</v>
      </c>
    </row>
    <row r="82" spans="1:10" ht="15.75">
      <c r="A82" s="21" t="s">
        <v>96</v>
      </c>
      <c r="B82" s="1"/>
      <c r="C82" s="13" t="s">
        <v>97</v>
      </c>
      <c r="D82" s="5"/>
      <c r="E82" s="232">
        <v>24902</v>
      </c>
      <c r="F82" s="114"/>
      <c r="G82" s="5"/>
      <c r="I82" s="5">
        <f t="shared" si="5"/>
        <v>24902</v>
      </c>
      <c r="J82" s="22">
        <f t="shared" si="6"/>
        <v>0.0014905863018295508</v>
      </c>
    </row>
    <row r="83" spans="1:10" ht="15.75">
      <c r="A83" s="21" t="s">
        <v>98</v>
      </c>
      <c r="B83" s="1"/>
      <c r="C83" s="13" t="s">
        <v>99</v>
      </c>
      <c r="D83" s="5"/>
      <c r="E83" s="232">
        <v>-620</v>
      </c>
      <c r="F83" s="114"/>
      <c r="G83" s="5"/>
      <c r="I83" s="5">
        <f t="shared" si="5"/>
        <v>-620</v>
      </c>
      <c r="J83" s="22">
        <f t="shared" si="6"/>
        <v>-3.7112019401426456E-05</v>
      </c>
    </row>
    <row r="84" spans="1:10" ht="15.75">
      <c r="A84" s="21" t="s">
        <v>100</v>
      </c>
      <c r="B84" s="1"/>
      <c r="C84" s="13" t="s">
        <v>101</v>
      </c>
      <c r="D84" s="5"/>
      <c r="E84" s="232">
        <v>8118</v>
      </c>
      <c r="F84" s="114"/>
      <c r="G84" s="5"/>
      <c r="I84" s="5">
        <f t="shared" si="5"/>
        <v>8118</v>
      </c>
      <c r="J84" s="22">
        <f t="shared" si="6"/>
        <v>0.0004859280217754515</v>
      </c>
    </row>
    <row r="85" spans="1:10" ht="15.75">
      <c r="A85" s="21" t="s">
        <v>102</v>
      </c>
      <c r="B85" s="1"/>
      <c r="C85" s="13" t="s">
        <v>103</v>
      </c>
      <c r="D85" s="5"/>
      <c r="E85" s="232">
        <v>324241</v>
      </c>
      <c r="F85" s="114"/>
      <c r="G85" s="5"/>
      <c r="I85" s="5">
        <f t="shared" si="5"/>
        <v>324241</v>
      </c>
      <c r="J85" s="22">
        <f t="shared" si="6"/>
        <v>0.019408448843125668</v>
      </c>
    </row>
    <row r="86" spans="1:10" ht="15.75">
      <c r="A86" s="21" t="s">
        <v>104</v>
      </c>
      <c r="B86" s="1"/>
      <c r="C86" s="13" t="s">
        <v>105</v>
      </c>
      <c r="D86" s="5"/>
      <c r="E86" s="232">
        <v>37291</v>
      </c>
      <c r="F86" s="114"/>
      <c r="G86" s="5"/>
      <c r="I86" s="5">
        <f t="shared" si="5"/>
        <v>37291</v>
      </c>
      <c r="J86" s="22">
        <f t="shared" si="6"/>
        <v>0.0022321682508041835</v>
      </c>
    </row>
    <row r="87" spans="1:10" ht="15.75">
      <c r="A87" s="21" t="s">
        <v>106</v>
      </c>
      <c r="B87" s="1"/>
      <c r="C87" s="13" t="s">
        <v>107</v>
      </c>
      <c r="D87" s="5"/>
      <c r="E87" s="232">
        <v>4471</v>
      </c>
      <c r="F87" s="114"/>
      <c r="G87" s="5"/>
      <c r="I87" s="5">
        <f t="shared" si="5"/>
        <v>4471</v>
      </c>
      <c r="J87" s="22">
        <f t="shared" si="6"/>
        <v>0.0002676255463609317</v>
      </c>
    </row>
    <row r="88" spans="1:10" ht="15.75">
      <c r="A88" s="21" t="s">
        <v>108</v>
      </c>
      <c r="B88" s="1"/>
      <c r="C88" s="13" t="s">
        <v>109</v>
      </c>
      <c r="D88" s="5"/>
      <c r="E88" s="232">
        <v>12752</v>
      </c>
      <c r="F88" s="114"/>
      <c r="G88" s="5"/>
      <c r="I88" s="5">
        <f t="shared" si="5"/>
        <v>12752</v>
      </c>
      <c r="J88" s="22">
        <f t="shared" si="6"/>
        <v>0.0007633104377532099</v>
      </c>
    </row>
    <row r="89" spans="1:10" ht="15.75">
      <c r="A89" s="21" t="s">
        <v>110</v>
      </c>
      <c r="B89" s="1"/>
      <c r="C89" s="13" t="s">
        <v>111</v>
      </c>
      <c r="D89" s="5"/>
      <c r="E89" s="232">
        <v>40361</v>
      </c>
      <c r="F89" s="114"/>
      <c r="G89" s="5"/>
      <c r="I89" s="5">
        <f t="shared" si="5"/>
        <v>40361</v>
      </c>
      <c r="J89" s="22">
        <f t="shared" si="6"/>
        <v>0.0024159326049370536</v>
      </c>
    </row>
    <row r="90" spans="1:10" ht="15.75">
      <c r="A90" s="21" t="s">
        <v>112</v>
      </c>
      <c r="B90" s="1"/>
      <c r="C90" s="13" t="s">
        <v>113</v>
      </c>
      <c r="D90" s="5"/>
      <c r="E90" s="232">
        <v>493837</v>
      </c>
      <c r="F90" s="114"/>
      <c r="G90" s="5"/>
      <c r="I90" s="5">
        <f t="shared" si="5"/>
        <v>493837</v>
      </c>
      <c r="J90" s="22">
        <f t="shared" si="6"/>
        <v>0.029560142459906832</v>
      </c>
    </row>
    <row r="91" spans="1:10" ht="15.75">
      <c r="A91" s="21" t="s">
        <v>114</v>
      </c>
      <c r="B91" s="1"/>
      <c r="C91" s="13" t="s">
        <v>115</v>
      </c>
      <c r="D91" s="5"/>
      <c r="E91" s="232">
        <v>8625</v>
      </c>
      <c r="F91" s="114"/>
      <c r="G91" s="5"/>
      <c r="I91" s="5">
        <f t="shared" si="5"/>
        <v>8625</v>
      </c>
      <c r="J91" s="22">
        <f t="shared" si="6"/>
        <v>0.000516276076350489</v>
      </c>
    </row>
    <row r="92" spans="1:10" ht="15.75">
      <c r="A92" s="21" t="s">
        <v>116</v>
      </c>
      <c r="B92" s="1"/>
      <c r="C92" s="13" t="s">
        <v>117</v>
      </c>
      <c r="D92" s="5"/>
      <c r="E92" s="232">
        <v>16034</v>
      </c>
      <c r="F92" s="114"/>
      <c r="G92" s="5"/>
      <c r="I92" s="5">
        <f t="shared" si="5"/>
        <v>16034</v>
      </c>
      <c r="J92" s="22">
        <f t="shared" si="6"/>
        <v>0.0009597647081975351</v>
      </c>
    </row>
    <row r="93" spans="1:10" ht="15.75">
      <c r="A93" s="21" t="s">
        <v>118</v>
      </c>
      <c r="B93" s="1"/>
      <c r="C93" s="13" t="s">
        <v>119</v>
      </c>
      <c r="D93" s="5"/>
      <c r="E93" s="232">
        <v>2701</v>
      </c>
      <c r="F93" s="114"/>
      <c r="G93" s="5"/>
      <c r="I93" s="5">
        <f t="shared" si="5"/>
        <v>2701</v>
      </c>
      <c r="J93" s="22">
        <f t="shared" si="6"/>
        <v>0.00016167671677944008</v>
      </c>
    </row>
    <row r="94" spans="1:10" ht="15.75">
      <c r="A94" s="21" t="s">
        <v>120</v>
      </c>
      <c r="B94" s="1"/>
      <c r="C94" s="13" t="s">
        <v>121</v>
      </c>
      <c r="D94" s="5"/>
      <c r="E94" s="232">
        <v>-5753</v>
      </c>
      <c r="F94" s="114"/>
      <c r="G94" s="5"/>
      <c r="I94" s="5">
        <f t="shared" si="5"/>
        <v>-5753</v>
      </c>
      <c r="J94" s="22">
        <f t="shared" si="6"/>
        <v>-0.00034436362518775224</v>
      </c>
    </row>
    <row r="95" spans="1:10" ht="15.75">
      <c r="A95" s="21" t="s">
        <v>122</v>
      </c>
      <c r="B95" s="1"/>
      <c r="C95" s="13" t="s">
        <v>123</v>
      </c>
      <c r="D95" s="5"/>
      <c r="E95" s="232">
        <v>1097716</v>
      </c>
      <c r="F95" s="114"/>
      <c r="G95" s="5"/>
      <c r="I95" s="5">
        <f t="shared" si="5"/>
        <v>1097716</v>
      </c>
      <c r="J95" s="22">
        <f t="shared" si="6"/>
        <v>0.06570718949880039</v>
      </c>
    </row>
    <row r="96" spans="1:10" ht="15.75">
      <c r="A96" s="21" t="s">
        <v>124</v>
      </c>
      <c r="B96" s="1"/>
      <c r="C96" s="13" t="s">
        <v>125</v>
      </c>
      <c r="D96" s="5"/>
      <c r="E96" s="232">
        <v>-10663</v>
      </c>
      <c r="F96" s="114"/>
      <c r="G96" s="5"/>
      <c r="I96" s="5">
        <f t="shared" si="5"/>
        <v>-10663</v>
      </c>
      <c r="J96" s="22">
        <f t="shared" si="6"/>
        <v>-0.0006382668756087262</v>
      </c>
    </row>
    <row r="97" spans="1:10" ht="15.75">
      <c r="A97" s="21" t="s">
        <v>69</v>
      </c>
      <c r="B97" s="1"/>
      <c r="C97" s="13" t="s">
        <v>70</v>
      </c>
      <c r="D97" s="5"/>
      <c r="E97" s="232">
        <v>1041</v>
      </c>
      <c r="F97" s="114"/>
      <c r="G97" s="5"/>
      <c r="I97" s="5">
        <f t="shared" si="5"/>
        <v>1041</v>
      </c>
      <c r="J97" s="22">
        <f t="shared" si="6"/>
        <v>6.23122777369112E-05</v>
      </c>
    </row>
    <row r="98" spans="1:10" ht="15.75">
      <c r="A98" s="52" t="s">
        <v>126</v>
      </c>
      <c r="B98" s="1"/>
      <c r="C98" s="13">
        <v>568000</v>
      </c>
      <c r="D98" s="5"/>
      <c r="E98" s="232">
        <v>4272</v>
      </c>
      <c r="F98" s="114"/>
      <c r="G98" s="5"/>
      <c r="I98" s="5">
        <f t="shared" si="5"/>
        <v>4272</v>
      </c>
      <c r="J98" s="22">
        <f t="shared" si="6"/>
        <v>0.00025571378529499003</v>
      </c>
    </row>
    <row r="99" spans="1:10" ht="15.75">
      <c r="A99" s="21" t="s">
        <v>73</v>
      </c>
      <c r="B99" s="1"/>
      <c r="C99" s="13" t="s">
        <v>74</v>
      </c>
      <c r="D99" s="5"/>
      <c r="E99" s="232">
        <v>1239</v>
      </c>
      <c r="F99" s="114"/>
      <c r="G99" s="5"/>
      <c r="I99" s="5">
        <f t="shared" si="5"/>
        <v>1239</v>
      </c>
      <c r="J99" s="22">
        <f t="shared" si="6"/>
        <v>7.416418070704415E-05</v>
      </c>
    </row>
    <row r="100" spans="1:10" ht="15.75">
      <c r="A100" s="21" t="s">
        <v>75</v>
      </c>
      <c r="B100" s="1"/>
      <c r="C100" s="13" t="s">
        <v>76</v>
      </c>
      <c r="D100" s="5"/>
      <c r="E100" s="232">
        <v>2759</v>
      </c>
      <c r="F100" s="114"/>
      <c r="G100" s="5"/>
      <c r="I100" s="5">
        <f t="shared" si="5"/>
        <v>2759</v>
      </c>
      <c r="J100" s="22">
        <f t="shared" si="6"/>
        <v>0.0001651484863363477</v>
      </c>
    </row>
    <row r="101" spans="1:10" ht="15.75">
      <c r="A101" s="21" t="s">
        <v>77</v>
      </c>
      <c r="B101" s="1"/>
      <c r="C101" s="13" t="s">
        <v>78</v>
      </c>
      <c r="D101" s="5"/>
      <c r="E101" s="232">
        <v>2019</v>
      </c>
      <c r="F101" s="114"/>
      <c r="G101" s="5"/>
      <c r="I101" s="5">
        <f t="shared" si="5"/>
        <v>2019</v>
      </c>
      <c r="J101" s="22">
        <f t="shared" si="6"/>
        <v>0.00012085349543787099</v>
      </c>
    </row>
    <row r="102" spans="1:10" ht="15.75">
      <c r="A102" s="21" t="s">
        <v>83</v>
      </c>
      <c r="B102" s="1"/>
      <c r="C102" s="13" t="s">
        <v>84</v>
      </c>
      <c r="D102" s="5"/>
      <c r="E102" s="232">
        <v>2734</v>
      </c>
      <c r="F102" s="114"/>
      <c r="G102" s="5"/>
      <c r="I102" s="5">
        <f t="shared" si="5"/>
        <v>2734</v>
      </c>
      <c r="J102" s="22">
        <f t="shared" si="6"/>
        <v>0.0001636520339411289</v>
      </c>
    </row>
    <row r="103" spans="1:10" ht="15.75">
      <c r="A103" s="21" t="s">
        <v>127</v>
      </c>
      <c r="B103" s="1"/>
      <c r="C103" s="13" t="s">
        <v>128</v>
      </c>
      <c r="D103" s="5"/>
      <c r="E103" s="232">
        <v>-15529</v>
      </c>
      <c r="F103" s="114"/>
      <c r="G103" s="5"/>
      <c r="I103" s="5">
        <f t="shared" si="5"/>
        <v>-15529</v>
      </c>
      <c r="J103" s="22">
        <f t="shared" si="6"/>
        <v>-0.0009295363698141151</v>
      </c>
    </row>
    <row r="104" spans="1:10" ht="15.75">
      <c r="A104" s="21" t="s">
        <v>129</v>
      </c>
      <c r="B104" s="1"/>
      <c r="C104" s="13" t="s">
        <v>130</v>
      </c>
      <c r="D104" s="5"/>
      <c r="E104" s="232">
        <v>146</v>
      </c>
      <c r="F104" s="114"/>
      <c r="G104" s="5"/>
      <c r="I104" s="5">
        <f t="shared" si="5"/>
        <v>146</v>
      </c>
      <c r="J104" s="22">
        <f t="shared" si="6"/>
        <v>8.739281988077842E-06</v>
      </c>
    </row>
    <row r="105" spans="1:10" ht="15.75">
      <c r="A105" s="21" t="s">
        <v>131</v>
      </c>
      <c r="B105" s="1"/>
      <c r="C105" s="13" t="s">
        <v>132</v>
      </c>
      <c r="D105" s="5"/>
      <c r="E105" s="232">
        <v>269</v>
      </c>
      <c r="F105" s="114"/>
      <c r="G105" s="5"/>
      <c r="I105" s="5">
        <f t="shared" si="5"/>
        <v>269</v>
      </c>
      <c r="J105" s="22">
        <f t="shared" si="6"/>
        <v>1.610182777255438E-05</v>
      </c>
    </row>
    <row r="106" spans="1:10" ht="15.75">
      <c r="A106" s="1"/>
      <c r="B106" s="1"/>
      <c r="C106" s="19"/>
      <c r="D106" s="5"/>
      <c r="E106" s="232"/>
      <c r="F106" s="114"/>
      <c r="G106" s="5"/>
      <c r="I106" s="5">
        <f t="shared" si="5"/>
        <v>0</v>
      </c>
      <c r="J106" s="22">
        <f t="shared" si="6"/>
        <v>0</v>
      </c>
    </row>
    <row r="107" spans="1:10" ht="15.75">
      <c r="A107" s="27" t="s">
        <v>133</v>
      </c>
      <c r="B107" s="27"/>
      <c r="C107" s="19"/>
      <c r="D107" s="5"/>
      <c r="E107" s="232">
        <v>-487125</v>
      </c>
      <c r="F107" s="114"/>
      <c r="G107" s="5"/>
      <c r="I107" s="5">
        <f t="shared" si="5"/>
        <v>-487125</v>
      </c>
      <c r="J107" s="22">
        <f t="shared" si="6"/>
        <v>-0.029158374920838486</v>
      </c>
    </row>
    <row r="108" spans="1:10" ht="15.75">
      <c r="A108" s="1"/>
      <c r="B108" s="1"/>
      <c r="C108" s="19"/>
      <c r="D108" s="5"/>
      <c r="E108" s="232"/>
      <c r="F108" s="114"/>
      <c r="G108" s="5"/>
      <c r="I108" s="5">
        <f t="shared" si="5"/>
        <v>0</v>
      </c>
      <c r="J108" s="22">
        <f t="shared" si="6"/>
        <v>0</v>
      </c>
    </row>
    <row r="109" spans="1:10" ht="17.25">
      <c r="A109" s="21" t="s">
        <v>134</v>
      </c>
      <c r="B109" s="1"/>
      <c r="C109" s="13" t="s">
        <v>135</v>
      </c>
      <c r="D109" s="46"/>
      <c r="E109" s="233">
        <v>64</v>
      </c>
      <c r="F109" s="114"/>
      <c r="G109" s="46"/>
      <c r="I109" s="56">
        <f t="shared" si="5"/>
        <v>64</v>
      </c>
      <c r="J109" s="40">
        <f t="shared" si="6"/>
        <v>3.83091813176015E-06</v>
      </c>
    </row>
    <row r="110" spans="1:10" ht="20.25">
      <c r="A110" s="28" t="s">
        <v>136</v>
      </c>
      <c r="B110" s="25"/>
      <c r="C110" s="16"/>
      <c r="D110" s="42"/>
      <c r="E110" s="42">
        <f>SUM(E70:E109)</f>
        <v>2143203</v>
      </c>
      <c r="F110" s="114"/>
      <c r="G110" s="42">
        <f>SUM(G70:G109)</f>
        <v>0</v>
      </c>
      <c r="I110" s="42">
        <f>SUM(I70:I109)</f>
        <v>2143203</v>
      </c>
      <c r="J110" s="63">
        <f t="shared" si="6"/>
        <v>0.12828805051160544</v>
      </c>
    </row>
    <row r="111" spans="1:10" ht="15.75">
      <c r="A111" s="28"/>
      <c r="B111" s="25"/>
      <c r="C111" s="16"/>
      <c r="D111" s="26"/>
      <c r="E111" s="26"/>
      <c r="F111" s="114"/>
      <c r="G111" s="26"/>
      <c r="I111" s="26"/>
      <c r="J111" s="63"/>
    </row>
    <row r="112" spans="1:10" ht="20.25">
      <c r="A112" s="24" t="s">
        <v>63</v>
      </c>
      <c r="B112" s="24"/>
      <c r="C112" s="17"/>
      <c r="D112" s="42"/>
      <c r="E112" s="42">
        <f>+E110+E67</f>
        <v>3005926</v>
      </c>
      <c r="F112" s="14"/>
      <c r="G112" s="42">
        <f>+G110+G67</f>
        <v>0</v>
      </c>
      <c r="I112" s="42">
        <f>+I110+I67</f>
        <v>3005926</v>
      </c>
      <c r="J112" s="63">
        <f t="shared" si="6"/>
        <v>0.1799290065020197</v>
      </c>
    </row>
    <row r="113" spans="1:10" ht="15.75">
      <c r="A113" s="9"/>
      <c r="B113" s="9"/>
      <c r="C113" s="16"/>
      <c r="D113" s="5"/>
      <c r="E113" s="5"/>
      <c r="F113" s="114"/>
      <c r="G113" s="5"/>
      <c r="I113" s="5"/>
      <c r="J113" s="22"/>
    </row>
    <row r="114" spans="1:10" ht="15.75">
      <c r="A114" s="24" t="s">
        <v>137</v>
      </c>
      <c r="B114" s="24"/>
      <c r="C114" s="16"/>
      <c r="D114" s="5"/>
      <c r="E114" s="5"/>
      <c r="F114" s="114"/>
      <c r="G114" s="5"/>
      <c r="I114" s="5"/>
      <c r="J114" s="22"/>
    </row>
    <row r="115" spans="1:10" ht="15.75">
      <c r="A115" s="28" t="s">
        <v>138</v>
      </c>
      <c r="B115" s="28"/>
      <c r="C115" s="16"/>
      <c r="D115" s="5"/>
      <c r="E115" s="5"/>
      <c r="F115" s="114"/>
      <c r="G115" s="5"/>
      <c r="I115" s="5"/>
      <c r="J115" s="22"/>
    </row>
    <row r="116" spans="1:10" ht="15.75">
      <c r="A116" s="21" t="s">
        <v>139</v>
      </c>
      <c r="B116" s="1"/>
      <c r="C116" s="13" t="s">
        <v>140</v>
      </c>
      <c r="D116" s="5"/>
      <c r="E116" s="232">
        <v>22964</v>
      </c>
      <c r="F116" s="114"/>
      <c r="G116" s="5"/>
      <c r="I116" s="5">
        <f>+G116+E116</f>
        <v>22964</v>
      </c>
      <c r="J116" s="22">
        <f t="shared" si="6"/>
        <v>0.0013745813121521888</v>
      </c>
    </row>
    <row r="117" spans="1:10" ht="17.25">
      <c r="A117" s="21" t="s">
        <v>141</v>
      </c>
      <c r="B117" s="31"/>
      <c r="C117" s="19"/>
      <c r="D117" s="46"/>
      <c r="E117" s="233">
        <v>291941</v>
      </c>
      <c r="F117" s="116"/>
      <c r="G117" s="46"/>
      <c r="I117" s="46">
        <f>+G117+E117</f>
        <v>291941</v>
      </c>
      <c r="J117" s="40">
        <f t="shared" si="6"/>
        <v>0.017475032348502968</v>
      </c>
    </row>
    <row r="118" spans="1:10" ht="20.25">
      <c r="A118" s="28" t="s">
        <v>138</v>
      </c>
      <c r="B118" s="28"/>
      <c r="C118" s="16"/>
      <c r="D118" s="42"/>
      <c r="E118" s="42">
        <f>SUM(E116:E117)</f>
        <v>314905</v>
      </c>
      <c r="F118" s="114"/>
      <c r="G118" s="42">
        <f>SUM(G116:G117)</f>
        <v>0</v>
      </c>
      <c r="I118" s="42">
        <f>SUM(I116:I117)</f>
        <v>314905</v>
      </c>
      <c r="J118" s="63">
        <f t="shared" si="6"/>
        <v>0.018849613660655157</v>
      </c>
    </row>
    <row r="119" spans="1:10" ht="15.75">
      <c r="A119" s="9"/>
      <c r="B119" s="9"/>
      <c r="C119" s="16"/>
      <c r="D119" s="5"/>
      <c r="E119" s="5"/>
      <c r="F119" s="114"/>
      <c r="G119" s="5"/>
      <c r="I119" s="5"/>
      <c r="J119" s="22"/>
    </row>
    <row r="120" spans="1:10" ht="15.75">
      <c r="A120" s="28" t="s">
        <v>142</v>
      </c>
      <c r="B120" s="28"/>
      <c r="C120" s="16"/>
      <c r="D120" s="5"/>
      <c r="E120" s="5"/>
      <c r="F120" s="114"/>
      <c r="G120" s="5"/>
      <c r="I120" s="5"/>
      <c r="J120" s="22"/>
    </row>
    <row r="121" spans="1:10" ht="15.75">
      <c r="A121" s="21" t="s">
        <v>43</v>
      </c>
      <c r="B121" s="1"/>
      <c r="C121" s="13" t="s">
        <v>44</v>
      </c>
      <c r="D121" s="5"/>
      <c r="E121" s="232">
        <v>209917</v>
      </c>
      <c r="F121" s="114"/>
      <c r="G121" s="5"/>
      <c r="I121" s="5">
        <f>+G121+E121</f>
        <v>209917</v>
      </c>
      <c r="J121" s="22">
        <f t="shared" si="6"/>
        <v>0.012565231897885866</v>
      </c>
    </row>
    <row r="122" spans="1:10" ht="15.75">
      <c r="A122" s="21" t="s">
        <v>45</v>
      </c>
      <c r="B122" s="1"/>
      <c r="C122" s="13" t="s">
        <v>46</v>
      </c>
      <c r="D122" s="5"/>
      <c r="E122" s="232">
        <v>40934</v>
      </c>
      <c r="F122" s="114"/>
      <c r="G122" s="5"/>
      <c r="I122" s="5">
        <f aca="true" t="shared" si="7" ref="I122:I154">+G122+E122</f>
        <v>40934</v>
      </c>
      <c r="J122" s="22">
        <f t="shared" si="6"/>
        <v>0.0024502312938354683</v>
      </c>
    </row>
    <row r="123" spans="1:10" ht="15.75">
      <c r="A123" s="21" t="s">
        <v>47</v>
      </c>
      <c r="B123" s="1"/>
      <c r="C123" s="13" t="s">
        <v>48</v>
      </c>
      <c r="D123" s="5"/>
      <c r="E123" s="232">
        <v>1949</v>
      </c>
      <c r="F123" s="114"/>
      <c r="G123" s="5"/>
      <c r="I123" s="5">
        <f t="shared" si="7"/>
        <v>1949</v>
      </c>
      <c r="J123" s="22">
        <f t="shared" si="6"/>
        <v>0.00011666342873125832</v>
      </c>
    </row>
    <row r="124" spans="1:10" ht="15.75">
      <c r="A124" s="21" t="s">
        <v>49</v>
      </c>
      <c r="B124" s="1"/>
      <c r="C124" s="13" t="s">
        <v>50</v>
      </c>
      <c r="D124" s="5"/>
      <c r="E124" s="232">
        <v>2152</v>
      </c>
      <c r="F124" s="114"/>
      <c r="G124" s="5"/>
      <c r="I124" s="5">
        <f t="shared" si="7"/>
        <v>2152</v>
      </c>
      <c r="J124" s="22">
        <f t="shared" si="6"/>
        <v>0.00012881462218043504</v>
      </c>
    </row>
    <row r="125" spans="1:10" ht="15.75">
      <c r="A125" s="21" t="s">
        <v>51</v>
      </c>
      <c r="B125" s="1"/>
      <c r="C125" s="13" t="s">
        <v>52</v>
      </c>
      <c r="D125" s="5"/>
      <c r="E125" s="232">
        <v>3317</v>
      </c>
      <c r="F125" s="114"/>
      <c r="G125" s="5"/>
      <c r="I125" s="5">
        <f t="shared" si="7"/>
        <v>3317</v>
      </c>
      <c r="J125" s="22">
        <f t="shared" si="6"/>
        <v>0.00019854930379763151</v>
      </c>
    </row>
    <row r="126" spans="1:10" ht="15.75">
      <c r="A126" s="21" t="s">
        <v>55</v>
      </c>
      <c r="B126" s="1"/>
      <c r="C126" s="13" t="s">
        <v>56</v>
      </c>
      <c r="D126" s="5"/>
      <c r="E126" s="232">
        <v>19518</v>
      </c>
      <c r="F126" s="114"/>
      <c r="G126" s="5"/>
      <c r="I126" s="5">
        <f t="shared" si="7"/>
        <v>19518</v>
      </c>
      <c r="J126" s="22">
        <f t="shared" si="6"/>
        <v>0.0011683103139952284</v>
      </c>
    </row>
    <row r="127" spans="1:10" ht="15.75">
      <c r="A127" s="21" t="s">
        <v>92</v>
      </c>
      <c r="B127" s="1"/>
      <c r="C127" s="13" t="s">
        <v>93</v>
      </c>
      <c r="D127" s="5"/>
      <c r="E127" s="232">
        <v>2211</v>
      </c>
      <c r="F127" s="114"/>
      <c r="G127" s="5"/>
      <c r="I127" s="5">
        <f t="shared" si="7"/>
        <v>2211</v>
      </c>
      <c r="J127" s="22">
        <f t="shared" si="6"/>
        <v>0.00013234624983315144</v>
      </c>
    </row>
    <row r="128" spans="1:10" ht="15.75">
      <c r="A128" s="21" t="s">
        <v>59</v>
      </c>
      <c r="B128" s="1"/>
      <c r="C128" s="13" t="s">
        <v>60</v>
      </c>
      <c r="D128" s="5"/>
      <c r="E128" s="232">
        <v>692</v>
      </c>
      <c r="F128" s="114"/>
      <c r="G128" s="5"/>
      <c r="I128" s="5">
        <f t="shared" si="7"/>
        <v>692</v>
      </c>
      <c r="J128" s="22">
        <f t="shared" si="6"/>
        <v>4.1421802299656624E-05</v>
      </c>
    </row>
    <row r="129" spans="1:10" ht="15.75">
      <c r="A129" s="21" t="s">
        <v>61</v>
      </c>
      <c r="B129" s="1"/>
      <c r="C129" s="13" t="s">
        <v>62</v>
      </c>
      <c r="D129" s="5"/>
      <c r="E129" s="232">
        <v>364</v>
      </c>
      <c r="F129" s="114"/>
      <c r="G129" s="5"/>
      <c r="I129" s="5">
        <f t="shared" si="7"/>
        <v>364</v>
      </c>
      <c r="J129" s="22">
        <f t="shared" si="6"/>
        <v>2.1788346874385852E-05</v>
      </c>
    </row>
    <row r="130" spans="1:10" ht="15.75">
      <c r="A130" s="21" t="s">
        <v>104</v>
      </c>
      <c r="B130" s="1"/>
      <c r="C130" s="13" t="s">
        <v>105</v>
      </c>
      <c r="D130" s="5"/>
      <c r="E130" s="232">
        <v>20192</v>
      </c>
      <c r="F130" s="114"/>
      <c r="G130" s="5"/>
      <c r="I130" s="5">
        <f t="shared" si="7"/>
        <v>20192</v>
      </c>
      <c r="J130" s="22">
        <f t="shared" si="6"/>
        <v>0.0012086546705703273</v>
      </c>
    </row>
    <row r="131" spans="1:10" ht="15.75">
      <c r="A131" s="21" t="s">
        <v>106</v>
      </c>
      <c r="B131" s="1"/>
      <c r="C131" s="13" t="s">
        <v>107</v>
      </c>
      <c r="D131" s="5"/>
      <c r="E131" s="232">
        <v>3441</v>
      </c>
      <c r="F131" s="114"/>
      <c r="G131" s="5"/>
      <c r="I131" s="5">
        <f t="shared" si="7"/>
        <v>3441</v>
      </c>
      <c r="J131" s="22">
        <f t="shared" si="6"/>
        <v>0.0002059717076779168</v>
      </c>
    </row>
    <row r="132" spans="1:10" ht="15.75">
      <c r="A132" s="21" t="s">
        <v>112</v>
      </c>
      <c r="B132" s="1"/>
      <c r="C132" s="13" t="s">
        <v>113</v>
      </c>
      <c r="D132" s="5"/>
      <c r="E132" s="232">
        <v>382</v>
      </c>
      <c r="F132" s="114"/>
      <c r="G132" s="5"/>
      <c r="I132" s="5">
        <f t="shared" si="7"/>
        <v>382</v>
      </c>
      <c r="J132" s="22">
        <f t="shared" si="6"/>
        <v>2.2865792598943396E-05</v>
      </c>
    </row>
    <row r="133" spans="1:10" ht="15.75">
      <c r="A133" s="21" t="s">
        <v>114</v>
      </c>
      <c r="B133" s="1"/>
      <c r="C133" s="13" t="s">
        <v>115</v>
      </c>
      <c r="D133" s="5"/>
      <c r="E133" s="232">
        <v>678</v>
      </c>
      <c r="F133" s="114"/>
      <c r="G133" s="5"/>
      <c r="I133" s="5">
        <f t="shared" si="7"/>
        <v>678</v>
      </c>
      <c r="J133" s="22">
        <f t="shared" si="6"/>
        <v>4.058378895833409E-05</v>
      </c>
    </row>
    <row r="134" spans="1:10" ht="15.75">
      <c r="A134" s="21" t="s">
        <v>143</v>
      </c>
      <c r="B134" s="1"/>
      <c r="C134" s="13" t="s">
        <v>144</v>
      </c>
      <c r="D134" s="5"/>
      <c r="E134" s="232">
        <v>2834</v>
      </c>
      <c r="F134" s="114"/>
      <c r="G134" s="5"/>
      <c r="I134" s="5">
        <f t="shared" si="7"/>
        <v>2834</v>
      </c>
      <c r="J134" s="22">
        <f t="shared" si="6"/>
        <v>0.00016963784352200413</v>
      </c>
    </row>
    <row r="135" spans="1:10" ht="15.75">
      <c r="A135" s="21" t="s">
        <v>145</v>
      </c>
      <c r="B135" s="1"/>
      <c r="C135" s="13" t="s">
        <v>146</v>
      </c>
      <c r="D135" s="5"/>
      <c r="E135" s="232">
        <v>2410</v>
      </c>
      <c r="F135" s="114"/>
      <c r="G135" s="5"/>
      <c r="I135" s="5">
        <f t="shared" si="7"/>
        <v>2410</v>
      </c>
      <c r="J135" s="22">
        <f t="shared" si="6"/>
        <v>0.00014425801089909315</v>
      </c>
    </row>
    <row r="136" spans="1:10" ht="15.75">
      <c r="A136" s="21" t="s">
        <v>147</v>
      </c>
      <c r="B136" s="1"/>
      <c r="C136" s="13" t="s">
        <v>148</v>
      </c>
      <c r="D136" s="5"/>
      <c r="E136" s="232">
        <v>1400</v>
      </c>
      <c r="F136" s="114"/>
      <c r="G136" s="5"/>
      <c r="I136" s="5">
        <f t="shared" si="7"/>
        <v>1400</v>
      </c>
      <c r="J136" s="22">
        <f t="shared" si="6"/>
        <v>8.380133413225328E-05</v>
      </c>
    </row>
    <row r="137" spans="1:10" ht="15.75">
      <c r="A137" s="21" t="s">
        <v>149</v>
      </c>
      <c r="B137" s="1"/>
      <c r="C137" s="13" t="s">
        <v>150</v>
      </c>
      <c r="D137" s="5"/>
      <c r="E137" s="232">
        <v>21015</v>
      </c>
      <c r="F137" s="114"/>
      <c r="G137" s="5"/>
      <c r="I137" s="5">
        <f t="shared" si="7"/>
        <v>21015</v>
      </c>
      <c r="J137" s="22">
        <f t="shared" si="6"/>
        <v>0.0012579178834209305</v>
      </c>
    </row>
    <row r="138" spans="1:10" ht="15.75">
      <c r="A138" s="21" t="s">
        <v>151</v>
      </c>
      <c r="B138" s="1"/>
      <c r="C138" s="13" t="s">
        <v>152</v>
      </c>
      <c r="D138" s="5"/>
      <c r="E138" s="232">
        <v>17630</v>
      </c>
      <c r="F138" s="114"/>
      <c r="G138" s="5"/>
      <c r="I138" s="5">
        <f t="shared" si="7"/>
        <v>17630</v>
      </c>
      <c r="J138" s="22">
        <f t="shared" si="6"/>
        <v>0.0010552982291083038</v>
      </c>
    </row>
    <row r="139" spans="1:10" ht="15.75">
      <c r="A139" s="21" t="s">
        <v>153</v>
      </c>
      <c r="B139" s="1"/>
      <c r="C139" s="13" t="s">
        <v>154</v>
      </c>
      <c r="D139" s="5"/>
      <c r="E139" s="232">
        <v>324</v>
      </c>
      <c r="F139" s="114"/>
      <c r="G139" s="5"/>
      <c r="I139" s="5">
        <f t="shared" si="7"/>
        <v>324</v>
      </c>
      <c r="J139" s="22">
        <f t="shared" si="6"/>
        <v>1.939402304203576E-05</v>
      </c>
    </row>
    <row r="140" spans="1:10" ht="15.75">
      <c r="A140" s="21" t="s">
        <v>155</v>
      </c>
      <c r="B140" s="1"/>
      <c r="C140" s="13" t="s">
        <v>156</v>
      </c>
      <c r="D140" s="5"/>
      <c r="E140" s="232">
        <v>4126</v>
      </c>
      <c r="F140" s="114"/>
      <c r="G140" s="5"/>
      <c r="I140" s="5">
        <f t="shared" si="7"/>
        <v>4126</v>
      </c>
      <c r="J140" s="22">
        <f aca="true" t="shared" si="8" ref="J140:J203">+I140/$I$26</f>
        <v>0.00024697450330691216</v>
      </c>
    </row>
    <row r="141" spans="1:10" ht="15.75">
      <c r="A141" s="21" t="s">
        <v>157</v>
      </c>
      <c r="B141" s="1"/>
      <c r="C141" s="13" t="s">
        <v>158</v>
      </c>
      <c r="D141" s="5"/>
      <c r="E141" s="232">
        <v>2430</v>
      </c>
      <c r="F141" s="114"/>
      <c r="G141" s="5"/>
      <c r="I141" s="5">
        <f t="shared" si="7"/>
        <v>2430</v>
      </c>
      <c r="J141" s="22">
        <f t="shared" si="8"/>
        <v>0.0001454551728152682</v>
      </c>
    </row>
    <row r="142" spans="1:10" ht="15.75">
      <c r="A142" s="21" t="s">
        <v>67</v>
      </c>
      <c r="B142" s="1"/>
      <c r="C142" s="13" t="s">
        <v>68</v>
      </c>
      <c r="D142" s="5"/>
      <c r="E142" s="232">
        <v>11</v>
      </c>
      <c r="F142" s="114"/>
      <c r="G142" s="5"/>
      <c r="I142" s="5">
        <f t="shared" si="7"/>
        <v>11</v>
      </c>
      <c r="J142" s="22">
        <f t="shared" si="8"/>
        <v>6.584390538962758E-07</v>
      </c>
    </row>
    <row r="143" spans="1:10" ht="15.75">
      <c r="A143" s="21" t="s">
        <v>69</v>
      </c>
      <c r="B143" s="1"/>
      <c r="C143" s="13" t="s">
        <v>70</v>
      </c>
      <c r="D143" s="5"/>
      <c r="E143" s="232">
        <v>1565</v>
      </c>
      <c r="F143" s="114"/>
      <c r="G143" s="5"/>
      <c r="I143" s="5">
        <f t="shared" si="7"/>
        <v>1565</v>
      </c>
      <c r="J143" s="22">
        <f t="shared" si="8"/>
        <v>9.367791994069742E-05</v>
      </c>
    </row>
    <row r="144" spans="1:10" ht="15.75">
      <c r="A144" s="21" t="s">
        <v>73</v>
      </c>
      <c r="B144" s="1"/>
      <c r="C144" s="13" t="s">
        <v>74</v>
      </c>
      <c r="D144" s="5"/>
      <c r="E144" s="232">
        <v>1898</v>
      </c>
      <c r="F144" s="114"/>
      <c r="G144" s="5"/>
      <c r="I144" s="5">
        <f t="shared" si="7"/>
        <v>1898</v>
      </c>
      <c r="J144" s="22">
        <f t="shared" si="8"/>
        <v>0.00011361066584501194</v>
      </c>
    </row>
    <row r="145" spans="1:10" ht="15.75">
      <c r="A145" s="21" t="s">
        <v>75</v>
      </c>
      <c r="B145" s="1"/>
      <c r="C145" s="13" t="s">
        <v>76</v>
      </c>
      <c r="D145" s="5"/>
      <c r="E145" s="232">
        <v>1836</v>
      </c>
      <c r="F145" s="114"/>
      <c r="G145" s="5"/>
      <c r="I145" s="5">
        <f t="shared" si="7"/>
        <v>1836</v>
      </c>
      <c r="J145" s="22">
        <f t="shared" si="8"/>
        <v>0.0001098994639048693</v>
      </c>
    </row>
    <row r="146" spans="1:10" ht="15.75">
      <c r="A146" s="21" t="s">
        <v>77</v>
      </c>
      <c r="B146" s="1"/>
      <c r="C146" s="13" t="s">
        <v>78</v>
      </c>
      <c r="D146" s="5"/>
      <c r="E146" s="232">
        <v>1343</v>
      </c>
      <c r="F146" s="114"/>
      <c r="G146" s="5"/>
      <c r="I146" s="5">
        <f t="shared" si="7"/>
        <v>1343</v>
      </c>
      <c r="J146" s="22">
        <f t="shared" si="8"/>
        <v>8.03894226711544E-05</v>
      </c>
    </row>
    <row r="147" spans="1:10" ht="15.75">
      <c r="A147" s="21" t="s">
        <v>79</v>
      </c>
      <c r="B147" s="1"/>
      <c r="C147" s="13" t="s">
        <v>80</v>
      </c>
      <c r="D147" s="5"/>
      <c r="E147" s="232">
        <v>46624</v>
      </c>
      <c r="F147" s="114"/>
      <c r="G147" s="5"/>
      <c r="I147" s="5">
        <f t="shared" si="7"/>
        <v>46624</v>
      </c>
      <c r="J147" s="22">
        <f t="shared" si="8"/>
        <v>0.0027908238589872693</v>
      </c>
    </row>
    <row r="148" spans="1:10" ht="15.75">
      <c r="A148" s="21" t="s">
        <v>81</v>
      </c>
      <c r="B148" s="1"/>
      <c r="C148" s="13" t="s">
        <v>82</v>
      </c>
      <c r="D148" s="5"/>
      <c r="E148" s="232">
        <v>470</v>
      </c>
      <c r="F148" s="114"/>
      <c r="G148" s="5"/>
      <c r="I148" s="5">
        <f t="shared" si="7"/>
        <v>470</v>
      </c>
      <c r="J148" s="22">
        <f t="shared" si="8"/>
        <v>2.81333050301136E-05</v>
      </c>
    </row>
    <row r="149" spans="1:10" ht="15.75">
      <c r="A149" s="21" t="s">
        <v>83</v>
      </c>
      <c r="B149" s="1"/>
      <c r="C149" s="13" t="s">
        <v>84</v>
      </c>
      <c r="D149" s="5"/>
      <c r="E149" s="232">
        <v>58</v>
      </c>
      <c r="F149" s="114"/>
      <c r="G149" s="5"/>
      <c r="I149" s="5">
        <f t="shared" si="7"/>
        <v>58</v>
      </c>
      <c r="J149" s="22">
        <f t="shared" si="8"/>
        <v>3.471769556907636E-06</v>
      </c>
    </row>
    <row r="150" spans="1:10" ht="15.75">
      <c r="A150" s="21" t="s">
        <v>127</v>
      </c>
      <c r="B150" s="1"/>
      <c r="C150" s="13" t="s">
        <v>128</v>
      </c>
      <c r="D150" s="5"/>
      <c r="E150" s="232">
        <v>-1108</v>
      </c>
      <c r="F150" s="114"/>
      <c r="G150" s="5"/>
      <c r="I150" s="5">
        <f t="shared" si="7"/>
        <v>-1108</v>
      </c>
      <c r="J150" s="22">
        <f t="shared" si="8"/>
        <v>-6.63227701560976E-05</v>
      </c>
    </row>
    <row r="151" spans="1:10" ht="15.75">
      <c r="A151" s="9"/>
      <c r="B151" s="9"/>
      <c r="C151" s="18"/>
      <c r="D151" s="5"/>
      <c r="E151" s="232"/>
      <c r="F151" s="114"/>
      <c r="G151" s="5"/>
      <c r="I151" s="5"/>
      <c r="J151" s="22">
        <f t="shared" si="8"/>
        <v>0</v>
      </c>
    </row>
    <row r="152" spans="1:10" ht="15.75">
      <c r="A152" s="21" t="s">
        <v>159</v>
      </c>
      <c r="B152" s="1"/>
      <c r="C152" s="13" t="s">
        <v>160</v>
      </c>
      <c r="D152" s="5"/>
      <c r="E152" s="232">
        <v>32934</v>
      </c>
      <c r="F152" s="114"/>
      <c r="G152" s="5"/>
      <c r="I152" s="5">
        <f t="shared" si="7"/>
        <v>32934</v>
      </c>
      <c r="J152" s="22">
        <f t="shared" si="8"/>
        <v>0.0019713665273654495</v>
      </c>
    </row>
    <row r="153" spans="1:10" ht="15.75">
      <c r="A153" s="1"/>
      <c r="B153" s="1"/>
      <c r="C153" s="19"/>
      <c r="D153" s="5"/>
      <c r="E153" s="232"/>
      <c r="F153" s="114"/>
      <c r="G153" s="5"/>
      <c r="I153" s="5">
        <f t="shared" si="7"/>
        <v>0</v>
      </c>
      <c r="J153" s="22">
        <f t="shared" si="8"/>
        <v>0</v>
      </c>
    </row>
    <row r="154" spans="1:10" ht="17.25">
      <c r="A154" s="21" t="s">
        <v>161</v>
      </c>
      <c r="B154" s="1"/>
      <c r="C154" s="13" t="s">
        <v>162</v>
      </c>
      <c r="D154" s="46"/>
      <c r="E154" s="233">
        <v>6817</v>
      </c>
      <c r="F154" s="114"/>
      <c r="G154" s="46"/>
      <c r="I154" s="56">
        <f t="shared" si="7"/>
        <v>6817</v>
      </c>
      <c r="J154" s="40">
        <f t="shared" si="8"/>
        <v>0.00040805263912826475</v>
      </c>
    </row>
    <row r="155" spans="1:10" ht="20.25">
      <c r="A155" s="28" t="s">
        <v>163</v>
      </c>
      <c r="B155" s="28"/>
      <c r="C155" s="16"/>
      <c r="D155" s="42"/>
      <c r="E155" s="42">
        <f>SUM(E121:E154)</f>
        <v>450364</v>
      </c>
      <c r="F155" s="114"/>
      <c r="G155" s="42">
        <f>SUM(G121:G154)</f>
        <v>0</v>
      </c>
      <c r="I155" s="42">
        <f>SUM(I121:I154)</f>
        <v>450364</v>
      </c>
      <c r="J155" s="63">
        <f t="shared" si="8"/>
        <v>0.02695793146081294</v>
      </c>
    </row>
    <row r="156" spans="1:10" ht="20.25">
      <c r="A156" s="28"/>
      <c r="B156" s="28"/>
      <c r="C156" s="16"/>
      <c r="D156" s="42"/>
      <c r="E156" s="42"/>
      <c r="F156" s="114"/>
      <c r="G156" s="42"/>
      <c r="I156" s="42"/>
      <c r="J156" s="63"/>
    </row>
    <row r="157" spans="1:10" ht="20.25">
      <c r="A157" s="24" t="s">
        <v>137</v>
      </c>
      <c r="B157" s="24"/>
      <c r="C157" s="16"/>
      <c r="D157" s="42"/>
      <c r="E157" s="42">
        <f>+E155+E118</f>
        <v>765269</v>
      </c>
      <c r="F157" s="114"/>
      <c r="G157" s="42">
        <f>+G155+G118</f>
        <v>0</v>
      </c>
      <c r="I157" s="42">
        <f>+I155+I118</f>
        <v>765269</v>
      </c>
      <c r="J157" s="63">
        <f t="shared" si="8"/>
        <v>0.0458075451214681</v>
      </c>
    </row>
    <row r="158" spans="1:10" ht="15.75">
      <c r="A158" s="9"/>
      <c r="B158" s="9"/>
      <c r="C158" s="16"/>
      <c r="D158" s="5"/>
      <c r="E158" s="5"/>
      <c r="F158" s="114"/>
      <c r="G158" s="5"/>
      <c r="I158" s="5"/>
      <c r="J158" s="22"/>
    </row>
    <row r="159" spans="1:10" ht="15.75">
      <c r="A159" s="28" t="s">
        <v>164</v>
      </c>
      <c r="B159" s="28"/>
      <c r="C159" s="19"/>
      <c r="D159" s="5"/>
      <c r="E159" s="5"/>
      <c r="F159" s="114"/>
      <c r="G159" s="5"/>
      <c r="I159" s="5"/>
      <c r="J159" s="22"/>
    </row>
    <row r="160" spans="1:10" ht="15.75">
      <c r="A160" s="21" t="s">
        <v>88</v>
      </c>
      <c r="B160" s="1"/>
      <c r="C160" s="13" t="s">
        <v>89</v>
      </c>
      <c r="D160" s="5"/>
      <c r="E160" s="232">
        <v>438049</v>
      </c>
      <c r="F160" s="114"/>
      <c r="G160" s="5"/>
      <c r="I160" s="5">
        <f>+G160+E160</f>
        <v>438049</v>
      </c>
      <c r="J160" s="22">
        <f t="shared" si="8"/>
        <v>0.026220779010928157</v>
      </c>
    </row>
    <row r="161" spans="1:10" ht="15.75">
      <c r="A161" s="21" t="s">
        <v>45</v>
      </c>
      <c r="B161" s="1"/>
      <c r="C161" s="13" t="s">
        <v>46</v>
      </c>
      <c r="D161" s="5"/>
      <c r="E161" s="232">
        <v>65598</v>
      </c>
      <c r="F161" s="114"/>
      <c r="G161" s="5"/>
      <c r="I161" s="5">
        <f aca="true" t="shared" si="9" ref="I161:I217">+G161+E161</f>
        <v>65598</v>
      </c>
      <c r="J161" s="22">
        <f t="shared" si="8"/>
        <v>0.003926571368862536</v>
      </c>
    </row>
    <row r="162" spans="1:10" ht="15.75">
      <c r="A162" s="21" t="s">
        <v>47</v>
      </c>
      <c r="B162" s="1"/>
      <c r="C162" s="13" t="s">
        <v>48</v>
      </c>
      <c r="D162" s="5"/>
      <c r="E162" s="232">
        <v>4052</v>
      </c>
      <c r="F162" s="114"/>
      <c r="G162" s="5"/>
      <c r="I162" s="5">
        <f t="shared" si="9"/>
        <v>4052</v>
      </c>
      <c r="J162" s="22">
        <f t="shared" si="8"/>
        <v>0.00024254500421706449</v>
      </c>
    </row>
    <row r="163" spans="1:10" ht="15.75">
      <c r="A163" s="21" t="s">
        <v>51</v>
      </c>
      <c r="B163" s="1"/>
      <c r="C163" s="13" t="s">
        <v>52</v>
      </c>
      <c r="D163" s="5"/>
      <c r="E163" s="232">
        <v>12332</v>
      </c>
      <c r="F163" s="114"/>
      <c r="G163" s="5"/>
      <c r="I163" s="5">
        <f t="shared" si="9"/>
        <v>12332</v>
      </c>
      <c r="J163" s="22">
        <f t="shared" si="8"/>
        <v>0.000738170037513534</v>
      </c>
    </row>
    <row r="164" spans="1:10" ht="15.75">
      <c r="A164" s="21" t="s">
        <v>53</v>
      </c>
      <c r="B164" s="1"/>
      <c r="C164" s="13" t="s">
        <v>54</v>
      </c>
      <c r="D164" s="5"/>
      <c r="E164" s="232">
        <v>12815</v>
      </c>
      <c r="F164" s="114"/>
      <c r="G164" s="5"/>
      <c r="I164" s="5">
        <f t="shared" si="9"/>
        <v>12815</v>
      </c>
      <c r="J164" s="22">
        <f t="shared" si="8"/>
        <v>0.0007670814977891613</v>
      </c>
    </row>
    <row r="165" spans="1:10" ht="15.75">
      <c r="A165" s="21" t="s">
        <v>55</v>
      </c>
      <c r="B165" s="1"/>
      <c r="C165" s="13" t="s">
        <v>56</v>
      </c>
      <c r="D165" s="5"/>
      <c r="E165" s="232">
        <v>39614</v>
      </c>
      <c r="F165" s="114"/>
      <c r="G165" s="5"/>
      <c r="I165" s="5">
        <f t="shared" si="9"/>
        <v>39614</v>
      </c>
      <c r="J165" s="22">
        <f t="shared" si="8"/>
        <v>0.0023712186073679155</v>
      </c>
    </row>
    <row r="166" spans="1:10" ht="15.75">
      <c r="A166" s="21" t="s">
        <v>92</v>
      </c>
      <c r="B166" s="1"/>
      <c r="C166" s="13" t="s">
        <v>93</v>
      </c>
      <c r="D166" s="5"/>
      <c r="E166" s="232">
        <v>-608</v>
      </c>
      <c r="F166" s="114"/>
      <c r="G166" s="5"/>
      <c r="I166" s="5">
        <f t="shared" si="9"/>
        <v>-608</v>
      </c>
      <c r="J166" s="22">
        <f t="shared" si="8"/>
        <v>-3.6393722251721424E-05</v>
      </c>
    </row>
    <row r="167" spans="1:10" ht="15.75">
      <c r="A167" s="21" t="s">
        <v>165</v>
      </c>
      <c r="B167" s="1"/>
      <c r="C167" s="13" t="s">
        <v>166</v>
      </c>
      <c r="D167" s="5"/>
      <c r="E167" s="232">
        <v>363</v>
      </c>
      <c r="F167" s="114"/>
      <c r="G167" s="5"/>
      <c r="I167" s="5">
        <f t="shared" si="9"/>
        <v>363</v>
      </c>
      <c r="J167" s="22">
        <f t="shared" si="8"/>
        <v>2.17284887785771E-05</v>
      </c>
    </row>
    <row r="168" spans="1:10" ht="15.75">
      <c r="A168" s="21" t="s">
        <v>167</v>
      </c>
      <c r="B168" s="1"/>
      <c r="C168" s="13" t="s">
        <v>168</v>
      </c>
      <c r="D168" s="5"/>
      <c r="E168" s="232">
        <v>42</v>
      </c>
      <c r="F168" s="114"/>
      <c r="G168" s="5"/>
      <c r="I168" s="5">
        <f t="shared" si="9"/>
        <v>42</v>
      </c>
      <c r="J168" s="22">
        <f t="shared" si="8"/>
        <v>2.5140400239675984E-06</v>
      </c>
    </row>
    <row r="169" spans="1:10" ht="15.75">
      <c r="A169" s="21" t="s">
        <v>169</v>
      </c>
      <c r="B169" s="1"/>
      <c r="C169" s="13" t="s">
        <v>170</v>
      </c>
      <c r="D169" s="5"/>
      <c r="E169" s="232">
        <v>915</v>
      </c>
      <c r="F169" s="114"/>
      <c r="G169" s="5"/>
      <c r="I169" s="5">
        <f t="shared" si="9"/>
        <v>915</v>
      </c>
      <c r="J169" s="22">
        <f t="shared" si="8"/>
        <v>5.4770157665008395E-05</v>
      </c>
    </row>
    <row r="170" spans="1:10" ht="15.75">
      <c r="A170" s="21" t="s">
        <v>59</v>
      </c>
      <c r="B170" s="1"/>
      <c r="C170" s="13" t="s">
        <v>60</v>
      </c>
      <c r="D170" s="5"/>
      <c r="E170" s="232">
        <v>3968</v>
      </c>
      <c r="F170" s="114"/>
      <c r="G170" s="5"/>
      <c r="I170" s="5">
        <f t="shared" si="9"/>
        <v>3968</v>
      </c>
      <c r="J170" s="22">
        <f t="shared" si="8"/>
        <v>0.0002375169241691293</v>
      </c>
    </row>
    <row r="171" spans="1:10" ht="15.75">
      <c r="A171" s="21" t="s">
        <v>61</v>
      </c>
      <c r="B171" s="1"/>
      <c r="C171" s="13" t="s">
        <v>62</v>
      </c>
      <c r="D171" s="5"/>
      <c r="E171" s="232">
        <v>28</v>
      </c>
      <c r="F171" s="114"/>
      <c r="G171" s="5"/>
      <c r="I171" s="5">
        <f t="shared" si="9"/>
        <v>28</v>
      </c>
      <c r="J171" s="22">
        <f t="shared" si="8"/>
        <v>1.6760266826450657E-06</v>
      </c>
    </row>
    <row r="172" spans="1:10" ht="15.75">
      <c r="A172" s="21" t="s">
        <v>104</v>
      </c>
      <c r="B172" s="1"/>
      <c r="C172" s="13" t="s">
        <v>105</v>
      </c>
      <c r="D172" s="5"/>
      <c r="E172" s="232">
        <v>3140</v>
      </c>
      <c r="F172" s="114"/>
      <c r="G172" s="5"/>
      <c r="I172" s="5">
        <f t="shared" si="9"/>
        <v>3140</v>
      </c>
      <c r="J172" s="22">
        <f t="shared" si="8"/>
        <v>0.00018795442083948237</v>
      </c>
    </row>
    <row r="173" spans="1:10" ht="15.75">
      <c r="A173" s="21" t="s">
        <v>106</v>
      </c>
      <c r="B173" s="1"/>
      <c r="C173" s="13" t="s">
        <v>107</v>
      </c>
      <c r="D173" s="5"/>
      <c r="E173" s="232">
        <v>180</v>
      </c>
      <c r="F173" s="114"/>
      <c r="G173" s="5"/>
      <c r="I173" s="5">
        <f t="shared" si="9"/>
        <v>180</v>
      </c>
      <c r="J173" s="22">
        <f t="shared" si="8"/>
        <v>1.0774457245575421E-05</v>
      </c>
    </row>
    <row r="174" spans="1:10" ht="15.75">
      <c r="A174" s="21" t="s">
        <v>171</v>
      </c>
      <c r="B174" s="1"/>
      <c r="C174" s="13" t="s">
        <v>172</v>
      </c>
      <c r="D174" s="5"/>
      <c r="E174" s="232">
        <v>1053</v>
      </c>
      <c r="F174" s="114"/>
      <c r="G174" s="5"/>
      <c r="I174" s="5">
        <f t="shared" si="9"/>
        <v>1053</v>
      </c>
      <c r="J174" s="22">
        <f t="shared" si="8"/>
        <v>6.303057488661621E-05</v>
      </c>
    </row>
    <row r="175" spans="1:10" ht="15.75">
      <c r="A175" s="21" t="s">
        <v>173</v>
      </c>
      <c r="B175" s="1"/>
      <c r="C175" s="13" t="s">
        <v>174</v>
      </c>
      <c r="D175" s="5"/>
      <c r="E175" s="232">
        <v>42377</v>
      </c>
      <c r="F175" s="114"/>
      <c r="G175" s="5"/>
      <c r="I175" s="5">
        <f t="shared" si="9"/>
        <v>42377</v>
      </c>
      <c r="J175" s="22">
        <f t="shared" si="8"/>
        <v>0.002536606526087498</v>
      </c>
    </row>
    <row r="176" spans="1:10" ht="15.75">
      <c r="A176" s="21" t="s">
        <v>175</v>
      </c>
      <c r="B176" s="1"/>
      <c r="C176" s="13" t="s">
        <v>176</v>
      </c>
      <c r="D176" s="5"/>
      <c r="E176" s="232">
        <v>32447</v>
      </c>
      <c r="F176" s="114"/>
      <c r="G176" s="5"/>
      <c r="I176" s="5">
        <f t="shared" si="9"/>
        <v>32447</v>
      </c>
      <c r="J176" s="22">
        <f t="shared" si="8"/>
        <v>0.0019422156347065874</v>
      </c>
    </row>
    <row r="177" spans="1:10" ht="15.75">
      <c r="A177" s="21" t="s">
        <v>112</v>
      </c>
      <c r="B177" s="1"/>
      <c r="C177" s="13" t="s">
        <v>113</v>
      </c>
      <c r="D177" s="5"/>
      <c r="E177" s="232">
        <v>2717</v>
      </c>
      <c r="F177" s="114"/>
      <c r="G177" s="5"/>
      <c r="I177" s="5">
        <f t="shared" si="9"/>
        <v>2717</v>
      </c>
      <c r="J177" s="22">
        <f t="shared" si="8"/>
        <v>0.0001626344463123801</v>
      </c>
    </row>
    <row r="178" spans="1:10" ht="15.75">
      <c r="A178" s="21" t="s">
        <v>114</v>
      </c>
      <c r="B178" s="1"/>
      <c r="C178" s="13" t="s">
        <v>115</v>
      </c>
      <c r="D178" s="5"/>
      <c r="E178" s="232">
        <v>519</v>
      </c>
      <c r="F178" s="114"/>
      <c r="G178" s="5"/>
      <c r="I178" s="5">
        <f t="shared" si="9"/>
        <v>519</v>
      </c>
      <c r="J178" s="22">
        <f t="shared" si="8"/>
        <v>3.106635172474247E-05</v>
      </c>
    </row>
    <row r="179" spans="1:10" ht="15.75">
      <c r="A179" s="21" t="s">
        <v>116</v>
      </c>
      <c r="B179" s="1"/>
      <c r="C179" s="13" t="s">
        <v>117</v>
      </c>
      <c r="D179" s="5"/>
      <c r="E179" s="232">
        <v>214</v>
      </c>
      <c r="F179" s="114"/>
      <c r="G179" s="5"/>
      <c r="I179" s="5">
        <f t="shared" si="9"/>
        <v>214</v>
      </c>
      <c r="J179" s="22">
        <f t="shared" si="8"/>
        <v>1.2809632503073002E-05</v>
      </c>
    </row>
    <row r="180" spans="1:10" ht="15.75">
      <c r="A180" s="21" t="s">
        <v>177</v>
      </c>
      <c r="B180" s="1"/>
      <c r="C180" s="13" t="s">
        <v>178</v>
      </c>
      <c r="D180" s="5"/>
      <c r="E180" s="232">
        <v>25579</v>
      </c>
      <c r="F180" s="114"/>
      <c r="G180" s="5"/>
      <c r="I180" s="5">
        <f t="shared" si="9"/>
        <v>25579</v>
      </c>
      <c r="J180" s="22">
        <f t="shared" si="8"/>
        <v>0.0015311102326920761</v>
      </c>
    </row>
    <row r="181" spans="1:10" ht="15.75">
      <c r="A181" s="21" t="s">
        <v>179</v>
      </c>
      <c r="B181" s="1"/>
      <c r="C181" s="13" t="s">
        <v>180</v>
      </c>
      <c r="D181" s="5"/>
      <c r="E181" s="232">
        <v>17511</v>
      </c>
      <c r="F181" s="114"/>
      <c r="G181" s="5"/>
      <c r="I181" s="5">
        <f t="shared" si="9"/>
        <v>17511</v>
      </c>
      <c r="J181" s="22">
        <f t="shared" si="8"/>
        <v>0.0010481751157070624</v>
      </c>
    </row>
    <row r="182" spans="1:10" ht="15.75">
      <c r="A182" s="21" t="s">
        <v>157</v>
      </c>
      <c r="B182" s="1"/>
      <c r="C182" s="13" t="s">
        <v>158</v>
      </c>
      <c r="D182" s="5"/>
      <c r="E182" s="232">
        <v>9390</v>
      </c>
      <c r="F182" s="114"/>
      <c r="G182" s="5"/>
      <c r="I182" s="5">
        <f t="shared" si="9"/>
        <v>9390</v>
      </c>
      <c r="J182" s="22">
        <f t="shared" si="8"/>
        <v>0.0005620675196441845</v>
      </c>
    </row>
    <row r="183" spans="1:10" ht="15.75">
      <c r="A183" s="21" t="s">
        <v>181</v>
      </c>
      <c r="B183" s="1"/>
      <c r="C183" s="13" t="s">
        <v>182</v>
      </c>
      <c r="D183" s="5"/>
      <c r="E183" s="232">
        <v>27023</v>
      </c>
      <c r="F183" s="114"/>
      <c r="G183" s="5"/>
      <c r="I183" s="5">
        <f t="shared" si="9"/>
        <v>27023</v>
      </c>
      <c r="J183" s="22">
        <f t="shared" si="8"/>
        <v>0.0016175453230399147</v>
      </c>
    </row>
    <row r="184" spans="1:10" ht="15.75">
      <c r="A184" s="21" t="s">
        <v>183</v>
      </c>
      <c r="B184" s="1"/>
      <c r="C184" s="13" t="s">
        <v>184</v>
      </c>
      <c r="D184" s="5"/>
      <c r="E184" s="232">
        <v>23917</v>
      </c>
      <c r="F184" s="114"/>
      <c r="G184" s="5"/>
      <c r="I184" s="5">
        <f t="shared" si="9"/>
        <v>23917</v>
      </c>
      <c r="J184" s="22">
        <f t="shared" si="8"/>
        <v>0.00143162607745793</v>
      </c>
    </row>
    <row r="185" spans="1:10" ht="15.75">
      <c r="A185" s="21" t="s">
        <v>185</v>
      </c>
      <c r="B185" s="1"/>
      <c r="C185" s="13" t="s">
        <v>186</v>
      </c>
      <c r="D185" s="5"/>
      <c r="E185" s="232">
        <v>35230</v>
      </c>
      <c r="F185" s="114"/>
      <c r="G185" s="5"/>
      <c r="I185" s="5">
        <f t="shared" si="9"/>
        <v>35230</v>
      </c>
      <c r="J185" s="22">
        <f t="shared" si="8"/>
        <v>0.002108800715342345</v>
      </c>
    </row>
    <row r="186" spans="1:10" ht="15.75">
      <c r="A186" s="21" t="s">
        <v>65</v>
      </c>
      <c r="B186" s="1"/>
      <c r="C186" s="13" t="s">
        <v>66</v>
      </c>
      <c r="D186" s="5"/>
      <c r="E186" s="232">
        <v>14</v>
      </c>
      <c r="F186" s="114"/>
      <c r="G186" s="5"/>
      <c r="I186" s="5">
        <f t="shared" si="9"/>
        <v>14</v>
      </c>
      <c r="J186" s="22">
        <f t="shared" si="8"/>
        <v>8.380133413225329E-07</v>
      </c>
    </row>
    <row r="187" spans="1:10" ht="15.75">
      <c r="A187" s="21" t="s">
        <v>67</v>
      </c>
      <c r="B187" s="1"/>
      <c r="C187" s="13" t="s">
        <v>68</v>
      </c>
      <c r="D187" s="5"/>
      <c r="E187" s="232">
        <v>3</v>
      </c>
      <c r="F187" s="114"/>
      <c r="G187" s="5"/>
      <c r="I187" s="5">
        <f t="shared" si="9"/>
        <v>3</v>
      </c>
      <c r="J187" s="22">
        <f t="shared" si="8"/>
        <v>1.7957428742625702E-07</v>
      </c>
    </row>
    <row r="188" spans="1:10" ht="15.75">
      <c r="A188" s="21" t="s">
        <v>69</v>
      </c>
      <c r="B188" s="1"/>
      <c r="C188" s="13" t="s">
        <v>70</v>
      </c>
      <c r="D188" s="5"/>
      <c r="E188" s="232">
        <v>4125</v>
      </c>
      <c r="F188" s="114"/>
      <c r="G188" s="5"/>
      <c r="I188" s="5">
        <f t="shared" si="9"/>
        <v>4125</v>
      </c>
      <c r="J188" s="22">
        <f t="shared" si="8"/>
        <v>0.00024691464521110345</v>
      </c>
    </row>
    <row r="189" spans="1:10" ht="15.75">
      <c r="A189" s="21" t="s">
        <v>71</v>
      </c>
      <c r="B189" s="1"/>
      <c r="C189" s="13" t="s">
        <v>72</v>
      </c>
      <c r="D189" s="5"/>
      <c r="E189" s="232">
        <v>241</v>
      </c>
      <c r="F189" s="114"/>
      <c r="G189" s="5"/>
      <c r="I189" s="5">
        <f t="shared" si="9"/>
        <v>241</v>
      </c>
      <c r="J189" s="22">
        <f t="shared" si="8"/>
        <v>1.4425801089909314E-05</v>
      </c>
    </row>
    <row r="190" spans="1:10" ht="15.75">
      <c r="A190" s="21" t="s">
        <v>126</v>
      </c>
      <c r="B190" s="1"/>
      <c r="C190" s="13" t="s">
        <v>187</v>
      </c>
      <c r="D190" s="5"/>
      <c r="E190" s="232">
        <v>34601</v>
      </c>
      <c r="F190" s="114"/>
      <c r="G190" s="5"/>
      <c r="I190" s="5">
        <f t="shared" si="9"/>
        <v>34601</v>
      </c>
      <c r="J190" s="22">
        <f t="shared" si="8"/>
        <v>0.00207114997307864</v>
      </c>
    </row>
    <row r="191" spans="1:10" ht="15.75">
      <c r="A191" s="21" t="s">
        <v>73</v>
      </c>
      <c r="B191" s="1"/>
      <c r="C191" s="13" t="s">
        <v>74</v>
      </c>
      <c r="D191" s="5"/>
      <c r="E191" s="232">
        <v>4955</v>
      </c>
      <c r="F191" s="114"/>
      <c r="G191" s="5"/>
      <c r="I191" s="5">
        <f t="shared" si="9"/>
        <v>4955</v>
      </c>
      <c r="J191" s="22">
        <f t="shared" si="8"/>
        <v>0.00029659686473236784</v>
      </c>
    </row>
    <row r="192" spans="1:10" ht="15.75">
      <c r="A192" s="21" t="s">
        <v>188</v>
      </c>
      <c r="B192" s="1"/>
      <c r="C192" s="13" t="s">
        <v>189</v>
      </c>
      <c r="D192" s="5"/>
      <c r="E192" s="232">
        <v>5437</v>
      </c>
      <c r="F192" s="114"/>
      <c r="G192" s="5"/>
      <c r="I192" s="5">
        <f t="shared" si="9"/>
        <v>5437</v>
      </c>
      <c r="J192" s="22">
        <f t="shared" si="8"/>
        <v>0.0003254484669121865</v>
      </c>
    </row>
    <row r="193" spans="1:10" ht="15.75">
      <c r="A193" s="21" t="s">
        <v>75</v>
      </c>
      <c r="B193" s="1"/>
      <c r="C193" s="13" t="s">
        <v>76</v>
      </c>
      <c r="D193" s="5"/>
      <c r="E193" s="232">
        <v>3816</v>
      </c>
      <c r="F193" s="114"/>
      <c r="G193" s="5"/>
      <c r="I193" s="5">
        <f t="shared" si="9"/>
        <v>3816</v>
      </c>
      <c r="J193" s="22">
        <f t="shared" si="8"/>
        <v>0.00022841849360619895</v>
      </c>
    </row>
    <row r="194" spans="1:10" ht="15.75">
      <c r="A194" s="21" t="s">
        <v>77</v>
      </c>
      <c r="B194" s="1"/>
      <c r="C194" s="13" t="s">
        <v>78</v>
      </c>
      <c r="D194" s="5"/>
      <c r="E194" s="232">
        <v>2792</v>
      </c>
      <c r="F194" s="114"/>
      <c r="G194" s="5"/>
      <c r="I194" s="5">
        <f t="shared" si="9"/>
        <v>2792</v>
      </c>
      <c r="J194" s="22">
        <f t="shared" si="8"/>
        <v>0.00016712380349803656</v>
      </c>
    </row>
    <row r="195" spans="1:10" ht="15.75">
      <c r="A195" s="21" t="s">
        <v>83</v>
      </c>
      <c r="B195" s="1"/>
      <c r="C195" s="13" t="s">
        <v>84</v>
      </c>
      <c r="D195" s="5"/>
      <c r="E195" s="232">
        <v>7971</v>
      </c>
      <c r="F195" s="114"/>
      <c r="G195" s="5"/>
      <c r="I195" s="5">
        <f t="shared" si="9"/>
        <v>7971</v>
      </c>
      <c r="J195" s="22">
        <f t="shared" si="8"/>
        <v>0.0004771288816915649</v>
      </c>
    </row>
    <row r="196" spans="1:10" ht="15.75">
      <c r="A196" s="21" t="s">
        <v>190</v>
      </c>
      <c r="B196" s="1"/>
      <c r="C196" s="13" t="s">
        <v>191</v>
      </c>
      <c r="D196" s="5"/>
      <c r="E196" s="232">
        <v>4724</v>
      </c>
      <c r="F196" s="114"/>
      <c r="G196" s="5"/>
      <c r="I196" s="5">
        <f t="shared" si="9"/>
        <v>4724</v>
      </c>
      <c r="J196" s="22">
        <f t="shared" si="8"/>
        <v>0.00028276964460054605</v>
      </c>
    </row>
    <row r="197" spans="1:10" ht="15.75">
      <c r="A197" s="21" t="s">
        <v>192</v>
      </c>
      <c r="B197" s="1"/>
      <c r="C197" s="13" t="s">
        <v>193</v>
      </c>
      <c r="D197" s="5"/>
      <c r="E197" s="232">
        <v>5625</v>
      </c>
      <c r="F197" s="114"/>
      <c r="G197" s="5"/>
      <c r="I197" s="5">
        <f t="shared" si="9"/>
        <v>5625</v>
      </c>
      <c r="J197" s="22">
        <f t="shared" si="8"/>
        <v>0.00033670178892423195</v>
      </c>
    </row>
    <row r="198" spans="1:10" ht="15.75">
      <c r="A198" s="52" t="s">
        <v>194</v>
      </c>
      <c r="B198" s="1"/>
      <c r="C198" s="13">
        <v>575000</v>
      </c>
      <c r="D198" s="5"/>
      <c r="E198" s="232">
        <v>0</v>
      </c>
      <c r="F198" s="114"/>
      <c r="G198" s="5"/>
      <c r="I198" s="5">
        <f t="shared" si="9"/>
        <v>0</v>
      </c>
      <c r="J198" s="22">
        <f t="shared" si="8"/>
        <v>0</v>
      </c>
    </row>
    <row r="199" spans="1:10" ht="15.75">
      <c r="A199" s="21" t="s">
        <v>127</v>
      </c>
      <c r="B199" s="1"/>
      <c r="C199" s="13" t="s">
        <v>128</v>
      </c>
      <c r="D199" s="5"/>
      <c r="E199" s="232">
        <v>-4740</v>
      </c>
      <c r="F199" s="114"/>
      <c r="G199" s="5"/>
      <c r="I199" s="5">
        <f t="shared" si="9"/>
        <v>-4740</v>
      </c>
      <c r="J199" s="22">
        <f t="shared" si="8"/>
        <v>-0.00028372737413348613</v>
      </c>
    </row>
    <row r="200" spans="1:10" ht="15.75">
      <c r="A200" s="21" t="s">
        <v>195</v>
      </c>
      <c r="B200" s="1"/>
      <c r="C200" s="13" t="s">
        <v>196</v>
      </c>
      <c r="D200" s="5"/>
      <c r="E200" s="232">
        <v>583</v>
      </c>
      <c r="F200" s="114"/>
      <c r="G200" s="5"/>
      <c r="I200" s="5">
        <f t="shared" si="9"/>
        <v>583</v>
      </c>
      <c r="J200" s="22">
        <f t="shared" si="8"/>
        <v>3.489726985650262E-05</v>
      </c>
    </row>
    <row r="201" spans="1:10" ht="15.75">
      <c r="A201" s="21" t="s">
        <v>197</v>
      </c>
      <c r="B201" s="1"/>
      <c r="C201" s="13" t="s">
        <v>198</v>
      </c>
      <c r="D201" s="5"/>
      <c r="E201" s="232">
        <v>4025</v>
      </c>
      <c r="F201" s="114"/>
      <c r="G201" s="5"/>
      <c r="I201" s="5">
        <f t="shared" si="9"/>
        <v>4025</v>
      </c>
      <c r="J201" s="22">
        <f t="shared" si="8"/>
        <v>0.0002409288356302282</v>
      </c>
    </row>
    <row r="202" spans="1:10" ht="15.75">
      <c r="A202" s="52" t="s">
        <v>199</v>
      </c>
      <c r="B202" s="1"/>
      <c r="C202" s="13">
        <v>582100</v>
      </c>
      <c r="D202" s="5"/>
      <c r="E202" s="232">
        <v>0</v>
      </c>
      <c r="F202" s="114"/>
      <c r="G202" s="5"/>
      <c r="I202" s="5">
        <f t="shared" si="9"/>
        <v>0</v>
      </c>
      <c r="J202" s="22">
        <f t="shared" si="8"/>
        <v>0</v>
      </c>
    </row>
    <row r="203" spans="1:10" ht="15.75">
      <c r="A203" s="21" t="s">
        <v>200</v>
      </c>
      <c r="B203" s="1"/>
      <c r="C203" s="13" t="s">
        <v>201</v>
      </c>
      <c r="D203" s="5"/>
      <c r="E203" s="232">
        <v>1815</v>
      </c>
      <c r="F203" s="114"/>
      <c r="G203" s="5"/>
      <c r="I203" s="5">
        <f t="shared" si="9"/>
        <v>1815</v>
      </c>
      <c r="J203" s="22">
        <f t="shared" si="8"/>
        <v>0.00010864244389288551</v>
      </c>
    </row>
    <row r="204" spans="1:10" ht="15.75">
      <c r="A204" s="21" t="s">
        <v>202</v>
      </c>
      <c r="B204" s="1"/>
      <c r="C204" s="13" t="s">
        <v>203</v>
      </c>
      <c r="D204" s="5"/>
      <c r="E204" s="232">
        <v>15993</v>
      </c>
      <c r="F204" s="114"/>
      <c r="G204" s="5"/>
      <c r="I204" s="5">
        <f t="shared" si="9"/>
        <v>15993</v>
      </c>
      <c r="J204" s="22">
        <f aca="true" t="shared" si="10" ref="J204:J249">+I204/$I$26</f>
        <v>0.0009573105262693762</v>
      </c>
    </row>
    <row r="205" spans="1:10" ht="15.75">
      <c r="A205" s="21" t="s">
        <v>204</v>
      </c>
      <c r="B205" s="1"/>
      <c r="C205" s="13" t="s">
        <v>205</v>
      </c>
      <c r="D205" s="5"/>
      <c r="E205" s="232">
        <v>13147</v>
      </c>
      <c r="F205" s="114"/>
      <c r="G205" s="5"/>
      <c r="I205" s="5">
        <f t="shared" si="9"/>
        <v>13147</v>
      </c>
      <c r="J205" s="22">
        <f t="shared" si="10"/>
        <v>0.000786954385597667</v>
      </c>
    </row>
    <row r="206" spans="1:10" ht="15.75">
      <c r="A206" s="21" t="s">
        <v>206</v>
      </c>
      <c r="B206" s="1"/>
      <c r="C206" s="13" t="s">
        <v>207</v>
      </c>
      <c r="D206" s="5"/>
      <c r="E206" s="232">
        <v>7696</v>
      </c>
      <c r="F206" s="114"/>
      <c r="G206" s="5"/>
      <c r="I206" s="5">
        <f t="shared" si="9"/>
        <v>7696</v>
      </c>
      <c r="J206" s="22">
        <f t="shared" si="10"/>
        <v>0.00046066790534415804</v>
      </c>
    </row>
    <row r="207" spans="1:10" ht="15.75">
      <c r="A207" s="21" t="s">
        <v>208</v>
      </c>
      <c r="B207" s="1"/>
      <c r="C207" s="13" t="s">
        <v>209</v>
      </c>
      <c r="D207" s="5"/>
      <c r="E207" s="232">
        <v>18812</v>
      </c>
      <c r="F207" s="114"/>
      <c r="G207" s="5"/>
      <c r="I207" s="5">
        <f t="shared" si="9"/>
        <v>18812</v>
      </c>
      <c r="J207" s="22">
        <f t="shared" si="10"/>
        <v>0.0011260504983542491</v>
      </c>
    </row>
    <row r="208" spans="1:10" ht="15.75">
      <c r="A208" s="21" t="s">
        <v>129</v>
      </c>
      <c r="B208" s="1"/>
      <c r="C208" s="13" t="s">
        <v>130</v>
      </c>
      <c r="D208" s="5"/>
      <c r="E208" s="232">
        <v>41</v>
      </c>
      <c r="F208" s="114"/>
      <c r="G208" s="5"/>
      <c r="I208" s="5">
        <f t="shared" si="9"/>
        <v>41</v>
      </c>
      <c r="J208" s="22">
        <f t="shared" si="10"/>
        <v>2.454181928158846E-06</v>
      </c>
    </row>
    <row r="209" spans="1:10" ht="15.75">
      <c r="A209" s="21" t="s">
        <v>210</v>
      </c>
      <c r="B209" s="1"/>
      <c r="C209" s="13" t="s">
        <v>211</v>
      </c>
      <c r="D209" s="5"/>
      <c r="E209" s="232">
        <v>4</v>
      </c>
      <c r="F209" s="114"/>
      <c r="G209" s="5"/>
      <c r="I209" s="5">
        <f t="shared" si="9"/>
        <v>4</v>
      </c>
      <c r="J209" s="22">
        <f t="shared" si="10"/>
        <v>2.394323832350094E-07</v>
      </c>
    </row>
    <row r="210" spans="1:10" ht="15.75">
      <c r="A210" s="21" t="s">
        <v>131</v>
      </c>
      <c r="B210" s="1"/>
      <c r="C210" s="13" t="s">
        <v>132</v>
      </c>
      <c r="D210" s="5"/>
      <c r="E210" s="232">
        <v>376</v>
      </c>
      <c r="F210" s="114"/>
      <c r="G210" s="5"/>
      <c r="I210" s="5">
        <f t="shared" si="9"/>
        <v>376</v>
      </c>
      <c r="J210" s="22">
        <f t="shared" si="10"/>
        <v>2.250664402409088E-05</v>
      </c>
    </row>
    <row r="211" spans="1:10" ht="15.75">
      <c r="A211" s="21" t="s">
        <v>212</v>
      </c>
      <c r="B211" s="1"/>
      <c r="C211" s="13" t="s">
        <v>213</v>
      </c>
      <c r="D211" s="5"/>
      <c r="E211" s="232">
        <v>188</v>
      </c>
      <c r="F211" s="114"/>
      <c r="G211" s="5"/>
      <c r="I211" s="5">
        <f t="shared" si="9"/>
        <v>188</v>
      </c>
      <c r="J211" s="22">
        <f t="shared" si="10"/>
        <v>1.125332201204544E-05</v>
      </c>
    </row>
    <row r="212" spans="1:10" ht="15.75">
      <c r="A212" s="21" t="s">
        <v>214</v>
      </c>
      <c r="B212" s="1"/>
      <c r="C212" s="13" t="s">
        <v>215</v>
      </c>
      <c r="D212" s="5"/>
      <c r="E212" s="232">
        <v>76</v>
      </c>
      <c r="F212" s="114"/>
      <c r="G212" s="5"/>
      <c r="I212" s="5">
        <f t="shared" si="9"/>
        <v>76</v>
      </c>
      <c r="J212" s="22">
        <f t="shared" si="10"/>
        <v>4.549215281465178E-06</v>
      </c>
    </row>
    <row r="213" spans="1:10" ht="15.75">
      <c r="A213" s="1"/>
      <c r="B213" s="1"/>
      <c r="C213" s="19"/>
      <c r="D213" s="5"/>
      <c r="E213" s="232"/>
      <c r="F213" s="114"/>
      <c r="G213" s="5"/>
      <c r="I213" s="5">
        <f t="shared" si="9"/>
        <v>0</v>
      </c>
      <c r="J213" s="22">
        <f t="shared" si="10"/>
        <v>0</v>
      </c>
    </row>
    <row r="214" spans="1:10" ht="15.75">
      <c r="A214" s="27" t="s">
        <v>133</v>
      </c>
      <c r="B214" s="27"/>
      <c r="C214" s="19"/>
      <c r="D214" s="5"/>
      <c r="E214" s="232">
        <v>10732</v>
      </c>
      <c r="F214" s="114"/>
      <c r="G214" s="5"/>
      <c r="I214" s="5">
        <f t="shared" si="9"/>
        <v>10732</v>
      </c>
      <c r="J214" s="22">
        <f t="shared" si="10"/>
        <v>0.0006423970842195302</v>
      </c>
    </row>
    <row r="215" spans="1:10" ht="15.75">
      <c r="A215" s="1"/>
      <c r="B215" s="1"/>
      <c r="C215" s="19"/>
      <c r="D215" s="5"/>
      <c r="E215" s="232"/>
      <c r="F215" s="114"/>
      <c r="G215" s="5"/>
      <c r="I215" s="5">
        <f t="shared" si="9"/>
        <v>0</v>
      </c>
      <c r="J215" s="22">
        <f t="shared" si="10"/>
        <v>0</v>
      </c>
    </row>
    <row r="216" spans="1:10" ht="15.75">
      <c r="A216" s="21" t="s">
        <v>161</v>
      </c>
      <c r="B216" s="1"/>
      <c r="C216" s="13" t="s">
        <v>162</v>
      </c>
      <c r="D216" s="5"/>
      <c r="E216" s="232">
        <v>15169</v>
      </c>
      <c r="F216" s="114"/>
      <c r="G216" s="5"/>
      <c r="I216" s="5">
        <f t="shared" si="9"/>
        <v>15169</v>
      </c>
      <c r="J216" s="22">
        <f t="shared" si="10"/>
        <v>0.0009079874553229643</v>
      </c>
    </row>
    <row r="217" spans="1:10" ht="17.25">
      <c r="A217" s="21" t="s">
        <v>216</v>
      </c>
      <c r="B217" s="1"/>
      <c r="C217" s="13" t="s">
        <v>217</v>
      </c>
      <c r="D217" s="5"/>
      <c r="E217" s="233">
        <v>74467</v>
      </c>
      <c r="F217" s="114"/>
      <c r="G217" s="56"/>
      <c r="I217" s="56">
        <f t="shared" si="9"/>
        <v>74467</v>
      </c>
      <c r="J217" s="40">
        <f t="shared" si="10"/>
        <v>0.004457452820590361</v>
      </c>
    </row>
    <row r="218" spans="1:10" ht="20.25">
      <c r="A218" s="28" t="s">
        <v>218</v>
      </c>
      <c r="B218" s="28"/>
      <c r="C218" s="20"/>
      <c r="D218" s="42"/>
      <c r="E218" s="42">
        <f>SUM(E160:E217)</f>
        <v>1031153</v>
      </c>
      <c r="F218" s="14"/>
      <c r="G218" s="42">
        <f>SUM(G160:G217)</f>
        <v>0</v>
      </c>
      <c r="I218" s="42">
        <f>SUM(I160:I217)</f>
        <v>1031153</v>
      </c>
      <c r="J218" s="63">
        <f t="shared" si="10"/>
        <v>0.06172285506748241</v>
      </c>
    </row>
    <row r="219" spans="1:10" ht="15.75">
      <c r="A219" s="24"/>
      <c r="B219" s="24"/>
      <c r="C219" s="19"/>
      <c r="D219" s="29"/>
      <c r="E219" s="29"/>
      <c r="F219" s="114"/>
      <c r="G219" s="29"/>
      <c r="I219" s="29"/>
      <c r="J219" s="63"/>
    </row>
    <row r="220" spans="1:10" ht="20.25">
      <c r="A220" s="23" t="s">
        <v>41</v>
      </c>
      <c r="B220" s="23"/>
      <c r="C220" s="16"/>
      <c r="D220" s="45"/>
      <c r="E220" s="42">
        <f>+E218+E157+E112+E52</f>
        <v>7769955</v>
      </c>
      <c r="F220" s="117"/>
      <c r="G220" s="42">
        <f>+G218+G157+G112+G52</f>
        <v>0</v>
      </c>
      <c r="H220" s="90"/>
      <c r="I220" s="42">
        <f>+I218+I157+I112+I52</f>
        <v>7769955</v>
      </c>
      <c r="J220" s="63">
        <f t="shared" si="10"/>
        <v>0.46509471081969433</v>
      </c>
    </row>
    <row r="221" spans="1:10" ht="15.75">
      <c r="A221" s="84"/>
      <c r="B221" s="84"/>
      <c r="C221" s="84"/>
      <c r="D221" s="84"/>
      <c r="E221" s="84"/>
      <c r="F221" s="118"/>
      <c r="G221" s="84"/>
      <c r="H221" s="84"/>
      <c r="I221" s="84"/>
      <c r="J221" s="63"/>
    </row>
    <row r="222" spans="1:10" ht="18">
      <c r="A222" s="23" t="s">
        <v>219</v>
      </c>
      <c r="B222" s="23"/>
      <c r="C222" s="16"/>
      <c r="D222" s="45"/>
      <c r="E222" s="45">
        <f>+E38-E220</f>
        <v>2820223</v>
      </c>
      <c r="F222" s="114"/>
      <c r="G222" s="45">
        <f>+G38-G220</f>
        <v>3820.9541961223294</v>
      </c>
      <c r="I222" s="45">
        <f>+I38-I220</f>
        <v>2824043.9541961215</v>
      </c>
      <c r="J222" s="89">
        <f t="shared" si="10"/>
        <v>0.16904189357839927</v>
      </c>
    </row>
    <row r="223" spans="1:10" ht="15.75">
      <c r="A223" s="9"/>
      <c r="B223" s="9"/>
      <c r="C223" s="16"/>
      <c r="D223" s="5"/>
      <c r="E223" s="5"/>
      <c r="F223" s="114"/>
      <c r="G223" s="5"/>
      <c r="I223" s="5"/>
      <c r="J223" s="22"/>
    </row>
    <row r="224" spans="1:10" ht="15.75">
      <c r="A224" s="23" t="s">
        <v>220</v>
      </c>
      <c r="B224" s="23"/>
      <c r="C224" s="16"/>
      <c r="D224" s="5"/>
      <c r="E224" s="5"/>
      <c r="F224" s="114"/>
      <c r="G224" s="5"/>
      <c r="I224" s="5"/>
      <c r="J224" s="22"/>
    </row>
    <row r="225" spans="1:10" ht="15.75">
      <c r="A225" s="24" t="s">
        <v>221</v>
      </c>
      <c r="B225" s="24"/>
      <c r="C225" s="16"/>
      <c r="D225" s="5"/>
      <c r="E225" s="5"/>
      <c r="F225" s="114"/>
      <c r="G225" s="5"/>
      <c r="I225" s="5"/>
      <c r="J225" s="22"/>
    </row>
    <row r="226" spans="1:10" ht="15.75">
      <c r="A226" s="21" t="s">
        <v>222</v>
      </c>
      <c r="B226" s="1"/>
      <c r="C226" s="13" t="s">
        <v>223</v>
      </c>
      <c r="D226" s="5"/>
      <c r="E226" s="232">
        <v>240</v>
      </c>
      <c r="F226" s="114"/>
      <c r="G226" s="5"/>
      <c r="I226" s="5">
        <f>+G226+E226</f>
        <v>240</v>
      </c>
      <c r="J226" s="22">
        <f t="shared" si="10"/>
        <v>1.4365942994100563E-05</v>
      </c>
    </row>
    <row r="227" spans="1:10" ht="17.25">
      <c r="A227" s="21" t="s">
        <v>127</v>
      </c>
      <c r="B227" s="1"/>
      <c r="C227" s="13" t="s">
        <v>224</v>
      </c>
      <c r="D227" s="46"/>
      <c r="E227" s="233">
        <v>-4</v>
      </c>
      <c r="F227" s="114"/>
      <c r="G227" s="46"/>
      <c r="I227" s="56">
        <f>+G227+E227</f>
        <v>-4</v>
      </c>
      <c r="J227" s="40">
        <f t="shared" si="10"/>
        <v>-2.394323832350094E-07</v>
      </c>
    </row>
    <row r="228" spans="1:10" ht="20.25">
      <c r="A228" s="24" t="s">
        <v>225</v>
      </c>
      <c r="B228" s="24"/>
      <c r="C228" s="17"/>
      <c r="D228" s="42"/>
      <c r="E228" s="42">
        <f>SUM(E226:E227)</f>
        <v>236</v>
      </c>
      <c r="F228" s="14"/>
      <c r="G228" s="42">
        <f>SUM(G226:G227)</f>
        <v>0</v>
      </c>
      <c r="I228" s="42">
        <f>SUM(I226:I227)</f>
        <v>236</v>
      </c>
      <c r="J228" s="63">
        <f t="shared" si="10"/>
        <v>1.4126510610865554E-05</v>
      </c>
    </row>
    <row r="229" spans="1:10" ht="15.75">
      <c r="A229" s="1"/>
      <c r="B229" s="1"/>
      <c r="C229" s="1"/>
      <c r="D229" s="5"/>
      <c r="E229" s="5"/>
      <c r="F229" s="114"/>
      <c r="G229" s="5"/>
      <c r="I229" s="5"/>
      <c r="J229" s="22"/>
    </row>
    <row r="230" spans="1:10" ht="15.75">
      <c r="A230" s="24" t="s">
        <v>226</v>
      </c>
      <c r="B230" s="24"/>
      <c r="C230" s="16"/>
      <c r="D230" s="5"/>
      <c r="E230" s="5"/>
      <c r="F230" s="114"/>
      <c r="G230" s="5"/>
      <c r="I230" s="5"/>
      <c r="J230" s="22"/>
    </row>
    <row r="231" spans="1:12" ht="15.75">
      <c r="A231" s="21" t="s">
        <v>227</v>
      </c>
      <c r="B231" s="1"/>
      <c r="C231" s="13" t="s">
        <v>228</v>
      </c>
      <c r="D231" s="5"/>
      <c r="E231" s="232">
        <v>302473</v>
      </c>
      <c r="F231" s="14" t="s">
        <v>270</v>
      </c>
      <c r="G231" s="5">
        <f>+G26*References!G49</f>
        <v>3767.603522146443</v>
      </c>
      <c r="I231" s="5">
        <f>+G231+E231</f>
        <v>306240.60352214647</v>
      </c>
      <c r="J231" s="22">
        <f>+I231/$I$26</f>
        <v>0.018330979386158783</v>
      </c>
      <c r="L231" s="104"/>
    </row>
    <row r="232" spans="1:10" ht="15.75">
      <c r="A232" s="21" t="s">
        <v>229</v>
      </c>
      <c r="B232" s="1"/>
      <c r="C232" s="13" t="s">
        <v>230</v>
      </c>
      <c r="D232" s="5"/>
      <c r="E232" s="232">
        <v>18</v>
      </c>
      <c r="F232" s="114"/>
      <c r="G232" s="5"/>
      <c r="I232" s="5">
        <f aca="true" t="shared" si="11" ref="I232:I243">+G232+E232</f>
        <v>18</v>
      </c>
      <c r="J232" s="22">
        <f t="shared" si="10"/>
        <v>1.0774457245575422E-06</v>
      </c>
    </row>
    <row r="233" spans="1:10" ht="15.75">
      <c r="A233" s="21" t="s">
        <v>231</v>
      </c>
      <c r="B233" s="1"/>
      <c r="C233" s="13" t="s">
        <v>232</v>
      </c>
      <c r="D233" s="5"/>
      <c r="E233" s="232">
        <v>73890</v>
      </c>
      <c r="F233" s="114"/>
      <c r="G233" s="5"/>
      <c r="I233" s="5">
        <f t="shared" si="11"/>
        <v>73890</v>
      </c>
      <c r="J233" s="22">
        <f t="shared" si="10"/>
        <v>0.004422914699308711</v>
      </c>
    </row>
    <row r="234" spans="1:10" ht="15.75">
      <c r="A234" s="21" t="s">
        <v>233</v>
      </c>
      <c r="B234" s="1"/>
      <c r="C234" s="13" t="s">
        <v>234</v>
      </c>
      <c r="D234" s="5"/>
      <c r="E234" s="232">
        <v>205</v>
      </c>
      <c r="F234" s="114"/>
      <c r="G234" s="5"/>
      <c r="I234" s="5">
        <f t="shared" si="11"/>
        <v>205</v>
      </c>
      <c r="J234" s="22">
        <f t="shared" si="10"/>
        <v>1.227090964079423E-05</v>
      </c>
    </row>
    <row r="235" spans="1:10" ht="15.75">
      <c r="A235" s="21" t="s">
        <v>235</v>
      </c>
      <c r="B235" s="1"/>
      <c r="C235" s="13" t="s">
        <v>236</v>
      </c>
      <c r="D235" s="5"/>
      <c r="E235" s="232">
        <v>1093</v>
      </c>
      <c r="F235" s="114"/>
      <c r="G235" s="5"/>
      <c r="I235" s="5">
        <f t="shared" si="11"/>
        <v>1093</v>
      </c>
      <c r="J235" s="22">
        <f t="shared" si="10"/>
        <v>6.542489871896631E-05</v>
      </c>
    </row>
    <row r="236" spans="1:10" ht="15.75">
      <c r="A236" s="21" t="s">
        <v>237</v>
      </c>
      <c r="B236" s="1"/>
      <c r="C236" s="13" t="s">
        <v>238</v>
      </c>
      <c r="D236" s="5"/>
      <c r="E236" s="232">
        <v>587</v>
      </c>
      <c r="F236" s="114"/>
      <c r="G236" s="5"/>
      <c r="I236" s="5">
        <f t="shared" si="11"/>
        <v>587</v>
      </c>
      <c r="J236" s="22">
        <f t="shared" si="10"/>
        <v>3.513670223973762E-05</v>
      </c>
    </row>
    <row r="237" spans="1:10" ht="15.75">
      <c r="A237" s="21" t="s">
        <v>239</v>
      </c>
      <c r="B237" s="1"/>
      <c r="C237" s="13" t="s">
        <v>240</v>
      </c>
      <c r="D237" s="5"/>
      <c r="E237" s="232">
        <v>14645</v>
      </c>
      <c r="F237" s="114"/>
      <c r="G237" s="5"/>
      <c r="I237" s="5">
        <f t="shared" si="11"/>
        <v>14645</v>
      </c>
      <c r="J237" s="22">
        <f t="shared" si="10"/>
        <v>0.0008766218131191781</v>
      </c>
    </row>
    <row r="238" spans="1:10" ht="15.75">
      <c r="A238" s="21" t="s">
        <v>241</v>
      </c>
      <c r="B238" s="1"/>
      <c r="C238" s="13" t="s">
        <v>242</v>
      </c>
      <c r="D238" s="5"/>
      <c r="E238" s="232">
        <v>33302</v>
      </c>
      <c r="F238" s="114"/>
      <c r="G238" s="5"/>
      <c r="I238" s="5">
        <f t="shared" si="11"/>
        <v>33302</v>
      </c>
      <c r="J238" s="22">
        <f t="shared" si="10"/>
        <v>0.0019933943066230706</v>
      </c>
    </row>
    <row r="239" spans="1:10" ht="15.75">
      <c r="A239" s="21" t="s">
        <v>127</v>
      </c>
      <c r="B239" s="1"/>
      <c r="C239" s="13" t="s">
        <v>224</v>
      </c>
      <c r="D239" s="5"/>
      <c r="E239" s="232">
        <v>-320</v>
      </c>
      <c r="F239" s="114"/>
      <c r="G239" s="5"/>
      <c r="I239" s="5">
        <f t="shared" si="11"/>
        <v>-320</v>
      </c>
      <c r="J239" s="22">
        <f t="shared" si="10"/>
        <v>-1.915459065880075E-05</v>
      </c>
    </row>
    <row r="240" spans="1:10" ht="15.75">
      <c r="A240" s="52" t="s">
        <v>243</v>
      </c>
      <c r="B240" s="1"/>
      <c r="C240" s="13" t="s">
        <v>244</v>
      </c>
      <c r="D240" s="5"/>
      <c r="E240" s="232">
        <v>21328</v>
      </c>
      <c r="F240" s="114"/>
      <c r="G240" s="5"/>
      <c r="I240" s="5">
        <f t="shared" si="11"/>
        <v>21328</v>
      </c>
      <c r="J240" s="22">
        <f t="shared" si="10"/>
        <v>0.00127665346740907</v>
      </c>
    </row>
    <row r="241" spans="1:10" ht="15.75">
      <c r="A241" s="52" t="s">
        <v>245</v>
      </c>
      <c r="B241" s="1"/>
      <c r="C241" s="1"/>
      <c r="D241" s="5"/>
      <c r="E241" s="232">
        <v>435254</v>
      </c>
      <c r="G241" s="5"/>
      <c r="I241" s="5">
        <f t="shared" si="11"/>
        <v>435254</v>
      </c>
      <c r="J241" s="22">
        <f t="shared" si="10"/>
        <v>0.026053475633142694</v>
      </c>
    </row>
    <row r="242" spans="1:10" ht="15.75">
      <c r="A242" s="52" t="s">
        <v>246</v>
      </c>
      <c r="B242" s="1"/>
      <c r="C242" s="1"/>
      <c r="D242" s="5"/>
      <c r="E242" s="232">
        <v>295338</v>
      </c>
      <c r="G242" s="5"/>
      <c r="I242" s="5">
        <f t="shared" si="11"/>
        <v>295338</v>
      </c>
      <c r="J242" s="22">
        <f t="shared" si="10"/>
        <v>0.0176783702999653</v>
      </c>
    </row>
    <row r="243" spans="1:10" ht="17.25">
      <c r="A243" s="52" t="s">
        <v>247</v>
      </c>
      <c r="B243" s="1"/>
      <c r="C243" s="1"/>
      <c r="D243" s="5"/>
      <c r="E243" s="233">
        <v>792400</v>
      </c>
      <c r="G243" s="56"/>
      <c r="I243" s="56">
        <f t="shared" si="11"/>
        <v>792400</v>
      </c>
      <c r="J243" s="40">
        <f t="shared" si="10"/>
        <v>0.047431555118855356</v>
      </c>
    </row>
    <row r="244" spans="1:10" ht="20.25">
      <c r="A244" s="24" t="s">
        <v>226</v>
      </c>
      <c r="B244" s="24"/>
      <c r="C244" s="16"/>
      <c r="D244" s="42"/>
      <c r="E244" s="42">
        <f>SUM(E231:E243)</f>
        <v>1970213</v>
      </c>
      <c r="G244" s="42">
        <f>SUM(G231:G243)</f>
        <v>3767.603522146443</v>
      </c>
      <c r="I244" s="42">
        <f>SUM(I231:I243)</f>
        <v>1973980.6035221466</v>
      </c>
      <c r="J244" s="63">
        <f t="shared" si="10"/>
        <v>0.11815872009024743</v>
      </c>
    </row>
    <row r="245" spans="1:10" ht="20.25">
      <c r="A245" s="24"/>
      <c r="B245" s="24"/>
      <c r="C245" s="16"/>
      <c r="D245" s="42"/>
      <c r="E245" s="42"/>
      <c r="G245" s="42"/>
      <c r="I245" s="42"/>
      <c r="J245" s="63"/>
    </row>
    <row r="246" spans="1:10" ht="20.25">
      <c r="A246" s="23" t="s">
        <v>220</v>
      </c>
      <c r="B246" s="23"/>
      <c r="C246" s="14"/>
      <c r="D246" s="42"/>
      <c r="E246" s="42">
        <f>+E244+E228</f>
        <v>1970449</v>
      </c>
      <c r="G246" s="42">
        <f>+G244+G228</f>
        <v>3767.603522146443</v>
      </c>
      <c r="I246" s="42">
        <f>+I244+I228</f>
        <v>1974216.6035221466</v>
      </c>
      <c r="J246" s="63">
        <f t="shared" si="10"/>
        <v>0.11817284660085829</v>
      </c>
    </row>
    <row r="247" spans="1:10" ht="15.75">
      <c r="A247" s="9"/>
      <c r="B247" s="9"/>
      <c r="C247" s="16"/>
      <c r="D247" s="10"/>
      <c r="E247" s="10"/>
      <c r="G247" s="10"/>
      <c r="I247" s="10"/>
      <c r="J247" s="63"/>
    </row>
    <row r="248" spans="1:10" ht="15.75">
      <c r="A248" s="2"/>
      <c r="B248" s="2"/>
      <c r="C248" s="14"/>
      <c r="D248" s="30"/>
      <c r="E248" s="30"/>
      <c r="G248" s="30"/>
      <c r="I248" s="30"/>
      <c r="J248" s="63"/>
    </row>
    <row r="249" spans="1:10" ht="18">
      <c r="A249" s="23" t="s">
        <v>248</v>
      </c>
      <c r="B249" s="23"/>
      <c r="C249" s="16"/>
      <c r="D249" s="44"/>
      <c r="E249" s="44">
        <f>+E222-E246</f>
        <v>849774</v>
      </c>
      <c r="G249" s="44">
        <f>+G222-G246</f>
        <v>53.350673975886366</v>
      </c>
      <c r="I249" s="44">
        <f>+I222-I246</f>
        <v>849827.350673975</v>
      </c>
      <c r="J249" s="89">
        <f t="shared" si="10"/>
        <v>0.050869046977540966</v>
      </c>
    </row>
    <row r="250" spans="1:10" ht="15.75">
      <c r="A250" s="1"/>
      <c r="B250" s="1"/>
      <c r="C250" s="1"/>
      <c r="D250" s="60"/>
      <c r="E250" s="60"/>
      <c r="I250" s="60"/>
      <c r="J250" s="60"/>
    </row>
    <row r="251" spans="1:10" ht="15.75">
      <c r="A251" s="1"/>
      <c r="B251" s="1"/>
      <c r="C251" s="1"/>
      <c r="D251" s="60"/>
      <c r="E251" s="60"/>
      <c r="I251" s="60"/>
      <c r="J251" s="60"/>
    </row>
    <row r="252" spans="1:10" ht="15.75">
      <c r="A252" s="54" t="s">
        <v>249</v>
      </c>
      <c r="B252" s="1"/>
      <c r="C252" s="1"/>
      <c r="D252" s="53"/>
      <c r="E252" s="53">
        <f>(E246+E220+E36)/E26</f>
        <v>0.9485008769602976</v>
      </c>
      <c r="I252" s="53">
        <f>(I246+I220+I36)/I26</f>
        <v>0.9491309530224589</v>
      </c>
      <c r="J252" s="60"/>
    </row>
    <row r="253" spans="1:10" ht="15.75">
      <c r="A253" s="1"/>
      <c r="B253" s="1"/>
      <c r="C253" s="1"/>
      <c r="D253" s="60"/>
      <c r="E253" s="60"/>
      <c r="J253" s="60"/>
    </row>
    <row r="254" spans="1:10" ht="15.75">
      <c r="A254" s="1"/>
      <c r="B254" s="1"/>
      <c r="C254" s="1"/>
      <c r="D254" s="60"/>
      <c r="E254" s="60"/>
      <c r="J254" s="60"/>
    </row>
    <row r="255" spans="1:51" ht="15.75">
      <c r="A255" s="51"/>
      <c r="B255" s="51"/>
      <c r="C255" s="14"/>
      <c r="D255" s="2"/>
      <c r="E255" s="50"/>
      <c r="F255" s="14"/>
      <c r="G255" s="59"/>
      <c r="H255" s="59"/>
      <c r="I255" s="2"/>
      <c r="J255" s="2"/>
      <c r="K255" s="58"/>
      <c r="L255" s="2"/>
      <c r="M255" s="2"/>
      <c r="N255" s="2"/>
      <c r="O255" s="2"/>
      <c r="P255" s="2"/>
      <c r="Q255" s="2"/>
      <c r="R255" s="2"/>
      <c r="S255" s="2"/>
      <c r="T255" s="2"/>
      <c r="U255" s="2"/>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row>
    <row r="256" spans="1:51" ht="15.75">
      <c r="A256" s="1"/>
      <c r="B256" s="1"/>
      <c r="C256" s="1"/>
      <c r="D256" s="60"/>
      <c r="E256" s="60"/>
      <c r="F256" s="114"/>
      <c r="G256" s="57"/>
      <c r="H256" s="57"/>
      <c r="I256" s="57"/>
      <c r="J256" s="60"/>
      <c r="K256" s="86"/>
      <c r="L256" s="86"/>
      <c r="M256" s="86"/>
      <c r="N256" s="86"/>
      <c r="O256" s="86"/>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5.75">
      <c r="A257" s="1"/>
      <c r="B257" s="1"/>
      <c r="C257" s="1"/>
      <c r="D257" s="60"/>
      <c r="E257" s="60"/>
      <c r="F257" s="114"/>
      <c r="G257" s="57"/>
      <c r="H257" s="57"/>
      <c r="I257" s="57"/>
      <c r="J257" s="60"/>
      <c r="K257" s="86"/>
      <c r="L257" s="86"/>
      <c r="M257" s="86"/>
      <c r="N257" s="86"/>
      <c r="O257" s="86"/>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9" spans="1:51" ht="15.75">
      <c r="A259" s="1"/>
      <c r="B259" s="1"/>
      <c r="C259" s="1"/>
      <c r="D259" s="60"/>
      <c r="E259" s="60"/>
      <c r="F259" s="114"/>
      <c r="G259" s="57"/>
      <c r="H259" s="57"/>
      <c r="I259" s="57"/>
      <c r="J259" s="60"/>
      <c r="K259" s="86"/>
      <c r="L259" s="86"/>
      <c r="M259" s="86"/>
      <c r="N259" s="86"/>
      <c r="O259" s="86"/>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sheetData>
  <sheetProtection/>
  <mergeCells count="1">
    <mergeCell ref="A7:B7"/>
  </mergeCells>
  <printOptions/>
  <pageMargins left="0.45" right="0.45" top="0.5" bottom="0.5" header="0.3" footer="0.05"/>
  <pageSetup fitToHeight="10" fitToWidth="1" horizontalDpi="600" verticalDpi="600" orientation="portrait" scale="67" r:id="rId3"/>
  <headerFoot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64"/>
  <sheetViews>
    <sheetView zoomScalePageLayoutView="0" workbookViewId="0" topLeftCell="A28">
      <selection activeCell="B61" sqref="B61"/>
    </sheetView>
  </sheetViews>
  <sheetFormatPr defaultColWidth="9.140625" defaultRowHeight="15"/>
  <cols>
    <col min="1" max="1" width="52.140625" style="0" customWidth="1"/>
    <col min="2" max="2" width="16.7109375" style="0" customWidth="1"/>
    <col min="3" max="3" width="15.57421875" style="0" customWidth="1"/>
    <col min="6" max="6" width="12.421875" style="0" customWidth="1"/>
    <col min="7" max="7" width="10.7109375" style="0" customWidth="1"/>
    <col min="8" max="8" width="10.00390625" style="0" bestFit="1" customWidth="1"/>
  </cols>
  <sheetData>
    <row r="1" spans="1:8" ht="15">
      <c r="A1" s="252" t="s">
        <v>272</v>
      </c>
      <c r="B1" s="252"/>
      <c r="C1" s="252"/>
      <c r="D1" s="252"/>
      <c r="E1" s="252"/>
      <c r="F1" s="252"/>
      <c r="G1" s="252"/>
      <c r="H1" s="252"/>
    </row>
    <row r="2" spans="1:8" ht="15">
      <c r="A2" s="136" t="s">
        <v>273</v>
      </c>
      <c r="B2" s="137" t="s">
        <v>274</v>
      </c>
      <c r="C2" s="137" t="s">
        <v>275</v>
      </c>
      <c r="D2" s="137" t="s">
        <v>276</v>
      </c>
      <c r="E2" s="138" t="s">
        <v>277</v>
      </c>
      <c r="F2" s="138" t="s">
        <v>278</v>
      </c>
      <c r="G2" s="138" t="s">
        <v>279</v>
      </c>
      <c r="H2" s="137" t="s">
        <v>280</v>
      </c>
    </row>
    <row r="3" spans="1:8" ht="15">
      <c r="A3" s="136" t="s">
        <v>281</v>
      </c>
      <c r="B3" s="139">
        <f>52*5/12</f>
        <v>21.666666666666668</v>
      </c>
      <c r="C3" s="140">
        <f>$B$3*2</f>
        <v>43.333333333333336</v>
      </c>
      <c r="D3" s="140">
        <f>$B$3*3</f>
        <v>65</v>
      </c>
      <c r="E3" s="140">
        <f>$B$3*4</f>
        <v>86.66666666666667</v>
      </c>
      <c r="F3" s="140">
        <f>$B$3*5</f>
        <v>108.33333333333334</v>
      </c>
      <c r="G3" s="140">
        <f>$B$3*6</f>
        <v>130</v>
      </c>
      <c r="H3" s="140">
        <f>$B$3*7</f>
        <v>151.66666666666669</v>
      </c>
    </row>
    <row r="4" spans="1:8" ht="15">
      <c r="A4" s="136" t="s">
        <v>282</v>
      </c>
      <c r="B4" s="139">
        <f>52*4/12</f>
        <v>17.333333333333332</v>
      </c>
      <c r="C4" s="140">
        <f>$B$4*2</f>
        <v>34.666666666666664</v>
      </c>
      <c r="D4" s="140">
        <f>$B$4*3</f>
        <v>52</v>
      </c>
      <c r="E4" s="140">
        <f>$B$4*4</f>
        <v>69.33333333333333</v>
      </c>
      <c r="F4" s="140">
        <f>$B$4*5</f>
        <v>86.66666666666666</v>
      </c>
      <c r="G4" s="140">
        <f>$B$4*6</f>
        <v>104</v>
      </c>
      <c r="H4" s="140">
        <f>$B$4*7</f>
        <v>121.33333333333333</v>
      </c>
    </row>
    <row r="5" spans="1:8" ht="15">
      <c r="A5" s="136" t="s">
        <v>283</v>
      </c>
      <c r="B5" s="139">
        <f>52*3/12</f>
        <v>13</v>
      </c>
      <c r="C5" s="140">
        <f>$B$5*2</f>
        <v>26</v>
      </c>
      <c r="D5" s="140">
        <f>$B$5*3</f>
        <v>39</v>
      </c>
      <c r="E5" s="140">
        <f>$B$5*4</f>
        <v>52</v>
      </c>
      <c r="F5" s="140">
        <f>$B$5*5</f>
        <v>65</v>
      </c>
      <c r="G5" s="140">
        <f>$B$5*6</f>
        <v>78</v>
      </c>
      <c r="H5" s="140">
        <f>$B$5*7</f>
        <v>91</v>
      </c>
    </row>
    <row r="6" spans="1:8" ht="15">
      <c r="A6" s="136" t="s">
        <v>284</v>
      </c>
      <c r="B6" s="139">
        <f>52*2/12</f>
        <v>8.666666666666666</v>
      </c>
      <c r="C6" s="141">
        <f>$B$6*2</f>
        <v>17.333333333333332</v>
      </c>
      <c r="D6" s="141">
        <f>$B$6*3</f>
        <v>26</v>
      </c>
      <c r="E6" s="141">
        <f>$B$6*4</f>
        <v>34.666666666666664</v>
      </c>
      <c r="F6" s="141">
        <f>$B$6*5</f>
        <v>43.33333333333333</v>
      </c>
      <c r="G6" s="141">
        <f>$B$6*6</f>
        <v>52</v>
      </c>
      <c r="H6" s="141">
        <f>$B$6*7</f>
        <v>60.666666666666664</v>
      </c>
    </row>
    <row r="7" spans="1:8" ht="15">
      <c r="A7" s="136" t="s">
        <v>285</v>
      </c>
      <c r="B7" s="139">
        <f>52/12</f>
        <v>4.333333333333333</v>
      </c>
      <c r="C7" s="141">
        <f>$B$7*2</f>
        <v>8.666666666666666</v>
      </c>
      <c r="D7" s="141">
        <f>$B$7*3</f>
        <v>13</v>
      </c>
      <c r="E7" s="141">
        <f>$B$7*4</f>
        <v>17.333333333333332</v>
      </c>
      <c r="F7" s="141">
        <f>$B$7*5</f>
        <v>21.666666666666664</v>
      </c>
      <c r="G7" s="141">
        <f>$B$7*6</f>
        <v>26</v>
      </c>
      <c r="H7" s="141">
        <f>$B$7*7</f>
        <v>30.333333333333332</v>
      </c>
    </row>
    <row r="8" spans="1:8" ht="15">
      <c r="A8" s="136" t="s">
        <v>286</v>
      </c>
      <c r="B8" s="139">
        <f>26/12</f>
        <v>2.1666666666666665</v>
      </c>
      <c r="C8" s="141">
        <f>$B$8*2</f>
        <v>4.333333333333333</v>
      </c>
      <c r="D8" s="141">
        <f>$B$8*3</f>
        <v>6.5</v>
      </c>
      <c r="E8" s="141">
        <f>$B$8*4</f>
        <v>8.666666666666666</v>
      </c>
      <c r="F8" s="141">
        <f>$B$8*5</f>
        <v>10.833333333333332</v>
      </c>
      <c r="G8" s="141">
        <f>$B$8*6</f>
        <v>13</v>
      </c>
      <c r="H8" s="141">
        <f>$B$8*7</f>
        <v>15.166666666666666</v>
      </c>
    </row>
    <row r="9" spans="1:8" ht="15">
      <c r="A9" s="136" t="s">
        <v>287</v>
      </c>
      <c r="B9" s="139">
        <f>12/12</f>
        <v>1</v>
      </c>
      <c r="C9" s="141">
        <f>$B$9*2</f>
        <v>2</v>
      </c>
      <c r="D9" s="141">
        <f>$B$9*3</f>
        <v>3</v>
      </c>
      <c r="E9" s="141">
        <f>$B$9*4</f>
        <v>4</v>
      </c>
      <c r="F9" s="141">
        <f>$B$9*5</f>
        <v>5</v>
      </c>
      <c r="G9" s="141">
        <f>$B$9*6</f>
        <v>6</v>
      </c>
      <c r="H9" s="141">
        <f>$B$9*7</f>
        <v>7</v>
      </c>
    </row>
    <row r="10" spans="1:8" ht="15">
      <c r="A10" s="136"/>
      <c r="B10" s="139"/>
      <c r="C10" s="141"/>
      <c r="D10" s="141"/>
      <c r="E10" s="141"/>
      <c r="F10" s="141"/>
      <c r="G10" s="141"/>
      <c r="H10" s="141"/>
    </row>
    <row r="11" spans="1:8" ht="15">
      <c r="A11" s="252" t="s">
        <v>288</v>
      </c>
      <c r="B11" s="252"/>
      <c r="C11" s="141"/>
      <c r="D11" s="141"/>
      <c r="E11" s="141"/>
      <c r="F11" s="141"/>
      <c r="G11" s="141"/>
      <c r="H11" s="141"/>
    </row>
    <row r="12" spans="1:8" ht="15">
      <c r="A12" s="142" t="s">
        <v>289</v>
      </c>
      <c r="B12" s="143" t="s">
        <v>290</v>
      </c>
      <c r="C12" s="141"/>
      <c r="D12" s="141"/>
      <c r="E12" s="141"/>
      <c r="F12" s="141"/>
      <c r="G12" s="141"/>
      <c r="H12" s="141"/>
    </row>
    <row r="13" spans="1:8" ht="15">
      <c r="A13" s="144" t="s">
        <v>291</v>
      </c>
      <c r="B13" s="145">
        <v>20</v>
      </c>
      <c r="C13" s="141"/>
      <c r="D13" s="141"/>
      <c r="E13" s="141"/>
      <c r="F13" s="141"/>
      <c r="G13" s="141"/>
      <c r="H13" s="141"/>
    </row>
    <row r="14" spans="1:8" ht="15">
      <c r="A14" s="144" t="s">
        <v>292</v>
      </c>
      <c r="B14" s="145">
        <v>34</v>
      </c>
      <c r="C14" s="141"/>
      <c r="D14" s="141"/>
      <c r="E14" s="141"/>
      <c r="F14" s="141"/>
      <c r="G14" s="141"/>
      <c r="H14" s="141"/>
    </row>
    <row r="15" spans="1:8" ht="15">
      <c r="A15" s="144" t="s">
        <v>293</v>
      </c>
      <c r="B15" s="145">
        <v>51</v>
      </c>
      <c r="C15" s="141"/>
      <c r="D15" s="141"/>
      <c r="E15" s="141"/>
      <c r="F15" s="141"/>
      <c r="G15" s="141"/>
      <c r="H15" s="141"/>
    </row>
    <row r="16" spans="1:8" ht="15">
      <c r="A16" s="144" t="s">
        <v>294</v>
      </c>
      <c r="B16" s="145">
        <v>77</v>
      </c>
      <c r="C16" s="141"/>
      <c r="D16" s="141"/>
      <c r="E16" s="141"/>
      <c r="F16" s="136" t="s">
        <v>295</v>
      </c>
      <c r="G16" s="145">
        <v>2000</v>
      </c>
      <c r="H16" s="141"/>
    </row>
    <row r="17" spans="1:8" ht="15">
      <c r="A17" s="144" t="s">
        <v>296</v>
      </c>
      <c r="B17" s="145">
        <v>97</v>
      </c>
      <c r="C17" s="141"/>
      <c r="D17" s="141"/>
      <c r="E17" s="141"/>
      <c r="F17" s="136" t="s">
        <v>297</v>
      </c>
      <c r="G17" s="146" t="s">
        <v>298</v>
      </c>
      <c r="H17" s="141"/>
    </row>
    <row r="18" spans="1:8" ht="15">
      <c r="A18" s="144" t="s">
        <v>299</v>
      </c>
      <c r="B18" s="145">
        <v>117</v>
      </c>
      <c r="C18" s="141"/>
      <c r="D18" s="141"/>
      <c r="E18" s="141"/>
      <c r="F18" s="136"/>
      <c r="G18" s="136"/>
      <c r="H18" s="141"/>
    </row>
    <row r="19" spans="1:8" ht="15">
      <c r="A19" s="144" t="s">
        <v>300</v>
      </c>
      <c r="B19" s="145">
        <v>157</v>
      </c>
      <c r="C19" s="141"/>
      <c r="D19" s="141"/>
      <c r="E19" s="141"/>
      <c r="F19" s="147"/>
      <c r="G19" s="148"/>
      <c r="H19" s="141"/>
    </row>
    <row r="20" spans="1:8" ht="15">
      <c r="A20" s="144" t="s">
        <v>301</v>
      </c>
      <c r="B20" s="145">
        <v>37</v>
      </c>
      <c r="C20" s="141" t="s">
        <v>302</v>
      </c>
      <c r="D20" s="141"/>
      <c r="E20" s="141"/>
      <c r="F20" s="147"/>
      <c r="G20" s="148"/>
      <c r="H20" s="141"/>
    </row>
    <row r="21" spans="1:8" ht="15">
      <c r="A21" s="144" t="s">
        <v>303</v>
      </c>
      <c r="B21" s="145">
        <v>47</v>
      </c>
      <c r="C21" s="141"/>
      <c r="D21" s="141"/>
      <c r="E21" s="141"/>
      <c r="F21" s="141"/>
      <c r="G21" s="141"/>
      <c r="H21" s="141"/>
    </row>
    <row r="22" spans="1:8" ht="15">
      <c r="A22" s="144" t="s">
        <v>304</v>
      </c>
      <c r="B22" s="145">
        <v>68</v>
      </c>
      <c r="C22" s="141"/>
      <c r="D22" s="141"/>
      <c r="E22" s="141"/>
      <c r="F22" s="141"/>
      <c r="G22" s="141"/>
      <c r="H22" s="141"/>
    </row>
    <row r="23" spans="1:8" ht="15">
      <c r="A23" s="144" t="s">
        <v>305</v>
      </c>
      <c r="B23" s="145">
        <v>34</v>
      </c>
      <c r="C23" s="141"/>
      <c r="D23" s="141"/>
      <c r="E23" s="141"/>
      <c r="F23" s="141"/>
      <c r="G23" s="141"/>
      <c r="H23" s="141"/>
    </row>
    <row r="24" spans="1:8" ht="15">
      <c r="A24" s="144" t="s">
        <v>306</v>
      </c>
      <c r="B24" s="145">
        <v>34</v>
      </c>
      <c r="C24" s="141"/>
      <c r="D24" s="141"/>
      <c r="E24" s="141"/>
      <c r="F24" s="141"/>
      <c r="G24" s="141"/>
      <c r="H24" s="141"/>
    </row>
    <row r="25" spans="1:8" ht="15">
      <c r="A25" s="142" t="s">
        <v>307</v>
      </c>
      <c r="B25" s="145"/>
      <c r="C25" s="141"/>
      <c r="D25" s="141"/>
      <c r="E25" s="141"/>
      <c r="F25" s="141"/>
      <c r="G25" s="141"/>
      <c r="H25" s="141"/>
    </row>
    <row r="26" spans="1:8" ht="15">
      <c r="A26" s="144" t="s">
        <v>308</v>
      </c>
      <c r="B26" s="145">
        <v>29</v>
      </c>
      <c r="C26" s="141"/>
      <c r="D26" s="141"/>
      <c r="E26" s="141"/>
      <c r="F26" s="141"/>
      <c r="G26" s="141"/>
      <c r="H26" s="141"/>
    </row>
    <row r="27" spans="1:8" ht="15">
      <c r="A27" s="144" t="s">
        <v>309</v>
      </c>
      <c r="B27" s="145">
        <v>175</v>
      </c>
      <c r="C27" s="141"/>
      <c r="D27" s="141"/>
      <c r="E27" s="141"/>
      <c r="F27" s="141"/>
      <c r="G27" s="141"/>
      <c r="H27" s="141"/>
    </row>
    <row r="28" spans="1:8" ht="15">
      <c r="A28" s="144" t="s">
        <v>310</v>
      </c>
      <c r="B28" s="145">
        <v>250</v>
      </c>
      <c r="C28" s="141"/>
      <c r="D28" s="141"/>
      <c r="E28" s="141"/>
      <c r="F28" s="141"/>
      <c r="G28" s="141"/>
      <c r="H28" s="141"/>
    </row>
    <row r="29" spans="1:8" ht="15">
      <c r="A29" s="144" t="s">
        <v>311</v>
      </c>
      <c r="B29" s="145">
        <v>324</v>
      </c>
      <c r="C29" s="141"/>
      <c r="D29" s="141"/>
      <c r="E29" s="141"/>
      <c r="F29" s="141"/>
      <c r="G29" s="141"/>
      <c r="H29" s="141"/>
    </row>
    <row r="30" spans="1:8" ht="15">
      <c r="A30" s="144" t="s">
        <v>312</v>
      </c>
      <c r="B30" s="145">
        <v>473</v>
      </c>
      <c r="C30" s="141"/>
      <c r="D30" s="141"/>
      <c r="E30" s="141"/>
      <c r="F30" s="141"/>
      <c r="G30" s="141"/>
      <c r="H30" s="141"/>
    </row>
    <row r="31" spans="1:8" ht="15">
      <c r="A31" s="144" t="s">
        <v>313</v>
      </c>
      <c r="B31" s="145">
        <v>613</v>
      </c>
      <c r="C31" s="141"/>
      <c r="D31" s="141"/>
      <c r="E31" s="141"/>
      <c r="F31" s="141"/>
      <c r="G31" s="141"/>
      <c r="H31" s="141"/>
    </row>
    <row r="32" spans="1:8" ht="15">
      <c r="A32" s="144" t="s">
        <v>314</v>
      </c>
      <c r="B32" s="145">
        <v>840</v>
      </c>
      <c r="C32" s="141"/>
      <c r="D32" s="141"/>
      <c r="E32" s="141"/>
      <c r="F32" s="141"/>
      <c r="G32" s="141"/>
      <c r="H32" s="141"/>
    </row>
    <row r="33" spans="1:8" ht="15">
      <c r="A33" s="144" t="s">
        <v>315</v>
      </c>
      <c r="B33" s="145">
        <v>980</v>
      </c>
      <c r="C33" s="141"/>
      <c r="D33" s="141"/>
      <c r="E33" s="141"/>
      <c r="F33" s="141"/>
      <c r="G33" s="141"/>
      <c r="H33" s="141"/>
    </row>
    <row r="34" spans="1:8" ht="15">
      <c r="A34" s="144" t="s">
        <v>316</v>
      </c>
      <c r="B34" s="145">
        <v>482</v>
      </c>
      <c r="C34" s="141" t="s">
        <v>302</v>
      </c>
      <c r="D34" s="141"/>
      <c r="E34" s="141"/>
      <c r="F34" s="141"/>
      <c r="G34" s="141"/>
      <c r="H34" s="141"/>
    </row>
    <row r="35" spans="1:8" ht="15">
      <c r="A35" s="144" t="s">
        <v>317</v>
      </c>
      <c r="B35" s="145">
        <v>689</v>
      </c>
      <c r="C35" s="141" t="s">
        <v>302</v>
      </c>
      <c r="D35" s="141"/>
      <c r="E35" s="141"/>
      <c r="F35" s="141"/>
      <c r="G35" s="141"/>
      <c r="H35" s="141"/>
    </row>
    <row r="36" spans="1:8" ht="15">
      <c r="A36" s="144" t="s">
        <v>318</v>
      </c>
      <c r="B36" s="145">
        <v>892</v>
      </c>
      <c r="C36" s="141" t="s">
        <v>302</v>
      </c>
      <c r="D36" s="141"/>
      <c r="E36" s="141"/>
      <c r="F36" s="141"/>
      <c r="G36" s="141"/>
      <c r="H36" s="141"/>
    </row>
    <row r="37" spans="1:8" ht="15">
      <c r="A37" s="144" t="s">
        <v>319</v>
      </c>
      <c r="B37" s="145">
        <v>1301</v>
      </c>
      <c r="C37" s="141"/>
      <c r="D37" s="141"/>
      <c r="E37" s="141"/>
      <c r="F37" s="141"/>
      <c r="G37" s="141"/>
      <c r="H37" s="141"/>
    </row>
    <row r="38" spans="1:8" ht="15">
      <c r="A38" s="144" t="s">
        <v>320</v>
      </c>
      <c r="B38" s="145">
        <v>1686</v>
      </c>
      <c r="C38" s="141"/>
      <c r="D38" s="141"/>
      <c r="E38" s="141"/>
      <c r="F38" s="141"/>
      <c r="G38" s="141"/>
      <c r="H38" s="141"/>
    </row>
    <row r="39" spans="1:8" ht="15">
      <c r="A39" s="144" t="s">
        <v>321</v>
      </c>
      <c r="B39" s="145">
        <v>2046</v>
      </c>
      <c r="C39" s="141"/>
      <c r="D39" s="141"/>
      <c r="E39" s="141"/>
      <c r="F39" s="141"/>
      <c r="G39" s="141"/>
      <c r="H39" s="141"/>
    </row>
    <row r="40" spans="1:8" ht="15">
      <c r="A40" s="144" t="s">
        <v>322</v>
      </c>
      <c r="B40" s="145">
        <v>2310</v>
      </c>
      <c r="C40" s="141"/>
      <c r="D40" s="141"/>
      <c r="E40" s="141"/>
      <c r="F40" s="141"/>
      <c r="G40" s="141"/>
      <c r="H40" s="141"/>
    </row>
    <row r="41" spans="1:8" ht="15">
      <c r="A41" s="144" t="s">
        <v>323</v>
      </c>
      <c r="B41" s="145">
        <v>2800</v>
      </c>
      <c r="C41" s="141" t="s">
        <v>302</v>
      </c>
      <c r="D41" s="141"/>
      <c r="E41" s="141"/>
      <c r="F41" s="141"/>
      <c r="G41" s="141"/>
      <c r="H41" s="141"/>
    </row>
    <row r="42" spans="1:8" ht="15">
      <c r="A42" s="144" t="s">
        <v>324</v>
      </c>
      <c r="B42" s="145">
        <v>125</v>
      </c>
      <c r="C42" s="141"/>
      <c r="D42" s="141"/>
      <c r="E42" s="141"/>
      <c r="F42" s="141"/>
      <c r="G42" s="141"/>
      <c r="H42" s="141"/>
    </row>
    <row r="43" spans="1:8" ht="15">
      <c r="A43" s="136"/>
      <c r="B43" s="253" t="s">
        <v>325</v>
      </c>
      <c r="C43" s="253"/>
      <c r="D43" s="136"/>
      <c r="E43" s="136"/>
      <c r="F43" s="136"/>
      <c r="G43" s="136"/>
      <c r="H43" s="136"/>
    </row>
    <row r="44" spans="1:8" ht="15">
      <c r="A44" s="136"/>
      <c r="B44" s="136"/>
      <c r="C44" s="136"/>
      <c r="D44" s="136"/>
      <c r="E44" s="136"/>
      <c r="F44" s="136"/>
      <c r="G44" s="136"/>
      <c r="H44" s="136"/>
    </row>
    <row r="45" spans="1:8" ht="15">
      <c r="A45" s="136"/>
      <c r="B45" s="136"/>
      <c r="C45" s="136"/>
      <c r="D45" s="136"/>
      <c r="E45" s="136"/>
      <c r="F45" s="136"/>
      <c r="G45" s="136"/>
      <c r="H45" s="136"/>
    </row>
    <row r="46" spans="1:8" ht="15">
      <c r="A46" s="149" t="s">
        <v>326</v>
      </c>
      <c r="B46" s="150" t="s">
        <v>327</v>
      </c>
      <c r="C46" s="150" t="s">
        <v>328</v>
      </c>
      <c r="D46" s="136"/>
      <c r="E46" s="136"/>
      <c r="F46" s="254" t="s">
        <v>329</v>
      </c>
      <c r="G46" s="254"/>
      <c r="H46" s="136"/>
    </row>
    <row r="47" spans="1:8" ht="15">
      <c r="A47" s="151" t="s">
        <v>330</v>
      </c>
      <c r="B47" s="216">
        <v>68</v>
      </c>
      <c r="C47" s="217">
        <f>B47/2000</f>
        <v>0.034</v>
      </c>
      <c r="D47" s="136"/>
      <c r="E47" s="136"/>
      <c r="F47" s="136" t="s">
        <v>331</v>
      </c>
      <c r="G47" s="241">
        <f>0.015</f>
        <v>0.015</v>
      </c>
      <c r="H47" s="136"/>
    </row>
    <row r="48" spans="1:8" ht="15">
      <c r="A48" s="151" t="s">
        <v>332</v>
      </c>
      <c r="B48" s="215">
        <v>71</v>
      </c>
      <c r="C48" s="218">
        <f>B48/2000</f>
        <v>0.0355</v>
      </c>
      <c r="D48" s="136"/>
      <c r="E48" s="136"/>
      <c r="F48" s="136" t="s">
        <v>333</v>
      </c>
      <c r="G48" s="242">
        <f>0.004275</f>
        <v>0.004275</v>
      </c>
      <c r="H48" s="136"/>
    </row>
    <row r="49" spans="1:8" ht="15">
      <c r="A49" s="144" t="s">
        <v>334</v>
      </c>
      <c r="B49" s="216">
        <f>B48-B47</f>
        <v>3</v>
      </c>
      <c r="C49" s="219">
        <f>C48-C47</f>
        <v>0.0014999999999999944</v>
      </c>
      <c r="D49" s="136"/>
      <c r="E49" s="136"/>
      <c r="F49" s="136" t="s">
        <v>335</v>
      </c>
      <c r="G49" s="249">
        <v>0.01834</v>
      </c>
      <c r="H49" s="136"/>
    </row>
    <row r="50" spans="1:8" ht="15">
      <c r="A50" s="136"/>
      <c r="B50" s="136"/>
      <c r="C50" s="136"/>
      <c r="D50" s="136"/>
      <c r="E50" s="136"/>
      <c r="G50" s="247">
        <f>SUM(G47:G49)</f>
        <v>0.037614999999999996</v>
      </c>
      <c r="H50" s="136"/>
    </row>
    <row r="51" spans="1:8" ht="15">
      <c r="A51" s="136"/>
      <c r="C51" s="152" t="s">
        <v>336</v>
      </c>
      <c r="D51" s="136"/>
      <c r="E51" s="136"/>
      <c r="H51" s="136"/>
    </row>
    <row r="52" spans="1:8" ht="15">
      <c r="A52" s="136" t="s">
        <v>337</v>
      </c>
      <c r="C52" s="153">
        <f>B49</f>
        <v>3</v>
      </c>
      <c r="D52" s="136"/>
      <c r="E52" s="136"/>
      <c r="F52" s="136" t="s">
        <v>435</v>
      </c>
      <c r="G52" s="243">
        <f>+B62</f>
        <v>0.00838543752619038</v>
      </c>
      <c r="H52" s="136"/>
    </row>
    <row r="53" spans="1:8" ht="15">
      <c r="A53" s="136" t="s">
        <v>339</v>
      </c>
      <c r="C53" s="153">
        <f>C52/$G$57</f>
        <v>3.144655530261168</v>
      </c>
      <c r="D53" s="136"/>
      <c r="E53" s="136"/>
      <c r="F53" s="136" t="s">
        <v>7</v>
      </c>
      <c r="G53" s="244">
        <f>+G52+G50</f>
        <v>0.046000437526190374</v>
      </c>
      <c r="H53" s="136"/>
    </row>
    <row r="54" spans="1:8" ht="15">
      <c r="A54" s="136" t="s">
        <v>340</v>
      </c>
      <c r="C54" s="155">
        <f>'Calc. and priceout'!C113</f>
        <v>53787.336283173165</v>
      </c>
      <c r="D54" s="136"/>
      <c r="E54" s="136"/>
      <c r="F54" s="136"/>
      <c r="G54" s="136"/>
      <c r="H54" s="136"/>
    </row>
    <row r="55" spans="1:8" ht="17.25">
      <c r="A55" s="142" t="s">
        <v>341</v>
      </c>
      <c r="C55" s="246">
        <f>C53*C54</f>
        <v>169142.64450089767</v>
      </c>
      <c r="D55" s="136"/>
      <c r="E55" s="136"/>
      <c r="F55" s="136" t="s">
        <v>338</v>
      </c>
      <c r="G55" s="154">
        <f>1-G50</f>
        <v>0.962385</v>
      </c>
      <c r="H55" s="136" t="s">
        <v>438</v>
      </c>
    </row>
    <row r="56" spans="1:8" ht="15">
      <c r="A56" s="136"/>
      <c r="B56" s="136"/>
      <c r="C56" s="136"/>
      <c r="D56" s="136"/>
      <c r="E56" s="136"/>
      <c r="F56" s="136"/>
      <c r="G56" s="136"/>
      <c r="H56" s="136"/>
    </row>
    <row r="57" spans="1:8" ht="15">
      <c r="A57" s="136" t="s">
        <v>435</v>
      </c>
      <c r="B57" s="237">
        <f>+'Co. Pro Tonnage'!J11</f>
        <v>36288.29999999993</v>
      </c>
      <c r="F57" s="136" t="s">
        <v>338</v>
      </c>
      <c r="G57" s="154">
        <f>1-G53</f>
        <v>0.9539995624738096</v>
      </c>
      <c r="H57" t="s">
        <v>437</v>
      </c>
    </row>
    <row r="58" spans="1:3" ht="17.25">
      <c r="A58" s="136" t="s">
        <v>436</v>
      </c>
      <c r="B58" s="248">
        <f>+G55</f>
        <v>0.962385</v>
      </c>
      <c r="C58" s="238"/>
    </row>
    <row r="59" spans="1:3" ht="17.25">
      <c r="A59" s="142"/>
      <c r="B59" s="237">
        <f>+B57/B58</f>
        <v>37706.63507847684</v>
      </c>
      <c r="C59" s="239"/>
    </row>
    <row r="60" spans="1:3" ht="17.25">
      <c r="A60" s="142"/>
      <c r="B60" s="236"/>
      <c r="C60" s="239"/>
    </row>
    <row r="61" spans="1:3" ht="17.25">
      <c r="A61" s="142" t="s">
        <v>440</v>
      </c>
      <c r="B61" s="238">
        <f>+B59-B57</f>
        <v>1418.3350784769063</v>
      </c>
      <c r="C61" s="239"/>
    </row>
    <row r="62" spans="1:3" ht="17.25">
      <c r="A62" s="142" t="s">
        <v>338</v>
      </c>
      <c r="B62" s="250">
        <f>+B61/C55</f>
        <v>0.00838543752619038</v>
      </c>
      <c r="C62" s="239"/>
    </row>
    <row r="64" spans="1:2" ht="48.75" customHeight="1">
      <c r="A64" s="255" t="s">
        <v>441</v>
      </c>
      <c r="B64" s="255"/>
    </row>
  </sheetData>
  <sheetProtection/>
  <mergeCells count="5">
    <mergeCell ref="A1:H1"/>
    <mergeCell ref="A11:B11"/>
    <mergeCell ref="B43:C43"/>
    <mergeCell ref="F46:G46"/>
    <mergeCell ref="A64:B64"/>
  </mergeCells>
  <printOptions/>
  <pageMargins left="0.7" right="0.7" top="0.75" bottom="0.75" header="0.3" footer="0.3"/>
  <pageSetup fitToHeight="1" fitToWidth="1"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R124"/>
  <sheetViews>
    <sheetView zoomScale="80" zoomScaleNormal="80" zoomScalePageLayoutView="0" workbookViewId="0" topLeftCell="A1">
      <pane xSplit="3" ySplit="1" topLeftCell="D92" activePane="bottomRight" state="frozen"/>
      <selection pane="topLeft" activeCell="A1" sqref="A1"/>
      <selection pane="topRight" activeCell="D1" sqref="D1"/>
      <selection pane="bottomLeft" activeCell="A2" sqref="A2"/>
      <selection pane="bottomRight" activeCell="O15" sqref="O15"/>
    </sheetView>
  </sheetViews>
  <sheetFormatPr defaultColWidth="8.8515625" defaultRowHeight="15"/>
  <cols>
    <col min="1" max="1" width="4.57421875" style="160" customWidth="1"/>
    <col min="2" max="2" width="21.140625" style="182" customWidth="1"/>
    <col min="3" max="3" width="24.140625" style="160" customWidth="1"/>
    <col min="4" max="4" width="13.00390625" style="186" customWidth="1"/>
    <col min="5" max="5" width="18.421875" style="160" customWidth="1"/>
    <col min="6" max="6" width="13.28125" style="160" customWidth="1"/>
    <col min="7" max="7" width="14.57421875" style="160" customWidth="1"/>
    <col min="8" max="8" width="21.421875" style="160" customWidth="1"/>
    <col min="9" max="9" width="16.28125" style="180" customWidth="1"/>
    <col min="10" max="10" width="14.140625" style="160" customWidth="1"/>
    <col min="11" max="11" width="14.28125" style="160" customWidth="1"/>
    <col min="12" max="12" width="10.7109375" style="160" customWidth="1"/>
    <col min="13" max="13" width="14.28125" style="160" customWidth="1"/>
    <col min="14" max="14" width="16.28125" style="160" customWidth="1"/>
    <col min="15" max="15" width="16.57421875" style="160" customWidth="1"/>
    <col min="16" max="16" width="13.57421875" style="160" bestFit="1" customWidth="1"/>
    <col min="17" max="17" width="16.57421875" style="160" bestFit="1" customWidth="1"/>
    <col min="18" max="18" width="16.28125" style="160" customWidth="1"/>
    <col min="19" max="16384" width="8.8515625" style="160" customWidth="1"/>
  </cols>
  <sheetData>
    <row r="1" spans="1:18" ht="42" customHeight="1">
      <c r="A1" s="149"/>
      <c r="B1" s="156" t="s">
        <v>342</v>
      </c>
      <c r="C1" s="157" t="s">
        <v>343</v>
      </c>
      <c r="D1" s="156" t="s">
        <v>344</v>
      </c>
      <c r="E1" s="156" t="s">
        <v>345</v>
      </c>
      <c r="F1" s="149" t="s">
        <v>346</v>
      </c>
      <c r="G1" s="156" t="s">
        <v>288</v>
      </c>
      <c r="H1" s="158" t="s">
        <v>347</v>
      </c>
      <c r="I1" s="159" t="s">
        <v>348</v>
      </c>
      <c r="J1" s="156" t="s">
        <v>334</v>
      </c>
      <c r="K1" s="156" t="s">
        <v>349</v>
      </c>
      <c r="L1" s="158" t="s">
        <v>350</v>
      </c>
      <c r="M1" s="156" t="s">
        <v>351</v>
      </c>
      <c r="N1" s="158" t="s">
        <v>386</v>
      </c>
      <c r="O1" s="158" t="s">
        <v>352</v>
      </c>
      <c r="P1" s="156" t="s">
        <v>353</v>
      </c>
      <c r="Q1" s="158" t="s">
        <v>354</v>
      </c>
      <c r="R1" s="156" t="s">
        <v>355</v>
      </c>
    </row>
    <row r="2" spans="1:18" s="165" customFormat="1" ht="15">
      <c r="A2" s="256" t="s">
        <v>356</v>
      </c>
      <c r="B2" s="161">
        <v>22</v>
      </c>
      <c r="C2" s="106" t="s">
        <v>366</v>
      </c>
      <c r="D2" s="162">
        <v>431</v>
      </c>
      <c r="E2" s="168">
        <v>4.333333333333333</v>
      </c>
      <c r="F2" s="209">
        <v>22412</v>
      </c>
      <c r="G2" s="226">
        <f>References!B13</f>
        <v>20</v>
      </c>
      <c r="H2" s="189">
        <f aca="true" t="shared" si="0" ref="H2:H20">G2*F2</f>
        <v>448240</v>
      </c>
      <c r="I2" s="167">
        <f aca="true" t="shared" si="1" ref="I2:I22">$C$116*H2</f>
        <v>339157.9767662969</v>
      </c>
      <c r="J2" s="163">
        <f>(References!$C$49*I2)</f>
        <v>508.73696514944345</v>
      </c>
      <c r="K2" s="163">
        <f>J2/References!$G$57</f>
        <v>533.2675036351602</v>
      </c>
      <c r="L2" s="235">
        <f>((K2/F2)*E2)</f>
        <v>0.10310663256673631</v>
      </c>
      <c r="M2" s="107">
        <v>9.46</v>
      </c>
      <c r="N2" s="163">
        <f aca="true" t="shared" si="2" ref="N2:N16">L2+M2</f>
        <v>9.563106632566738</v>
      </c>
      <c r="O2" s="163">
        <f>D2*M2*12</f>
        <v>48927.12</v>
      </c>
      <c r="P2" s="164">
        <f aca="true" t="shared" si="3" ref="P2:P22">N2</f>
        <v>9.563106632566738</v>
      </c>
      <c r="Q2" s="164">
        <f>D2*P2*12</f>
        <v>49460.38750363517</v>
      </c>
      <c r="R2" s="164">
        <f aca="true" t="shared" si="4" ref="R2:R22">Q2-O2</f>
        <v>533.2675036351648</v>
      </c>
    </row>
    <row r="3" spans="1:18" s="165" customFormat="1" ht="15">
      <c r="A3" s="256"/>
      <c r="B3" s="161">
        <v>22</v>
      </c>
      <c r="C3" s="106" t="s">
        <v>367</v>
      </c>
      <c r="D3" s="189">
        <v>2130</v>
      </c>
      <c r="E3" s="168">
        <v>2.1666666666666665</v>
      </c>
      <c r="F3" s="209">
        <v>55380</v>
      </c>
      <c r="G3" s="226">
        <f>References!$B$14</f>
        <v>34</v>
      </c>
      <c r="H3" s="189">
        <f t="shared" si="0"/>
        <v>1882920</v>
      </c>
      <c r="I3" s="167">
        <f t="shared" si="1"/>
        <v>1424699.5752561032</v>
      </c>
      <c r="J3" s="163">
        <f>(References!$C$49*I3)</f>
        <v>2137.049362884147</v>
      </c>
      <c r="K3" s="214">
        <f>J3/References!$G$57</f>
        <v>2240.0946991449127</v>
      </c>
      <c r="L3" s="235">
        <f aca="true" t="shared" si="5" ref="L3:L22">((K3/F3)*E3)</f>
        <v>0.08764063768172585</v>
      </c>
      <c r="M3" s="107">
        <v>8.52</v>
      </c>
      <c r="N3" s="163">
        <f t="shared" si="2"/>
        <v>8.607640637681726</v>
      </c>
      <c r="O3" s="163">
        <f>D3*M3*12</f>
        <v>217771.19999999998</v>
      </c>
      <c r="P3" s="164">
        <f t="shared" si="3"/>
        <v>8.607640637681726</v>
      </c>
      <c r="Q3" s="164">
        <f>D3*P3*12</f>
        <v>220011.29469914493</v>
      </c>
      <c r="R3" s="164">
        <f t="shared" si="4"/>
        <v>2240.0946991449455</v>
      </c>
    </row>
    <row r="4" spans="1:18" s="165" customFormat="1" ht="15">
      <c r="A4" s="256"/>
      <c r="B4" s="161">
        <v>22</v>
      </c>
      <c r="C4" s="106" t="s">
        <v>368</v>
      </c>
      <c r="D4" s="189">
        <v>237</v>
      </c>
      <c r="E4" s="168">
        <v>1</v>
      </c>
      <c r="F4" s="209">
        <v>2844</v>
      </c>
      <c r="G4" s="226">
        <f>References!$B$14</f>
        <v>34</v>
      </c>
      <c r="H4" s="189">
        <f t="shared" si="0"/>
        <v>96696</v>
      </c>
      <c r="I4" s="167">
        <f t="shared" si="1"/>
        <v>73164.4202244196</v>
      </c>
      <c r="J4" s="163">
        <f>(References!$C$49*I4)</f>
        <v>109.746630336629</v>
      </c>
      <c r="K4" s="214">
        <f>J4/References!$G$57</f>
        <v>115.03844933853615</v>
      </c>
      <c r="L4" s="235">
        <f t="shared" si="5"/>
        <v>0.04044952508387347</v>
      </c>
      <c r="M4" s="107">
        <v>5.74</v>
      </c>
      <c r="N4" s="163">
        <f t="shared" si="2"/>
        <v>5.780449525083874</v>
      </c>
      <c r="O4" s="163">
        <f>D4*M4*12</f>
        <v>16324.560000000001</v>
      </c>
      <c r="P4" s="164">
        <f t="shared" si="3"/>
        <v>5.780449525083874</v>
      </c>
      <c r="Q4" s="164">
        <f>D4*P4*12</f>
        <v>16439.59844933854</v>
      </c>
      <c r="R4" s="164">
        <f t="shared" si="4"/>
        <v>115.03844933853907</v>
      </c>
    </row>
    <row r="5" spans="1:18" s="165" customFormat="1" ht="15">
      <c r="A5" s="256"/>
      <c r="B5" s="161">
        <v>23</v>
      </c>
      <c r="C5" s="106" t="s">
        <v>369</v>
      </c>
      <c r="D5" s="189">
        <v>66</v>
      </c>
      <c r="E5" s="168">
        <v>1</v>
      </c>
      <c r="F5" s="209">
        <v>792</v>
      </c>
      <c r="G5" s="226">
        <f>References!$B$14</f>
        <v>34</v>
      </c>
      <c r="H5" s="189">
        <f t="shared" si="0"/>
        <v>26928</v>
      </c>
      <c r="I5" s="167">
        <f t="shared" si="1"/>
        <v>20374.9018346485</v>
      </c>
      <c r="J5" s="163">
        <f>(References!$C$49*I5)</f>
        <v>30.562352751972636</v>
      </c>
      <c r="K5" s="214">
        <f>J5/References!$G$57</f>
        <v>32.03602386642779</v>
      </c>
      <c r="L5" s="235">
        <f t="shared" si="5"/>
        <v>0.04044952508387347</v>
      </c>
      <c r="M5" s="107">
        <f>+M4</f>
        <v>5.74</v>
      </c>
      <c r="N5" s="163">
        <f t="shared" si="2"/>
        <v>5.780449525083874</v>
      </c>
      <c r="O5" s="163">
        <f>F5*M5</f>
        <v>4546.08</v>
      </c>
      <c r="P5" s="164">
        <f t="shared" si="3"/>
        <v>5.780449525083874</v>
      </c>
      <c r="Q5" s="164">
        <f>F5*P5</f>
        <v>4578.116023866428</v>
      </c>
      <c r="R5" s="164">
        <f t="shared" si="4"/>
        <v>32.03602386642797</v>
      </c>
    </row>
    <row r="6" spans="1:18" s="165" customFormat="1" ht="15">
      <c r="A6" s="256"/>
      <c r="B6" s="161">
        <v>22</v>
      </c>
      <c r="C6" s="106" t="s">
        <v>370</v>
      </c>
      <c r="D6" s="189">
        <v>7505</v>
      </c>
      <c r="E6" s="168">
        <v>4.333333333333333</v>
      </c>
      <c r="F6" s="209">
        <v>390260</v>
      </c>
      <c r="G6" s="226">
        <f>References!$B$14</f>
        <v>34</v>
      </c>
      <c r="H6" s="189">
        <f t="shared" si="0"/>
        <v>13268840</v>
      </c>
      <c r="I6" s="167">
        <f t="shared" si="1"/>
        <v>10039784.330795357</v>
      </c>
      <c r="J6" s="163">
        <f>(References!$C$49*I6)</f>
        <v>15059.676496192978</v>
      </c>
      <c r="K6" s="214">
        <f>J6/References!$G$57</f>
        <v>15785.83165923246</v>
      </c>
      <c r="L6" s="235">
        <f t="shared" si="5"/>
        <v>0.1752812753634517</v>
      </c>
      <c r="M6" s="107">
        <v>12.25</v>
      </c>
      <c r="N6" s="163">
        <f t="shared" si="2"/>
        <v>12.425281275363451</v>
      </c>
      <c r="O6" s="163">
        <f aca="true" t="shared" si="6" ref="O6:O21">D6*M6*12</f>
        <v>1103235</v>
      </c>
      <c r="P6" s="164">
        <f t="shared" si="3"/>
        <v>12.425281275363451</v>
      </c>
      <c r="Q6" s="164">
        <f aca="true" t="shared" si="7" ref="Q6:Q21">D6*P6*12</f>
        <v>1119020.8316592323</v>
      </c>
      <c r="R6" s="164">
        <f t="shared" si="4"/>
        <v>15785.831659232266</v>
      </c>
    </row>
    <row r="7" spans="1:18" s="165" customFormat="1" ht="15">
      <c r="A7" s="256"/>
      <c r="B7" s="161">
        <v>22</v>
      </c>
      <c r="C7" s="106" t="s">
        <v>371</v>
      </c>
      <c r="D7" s="189">
        <v>1012</v>
      </c>
      <c r="E7" s="168">
        <v>8.666666666666666</v>
      </c>
      <c r="F7" s="209">
        <v>105248</v>
      </c>
      <c r="G7" s="226">
        <f>References!$B$14</f>
        <v>34</v>
      </c>
      <c r="H7" s="189">
        <f t="shared" si="0"/>
        <v>3578432</v>
      </c>
      <c r="I7" s="167">
        <f t="shared" si="1"/>
        <v>2707598.0660266224</v>
      </c>
      <c r="J7" s="163">
        <f>(References!$C$49*I7)</f>
        <v>4061.3970990399184</v>
      </c>
      <c r="K7" s="214">
        <f>J7/References!$G$57</f>
        <v>4257.231616027515</v>
      </c>
      <c r="L7" s="235">
        <f t="shared" si="5"/>
        <v>0.3505625507269034</v>
      </c>
      <c r="M7" s="107">
        <v>17.3</v>
      </c>
      <c r="N7" s="163">
        <f t="shared" si="2"/>
        <v>17.650562550726903</v>
      </c>
      <c r="O7" s="163">
        <f t="shared" si="6"/>
        <v>210091.2</v>
      </c>
      <c r="P7" s="164">
        <f t="shared" si="3"/>
        <v>17.650562550726903</v>
      </c>
      <c r="Q7" s="164">
        <f t="shared" si="7"/>
        <v>214348.4316160275</v>
      </c>
      <c r="R7" s="164">
        <f t="shared" si="4"/>
        <v>4257.231616027479</v>
      </c>
    </row>
    <row r="8" spans="1:18" s="165" customFormat="1" ht="15">
      <c r="A8" s="256"/>
      <c r="B8" s="161">
        <v>22</v>
      </c>
      <c r="C8" s="106" t="s">
        <v>372</v>
      </c>
      <c r="D8" s="189">
        <v>50</v>
      </c>
      <c r="E8" s="168">
        <v>13</v>
      </c>
      <c r="F8" s="209">
        <v>7800</v>
      </c>
      <c r="G8" s="226">
        <f>References!$B$14</f>
        <v>34</v>
      </c>
      <c r="H8" s="189">
        <f t="shared" si="0"/>
        <v>265200</v>
      </c>
      <c r="I8" s="167">
        <f t="shared" si="1"/>
        <v>200661.91200790188</v>
      </c>
      <c r="J8" s="163">
        <f>(References!$C$49*I8)</f>
        <v>300.99286801185167</v>
      </c>
      <c r="K8" s="214">
        <f>J8/References!$G$57</f>
        <v>315.5062956542131</v>
      </c>
      <c r="L8" s="235">
        <f t="shared" si="5"/>
        <v>0.5258438260903551</v>
      </c>
      <c r="M8" s="107">
        <v>22.34</v>
      </c>
      <c r="N8" s="163">
        <f t="shared" si="2"/>
        <v>22.865843826090355</v>
      </c>
      <c r="O8" s="163">
        <f t="shared" si="6"/>
        <v>13404</v>
      </c>
      <c r="P8" s="164">
        <f t="shared" si="3"/>
        <v>22.865843826090355</v>
      </c>
      <c r="Q8" s="164">
        <f t="shared" si="7"/>
        <v>13719.506295654213</v>
      </c>
      <c r="R8" s="164">
        <f t="shared" si="4"/>
        <v>315.5062956542133</v>
      </c>
    </row>
    <row r="9" spans="1:18" s="165" customFormat="1" ht="15">
      <c r="A9" s="256"/>
      <c r="B9" s="161">
        <v>22</v>
      </c>
      <c r="C9" s="106" t="s">
        <v>373</v>
      </c>
      <c r="D9" s="189">
        <v>12</v>
      </c>
      <c r="E9" s="168">
        <v>17.333333333333332</v>
      </c>
      <c r="F9" s="209">
        <v>2496</v>
      </c>
      <c r="G9" s="226">
        <f>References!$B$14</f>
        <v>34</v>
      </c>
      <c r="H9" s="189">
        <f t="shared" si="0"/>
        <v>84864</v>
      </c>
      <c r="I9" s="167">
        <f t="shared" si="1"/>
        <v>64211.8118425286</v>
      </c>
      <c r="J9" s="163">
        <f>(References!$C$49*I9)</f>
        <v>96.31771776379254</v>
      </c>
      <c r="K9" s="214">
        <f>J9/References!$G$57</f>
        <v>100.96201460934819</v>
      </c>
      <c r="L9" s="235">
        <f t="shared" si="5"/>
        <v>0.7011251014538068</v>
      </c>
      <c r="M9" s="107">
        <v>27.39</v>
      </c>
      <c r="N9" s="163">
        <f t="shared" si="2"/>
        <v>28.09112510145381</v>
      </c>
      <c r="O9" s="163">
        <f t="shared" si="6"/>
        <v>3944.16</v>
      </c>
      <c r="P9" s="164">
        <f t="shared" si="3"/>
        <v>28.09112510145381</v>
      </c>
      <c r="Q9" s="164">
        <f t="shared" si="7"/>
        <v>4045.1220146093483</v>
      </c>
      <c r="R9" s="164">
        <f t="shared" si="4"/>
        <v>100.96201460934844</v>
      </c>
    </row>
    <row r="10" spans="1:18" s="165" customFormat="1" ht="15">
      <c r="A10" s="256"/>
      <c r="B10" s="161">
        <v>22</v>
      </c>
      <c r="C10" s="106" t="s">
        <v>374</v>
      </c>
      <c r="D10" s="189">
        <v>7</v>
      </c>
      <c r="E10" s="168">
        <v>21.666666666666664</v>
      </c>
      <c r="F10" s="209">
        <v>1820</v>
      </c>
      <c r="G10" s="226">
        <f>References!$B$14</f>
        <v>34</v>
      </c>
      <c r="H10" s="189">
        <f t="shared" si="0"/>
        <v>61880</v>
      </c>
      <c r="I10" s="167">
        <f t="shared" si="1"/>
        <v>46821.11280184377</v>
      </c>
      <c r="J10" s="163">
        <f>(References!$C$49*I10)</f>
        <v>70.23166920276539</v>
      </c>
      <c r="K10" s="214">
        <f>J10/References!$G$57</f>
        <v>73.61813565264971</v>
      </c>
      <c r="L10" s="235">
        <f t="shared" si="5"/>
        <v>0.8764063768172584</v>
      </c>
      <c r="M10" s="107">
        <v>32.43</v>
      </c>
      <c r="N10" s="163">
        <f t="shared" si="2"/>
        <v>33.30640637681726</v>
      </c>
      <c r="O10" s="163">
        <f t="shared" si="6"/>
        <v>2724.12</v>
      </c>
      <c r="P10" s="164">
        <f t="shared" si="3"/>
        <v>33.30640637681726</v>
      </c>
      <c r="Q10" s="164">
        <f t="shared" si="7"/>
        <v>2797.73813565265</v>
      </c>
      <c r="R10" s="164">
        <f t="shared" si="4"/>
        <v>73.61813565264993</v>
      </c>
    </row>
    <row r="11" spans="1:18" s="165" customFormat="1" ht="15">
      <c r="A11" s="256"/>
      <c r="B11" s="161">
        <v>22</v>
      </c>
      <c r="C11" s="106" t="s">
        <v>375</v>
      </c>
      <c r="D11" s="189">
        <v>2226</v>
      </c>
      <c r="E11" s="168">
        <v>2.1666666666666665</v>
      </c>
      <c r="F11" s="209">
        <v>57876</v>
      </c>
      <c r="G11" s="226">
        <f>References!$B$14</f>
        <v>34</v>
      </c>
      <c r="H11" s="189">
        <f t="shared" si="0"/>
        <v>1967784</v>
      </c>
      <c r="I11" s="167">
        <f t="shared" si="1"/>
        <v>1488911.3870986318</v>
      </c>
      <c r="J11" s="163">
        <f>(References!$C$49*I11)</f>
        <v>2233.3670806479395</v>
      </c>
      <c r="K11" s="214">
        <f>J11/References!$G$57</f>
        <v>2341.056713754261</v>
      </c>
      <c r="L11" s="235">
        <f t="shared" si="5"/>
        <v>0.08764063768172585</v>
      </c>
      <c r="M11" s="107">
        <v>9.79</v>
      </c>
      <c r="N11" s="163">
        <f t="shared" si="2"/>
        <v>9.877640637681726</v>
      </c>
      <c r="O11" s="163">
        <f t="shared" si="6"/>
        <v>261510.47999999998</v>
      </c>
      <c r="P11" s="164">
        <f t="shared" si="3"/>
        <v>9.877640637681726</v>
      </c>
      <c r="Q11" s="164">
        <f t="shared" si="7"/>
        <v>263851.53671375423</v>
      </c>
      <c r="R11" s="164">
        <f t="shared" si="4"/>
        <v>2341.056713754253</v>
      </c>
    </row>
    <row r="12" spans="1:18" s="165" customFormat="1" ht="15">
      <c r="A12" s="256"/>
      <c r="B12" s="161">
        <v>22</v>
      </c>
      <c r="C12" s="106" t="s">
        <v>376</v>
      </c>
      <c r="D12" s="189">
        <v>207</v>
      </c>
      <c r="E12" s="168">
        <v>1</v>
      </c>
      <c r="F12" s="209">
        <v>2484</v>
      </c>
      <c r="G12" s="226">
        <f>References!$B$14</f>
        <v>34</v>
      </c>
      <c r="H12" s="189">
        <f t="shared" si="0"/>
        <v>84456</v>
      </c>
      <c r="I12" s="167">
        <f t="shared" si="1"/>
        <v>63903.10120867029</v>
      </c>
      <c r="J12" s="163">
        <f>(References!$C$49*I12)</f>
        <v>95.85465181300508</v>
      </c>
      <c r="K12" s="214">
        <f>J12/References!$G$57</f>
        <v>100.47662030834171</v>
      </c>
      <c r="L12" s="235">
        <f t="shared" si="5"/>
        <v>0.04044952508387347</v>
      </c>
      <c r="M12" s="107">
        <v>7.04</v>
      </c>
      <c r="N12" s="163">
        <f t="shared" si="2"/>
        <v>7.080449525083874</v>
      </c>
      <c r="O12" s="163">
        <f t="shared" si="6"/>
        <v>17487.36</v>
      </c>
      <c r="P12" s="164">
        <f t="shared" si="3"/>
        <v>7.080449525083874</v>
      </c>
      <c r="Q12" s="164">
        <f t="shared" si="7"/>
        <v>17587.836620308342</v>
      </c>
      <c r="R12" s="164">
        <f t="shared" si="4"/>
        <v>100.47662030834181</v>
      </c>
    </row>
    <row r="13" spans="1:18" s="165" customFormat="1" ht="15">
      <c r="A13" s="256"/>
      <c r="B13" s="161">
        <v>22</v>
      </c>
      <c r="C13" s="106" t="s">
        <v>377</v>
      </c>
      <c r="D13" s="189">
        <v>9769</v>
      </c>
      <c r="E13" s="168">
        <v>4.333333333333333</v>
      </c>
      <c r="F13" s="209">
        <v>507987.99999999994</v>
      </c>
      <c r="G13" s="226">
        <f>References!$B$14</f>
        <v>34</v>
      </c>
      <c r="H13" s="189">
        <f t="shared" si="0"/>
        <v>17271591.999999996</v>
      </c>
      <c r="I13" s="167">
        <f t="shared" si="1"/>
        <v>13068441.45603462</v>
      </c>
      <c r="J13" s="163">
        <f>(References!$C$49*I13)</f>
        <v>19602.662184051856</v>
      </c>
      <c r="K13" s="214">
        <f>J13/References!$G$57</f>
        <v>20547.87334830671</v>
      </c>
      <c r="L13" s="235">
        <f t="shared" si="5"/>
        <v>0.17528127536345167</v>
      </c>
      <c r="M13" s="107">
        <v>13.67</v>
      </c>
      <c r="N13" s="163">
        <f t="shared" si="2"/>
        <v>13.845281275363451</v>
      </c>
      <c r="O13" s="163">
        <f t="shared" si="6"/>
        <v>1602506.7600000002</v>
      </c>
      <c r="P13" s="164">
        <f t="shared" si="3"/>
        <v>13.845281275363451</v>
      </c>
      <c r="Q13" s="164">
        <f t="shared" si="7"/>
        <v>1623054.6333483066</v>
      </c>
      <c r="R13" s="164">
        <f t="shared" si="4"/>
        <v>20547.8733483064</v>
      </c>
    </row>
    <row r="14" spans="1:18" s="165" customFormat="1" ht="15">
      <c r="A14" s="256"/>
      <c r="B14" s="221" t="s">
        <v>433</v>
      </c>
      <c r="C14" s="106" t="s">
        <v>378</v>
      </c>
      <c r="D14" s="189">
        <v>38</v>
      </c>
      <c r="E14" s="168">
        <v>8.666666666666666</v>
      </c>
      <c r="F14" s="209">
        <v>3952</v>
      </c>
      <c r="G14" s="227">
        <f>References!$B$14</f>
        <v>34</v>
      </c>
      <c r="H14" s="189">
        <f t="shared" si="0"/>
        <v>134368</v>
      </c>
      <c r="I14" s="167">
        <f t="shared" si="1"/>
        <v>101668.70208400361</v>
      </c>
      <c r="J14" s="163">
        <f>(References!$C$49*I14)</f>
        <v>152.50305312600486</v>
      </c>
      <c r="K14" s="214">
        <f>J14/References!$G$57</f>
        <v>159.85652313146795</v>
      </c>
      <c r="L14" s="235">
        <f t="shared" si="5"/>
        <v>0.3505625507269034</v>
      </c>
      <c r="M14" s="210">
        <f>M13*2</f>
        <v>27.34</v>
      </c>
      <c r="N14" s="214">
        <f>N13*2</f>
        <v>27.690562550726902</v>
      </c>
      <c r="O14" s="163">
        <f t="shared" si="6"/>
        <v>12467.04</v>
      </c>
      <c r="P14" s="164">
        <f t="shared" si="3"/>
        <v>27.690562550726902</v>
      </c>
      <c r="Q14" s="164">
        <f t="shared" si="7"/>
        <v>12626.896523131467</v>
      </c>
      <c r="R14" s="164">
        <f t="shared" si="4"/>
        <v>159.85652313146602</v>
      </c>
    </row>
    <row r="15" spans="1:18" s="165" customFormat="1" ht="15">
      <c r="A15" s="256"/>
      <c r="B15" s="221" t="s">
        <v>433</v>
      </c>
      <c r="C15" s="106" t="s">
        <v>379</v>
      </c>
      <c r="D15" s="189">
        <v>1</v>
      </c>
      <c r="E15" s="168">
        <v>17.333333333333332</v>
      </c>
      <c r="F15" s="209">
        <v>208</v>
      </c>
      <c r="G15" s="227">
        <f>References!$B$14</f>
        <v>34</v>
      </c>
      <c r="H15" s="189">
        <f t="shared" si="0"/>
        <v>7072</v>
      </c>
      <c r="I15" s="167">
        <f t="shared" si="1"/>
        <v>5350.984320210717</v>
      </c>
      <c r="J15" s="163">
        <f>(References!$C$49*I15)</f>
        <v>8.026476480316045</v>
      </c>
      <c r="K15" s="214">
        <f>J15/References!$G$57</f>
        <v>8.413501217445683</v>
      </c>
      <c r="L15" s="235">
        <f t="shared" si="5"/>
        <v>0.7011251014538069</v>
      </c>
      <c r="M15" s="210">
        <f>M13*4</f>
        <v>54.68</v>
      </c>
      <c r="N15" s="214">
        <f>N13*4</f>
        <v>55.381125101453804</v>
      </c>
      <c r="O15" s="163">
        <f t="shared" si="6"/>
        <v>656.16</v>
      </c>
      <c r="P15" s="164">
        <f t="shared" si="3"/>
        <v>55.381125101453804</v>
      </c>
      <c r="Q15" s="164">
        <f t="shared" si="7"/>
        <v>664.5735012174457</v>
      </c>
      <c r="R15" s="164">
        <f t="shared" si="4"/>
        <v>8.413501217445742</v>
      </c>
    </row>
    <row r="16" spans="1:18" s="165" customFormat="1" ht="15">
      <c r="A16" s="256"/>
      <c r="B16" s="161">
        <v>22</v>
      </c>
      <c r="C16" s="106" t="s">
        <v>380</v>
      </c>
      <c r="D16" s="189">
        <v>13668</v>
      </c>
      <c r="E16" s="168">
        <v>4.333333333333333</v>
      </c>
      <c r="F16" s="209">
        <v>710735.9999999999</v>
      </c>
      <c r="G16" s="227">
        <f>References!$B$21</f>
        <v>47</v>
      </c>
      <c r="H16" s="189">
        <f t="shared" si="0"/>
        <v>33404591.999999996</v>
      </c>
      <c r="I16" s="167">
        <f t="shared" si="1"/>
        <v>25275374.436515316</v>
      </c>
      <c r="J16" s="163">
        <f>(References!$C$49*I16)</f>
        <v>37913.061654772835</v>
      </c>
      <c r="K16" s="214">
        <f>J16/References!$G$57</f>
        <v>39741.17300060468</v>
      </c>
      <c r="L16" s="235">
        <f t="shared" si="5"/>
        <v>0.24230058653183031</v>
      </c>
      <c r="M16" s="210">
        <v>17.19</v>
      </c>
      <c r="N16" s="214">
        <f t="shared" si="2"/>
        <v>17.43230058653183</v>
      </c>
      <c r="O16" s="163">
        <f t="shared" si="6"/>
        <v>2819435.04</v>
      </c>
      <c r="P16" s="164">
        <f t="shared" si="3"/>
        <v>17.43230058653183</v>
      </c>
      <c r="Q16" s="164">
        <f t="shared" si="7"/>
        <v>2859176.213000605</v>
      </c>
      <c r="R16" s="164">
        <f t="shared" si="4"/>
        <v>39741.173000604846</v>
      </c>
    </row>
    <row r="17" spans="1:18" s="165" customFormat="1" ht="15">
      <c r="A17" s="256"/>
      <c r="B17" s="221" t="s">
        <v>433</v>
      </c>
      <c r="C17" s="106" t="s">
        <v>381</v>
      </c>
      <c r="D17" s="189">
        <v>98</v>
      </c>
      <c r="E17" s="168">
        <v>8.666666666666666</v>
      </c>
      <c r="F17" s="209">
        <v>10192</v>
      </c>
      <c r="G17" s="227">
        <f>References!$B$21</f>
        <v>47</v>
      </c>
      <c r="H17" s="189">
        <f t="shared" si="0"/>
        <v>479024</v>
      </c>
      <c r="I17" s="167">
        <f t="shared" si="1"/>
        <v>362450.4967483906</v>
      </c>
      <c r="J17" s="163">
        <f>(References!$C$49*I17)</f>
        <v>543.6757451225839</v>
      </c>
      <c r="K17" s="214">
        <f>J17/References!$G$57</f>
        <v>569.8909795228649</v>
      </c>
      <c r="L17" s="235">
        <f t="shared" si="5"/>
        <v>0.4846011730636606</v>
      </c>
      <c r="M17" s="210">
        <f>M16*2</f>
        <v>34.38</v>
      </c>
      <c r="N17" s="214">
        <f>N16*2</f>
        <v>34.86460117306366</v>
      </c>
      <c r="O17" s="163">
        <f t="shared" si="6"/>
        <v>40430.880000000005</v>
      </c>
      <c r="P17" s="164">
        <f t="shared" si="3"/>
        <v>34.86460117306366</v>
      </c>
      <c r="Q17" s="164">
        <f t="shared" si="7"/>
        <v>41000.770979522866</v>
      </c>
      <c r="R17" s="164">
        <f t="shared" si="4"/>
        <v>569.890979522861</v>
      </c>
    </row>
    <row r="18" spans="1:18" s="165" customFormat="1" ht="15">
      <c r="A18" s="256"/>
      <c r="B18" s="221" t="s">
        <v>433</v>
      </c>
      <c r="C18" s="106" t="s">
        <v>382</v>
      </c>
      <c r="D18" s="189">
        <v>6</v>
      </c>
      <c r="E18" s="168">
        <v>13</v>
      </c>
      <c r="F18" s="209">
        <v>936</v>
      </c>
      <c r="G18" s="227">
        <f>References!$B$21</f>
        <v>47</v>
      </c>
      <c r="H18" s="189">
        <f t="shared" si="0"/>
        <v>43992</v>
      </c>
      <c r="I18" s="167">
        <f t="shared" si="1"/>
        <v>33286.27010954607</v>
      </c>
      <c r="J18" s="163">
        <f>(References!$C$49*I18)</f>
        <v>49.92940516431892</v>
      </c>
      <c r="K18" s="214">
        <f>J18/References!$G$57</f>
        <v>52.336926690875345</v>
      </c>
      <c r="L18" s="235">
        <f t="shared" si="5"/>
        <v>0.7269017595954909</v>
      </c>
      <c r="M18" s="210">
        <f>M16*3</f>
        <v>51.57000000000001</v>
      </c>
      <c r="N18" s="214">
        <f>N16*3</f>
        <v>52.29690175959549</v>
      </c>
      <c r="O18" s="163">
        <f t="shared" si="6"/>
        <v>3713.040000000001</v>
      </c>
      <c r="P18" s="164">
        <f t="shared" si="3"/>
        <v>52.29690175959549</v>
      </c>
      <c r="Q18" s="164">
        <f t="shared" si="7"/>
        <v>3765.3769266908753</v>
      </c>
      <c r="R18" s="164">
        <f t="shared" si="4"/>
        <v>52.33692669087441</v>
      </c>
    </row>
    <row r="19" spans="1:18" s="165" customFormat="1" ht="15">
      <c r="A19" s="256"/>
      <c r="B19" s="161">
        <v>22</v>
      </c>
      <c r="C19" s="106" t="s">
        <v>383</v>
      </c>
      <c r="D19" s="189">
        <v>2150</v>
      </c>
      <c r="E19" s="168">
        <v>4.333333333333333</v>
      </c>
      <c r="F19" s="209">
        <v>111800</v>
      </c>
      <c r="G19" s="227">
        <f>References!$B$22</f>
        <v>68</v>
      </c>
      <c r="H19" s="189">
        <f t="shared" si="0"/>
        <v>7602400</v>
      </c>
      <c r="I19" s="167">
        <f t="shared" si="1"/>
        <v>5752308.14422652</v>
      </c>
      <c r="J19" s="163">
        <f>(References!$C$49*I19)</f>
        <v>8628.462216339749</v>
      </c>
      <c r="K19" s="214">
        <f>J19/References!$G$57</f>
        <v>9044.513808754109</v>
      </c>
      <c r="L19" s="235">
        <f t="shared" si="5"/>
        <v>0.35056255072690345</v>
      </c>
      <c r="M19" s="210">
        <v>22.17</v>
      </c>
      <c r="N19" s="214">
        <f>L19+M19</f>
        <v>22.520562550726904</v>
      </c>
      <c r="O19" s="163">
        <f t="shared" si="6"/>
        <v>571986.0000000001</v>
      </c>
      <c r="P19" s="164">
        <f t="shared" si="3"/>
        <v>22.520562550726904</v>
      </c>
      <c r="Q19" s="164">
        <f t="shared" si="7"/>
        <v>581030.513808754</v>
      </c>
      <c r="R19" s="164">
        <f t="shared" si="4"/>
        <v>9044.513808753924</v>
      </c>
    </row>
    <row r="20" spans="1:18" s="165" customFormat="1" ht="15">
      <c r="A20" s="256"/>
      <c r="B20" s="221" t="s">
        <v>433</v>
      </c>
      <c r="C20" s="106" t="s">
        <v>384</v>
      </c>
      <c r="D20" s="189">
        <v>55</v>
      </c>
      <c r="E20" s="168">
        <v>8.666666666666666</v>
      </c>
      <c r="F20" s="209">
        <v>5720</v>
      </c>
      <c r="G20" s="227">
        <f>References!$B$22</f>
        <v>68</v>
      </c>
      <c r="H20" s="189">
        <f t="shared" si="0"/>
        <v>388960</v>
      </c>
      <c r="I20" s="167">
        <f t="shared" si="1"/>
        <v>294304.1376115894</v>
      </c>
      <c r="J20" s="163">
        <f>(References!$C$49*I20)</f>
        <v>441.4562064173824</v>
      </c>
      <c r="K20" s="214">
        <f>J20/References!$G$57</f>
        <v>462.7425669595125</v>
      </c>
      <c r="L20" s="235">
        <f t="shared" si="5"/>
        <v>0.7011251014538068</v>
      </c>
      <c r="M20" s="210">
        <f>M19*2</f>
        <v>44.34</v>
      </c>
      <c r="N20" s="214">
        <f>N19*2</f>
        <v>45.04112510145381</v>
      </c>
      <c r="O20" s="163">
        <f t="shared" si="6"/>
        <v>29264.4</v>
      </c>
      <c r="P20" s="164">
        <f t="shared" si="3"/>
        <v>45.04112510145381</v>
      </c>
      <c r="Q20" s="164">
        <f t="shared" si="7"/>
        <v>29727.142566959512</v>
      </c>
      <c r="R20" s="164">
        <f t="shared" si="4"/>
        <v>462.74256695951044</v>
      </c>
    </row>
    <row r="21" spans="1:18" s="165" customFormat="1" ht="15">
      <c r="A21" s="256"/>
      <c r="B21" s="221" t="s">
        <v>433</v>
      </c>
      <c r="C21" s="106" t="s">
        <v>385</v>
      </c>
      <c r="D21" s="189">
        <v>6</v>
      </c>
      <c r="E21" s="168">
        <v>13</v>
      </c>
      <c r="F21" s="209">
        <v>936</v>
      </c>
      <c r="G21" s="227">
        <f>References!$B$22</f>
        <v>68</v>
      </c>
      <c r="H21" s="189">
        <f>G21*F21</f>
        <v>63648</v>
      </c>
      <c r="I21" s="167">
        <f t="shared" si="1"/>
        <v>48158.85888189645</v>
      </c>
      <c r="J21" s="163">
        <f>(References!$C$49*I21)</f>
        <v>72.2382883228444</v>
      </c>
      <c r="K21" s="214">
        <f>J21/References!$G$57</f>
        <v>75.72151095701113</v>
      </c>
      <c r="L21" s="235">
        <f t="shared" si="5"/>
        <v>1.0516876521807101</v>
      </c>
      <c r="M21" s="210">
        <f>M19*3</f>
        <v>66.51</v>
      </c>
      <c r="N21" s="214">
        <f>N19*3</f>
        <v>67.56168765218071</v>
      </c>
      <c r="O21" s="163">
        <f t="shared" si="6"/>
        <v>4788.720000000001</v>
      </c>
      <c r="P21" s="164">
        <f t="shared" si="3"/>
        <v>67.56168765218071</v>
      </c>
      <c r="Q21" s="164">
        <f t="shared" si="7"/>
        <v>4864.441510957011</v>
      </c>
      <c r="R21" s="164">
        <f t="shared" si="4"/>
        <v>75.72151095700974</v>
      </c>
    </row>
    <row r="22" spans="1:18" s="165" customFormat="1" ht="15">
      <c r="A22" s="256"/>
      <c r="B22" s="161">
        <v>23</v>
      </c>
      <c r="C22" s="106" t="s">
        <v>431</v>
      </c>
      <c r="D22" s="209">
        <v>5952.74296875</v>
      </c>
      <c r="E22" s="168">
        <v>1</v>
      </c>
      <c r="F22" s="213">
        <v>71432.915625</v>
      </c>
      <c r="G22" s="226">
        <f>References!B24</f>
        <v>34</v>
      </c>
      <c r="H22" s="209">
        <f>G22*F22</f>
        <v>2428719.1312499996</v>
      </c>
      <c r="I22" s="167">
        <f t="shared" si="1"/>
        <v>1837675.0550784136</v>
      </c>
      <c r="J22" s="163">
        <f>(References!$C$49*I22)</f>
        <v>2756.51258261761</v>
      </c>
      <c r="K22" s="214">
        <f>J22/References!$G$57</f>
        <v>2889.427512387654</v>
      </c>
      <c r="L22" s="235">
        <f t="shared" si="5"/>
        <v>0.040449525083873464</v>
      </c>
      <c r="M22" s="107">
        <v>3.29</v>
      </c>
      <c r="N22" s="163">
        <f>L22+M22</f>
        <v>3.3304495250838735</v>
      </c>
      <c r="O22" s="214">
        <f>F22*M22</f>
        <v>235014.29240625</v>
      </c>
      <c r="P22" s="164">
        <f t="shared" si="3"/>
        <v>3.3304495250838735</v>
      </c>
      <c r="Q22" s="164">
        <f>F22*P22</f>
        <v>237903.71991863762</v>
      </c>
      <c r="R22" s="164">
        <f t="shared" si="4"/>
        <v>2889.4275123876287</v>
      </c>
    </row>
    <row r="23" spans="1:18" s="165" customFormat="1" ht="15">
      <c r="A23" s="171"/>
      <c r="B23" s="172"/>
      <c r="C23" s="173" t="s">
        <v>7</v>
      </c>
      <c r="D23" s="174">
        <f>SUM(D2:D22)</f>
        <v>45626.74296875</v>
      </c>
      <c r="E23" s="175"/>
      <c r="F23" s="174">
        <f>SUM(F2:F22)</f>
        <v>2073312.915625</v>
      </c>
      <c r="G23" s="228"/>
      <c r="H23" s="176">
        <f>SUM(H2:H22)</f>
        <v>83590607.13125</v>
      </c>
      <c r="I23" s="177">
        <f>SUM(I2:I22)</f>
        <v>63248307.13747354</v>
      </c>
      <c r="J23" s="178"/>
      <c r="K23" s="178"/>
      <c r="L23" s="178"/>
      <c r="M23" s="178"/>
      <c r="N23" s="178"/>
      <c r="O23" s="179">
        <f>SUM(O2:O22)</f>
        <v>7220227.61240625</v>
      </c>
      <c r="P23" s="179"/>
      <c r="Q23" s="179">
        <f>SUM(Q2:Q22)</f>
        <v>7319674.681816007</v>
      </c>
      <c r="R23" s="179">
        <f>SUM(R2:R22)</f>
        <v>99447.0694097556</v>
      </c>
    </row>
    <row r="24" spans="1:18" s="165" customFormat="1" ht="15" customHeight="1">
      <c r="A24" s="257" t="s">
        <v>357</v>
      </c>
      <c r="B24" s="161">
        <v>34</v>
      </c>
      <c r="C24" t="s">
        <v>387</v>
      </c>
      <c r="D24" s="209"/>
      <c r="E24" s="166"/>
      <c r="F24" s="181">
        <v>2184</v>
      </c>
      <c r="G24" s="227">
        <f>References!$B$26</f>
        <v>29</v>
      </c>
      <c r="H24" s="170">
        <f aca="true" t="shared" si="8" ref="H24:H74">F24*G24</f>
        <v>63336</v>
      </c>
      <c r="I24" s="167">
        <f aca="true" t="shared" si="9" ref="I24:I55">$C$116*H24</f>
        <v>47922.78604424009</v>
      </c>
      <c r="J24" s="163">
        <f>References!$C$49*I24</f>
        <v>71.88417906635986</v>
      </c>
      <c r="K24" s="163">
        <f>J24/References!$G$57</f>
        <v>75.35032707977088</v>
      </c>
      <c r="L24" s="214">
        <f>(K24/F24)</f>
        <v>0.034501065512715604</v>
      </c>
      <c r="M24" s="212">
        <v>2.48</v>
      </c>
      <c r="N24" s="163">
        <f aca="true" t="shared" si="10" ref="N24:N74">L24+M24</f>
        <v>2.514501065512716</v>
      </c>
      <c r="O24" s="163">
        <f aca="true" t="shared" si="11" ref="O24:O55">F24*M24</f>
        <v>5416.32</v>
      </c>
      <c r="P24" s="164">
        <f aca="true" t="shared" si="12" ref="P24:P55">N24</f>
        <v>2.514501065512716</v>
      </c>
      <c r="Q24" s="164">
        <f aca="true" t="shared" si="13" ref="Q24:Q55">F24*P24</f>
        <v>5491.670327079772</v>
      </c>
      <c r="R24" s="164">
        <f aca="true" t="shared" si="14" ref="R24:R55">Q24-O24</f>
        <v>75.35032707977189</v>
      </c>
    </row>
    <row r="25" spans="1:18" s="165" customFormat="1" ht="15">
      <c r="A25" s="256"/>
      <c r="B25" s="161">
        <v>34</v>
      </c>
      <c r="C25" t="s">
        <v>388</v>
      </c>
      <c r="D25" s="209"/>
      <c r="E25" s="166"/>
      <c r="F25" s="181">
        <v>832</v>
      </c>
      <c r="G25" s="227">
        <f>References!$B$26</f>
        <v>29</v>
      </c>
      <c r="H25" s="170">
        <f t="shared" si="8"/>
        <v>24128</v>
      </c>
      <c r="I25" s="167">
        <f t="shared" si="9"/>
        <v>18256.299445424796</v>
      </c>
      <c r="J25" s="163">
        <f>References!$C$49*I25</f>
        <v>27.384449168137092</v>
      </c>
      <c r="K25" s="214">
        <f>J25/References!$G$57</f>
        <v>28.704886506579385</v>
      </c>
      <c r="L25" s="214">
        <f aca="true" t="shared" si="15" ref="L25:L88">(K25/F25)</f>
        <v>0.034501065512715604</v>
      </c>
      <c r="M25" s="212">
        <f aca="true" t="shared" si="16" ref="M25:M30">+M24</f>
        <v>2.48</v>
      </c>
      <c r="N25" s="163">
        <f t="shared" si="10"/>
        <v>2.514501065512716</v>
      </c>
      <c r="O25" s="163">
        <f t="shared" si="11"/>
        <v>2063.36</v>
      </c>
      <c r="P25" s="164">
        <f t="shared" si="12"/>
        <v>2.514501065512716</v>
      </c>
      <c r="Q25" s="164">
        <f t="shared" si="13"/>
        <v>2092.0648865065796</v>
      </c>
      <c r="R25" s="164">
        <f t="shared" si="14"/>
        <v>28.70488650657944</v>
      </c>
    </row>
    <row r="26" spans="1:18" s="165" customFormat="1" ht="15">
      <c r="A26" s="256"/>
      <c r="B26" s="161">
        <v>34</v>
      </c>
      <c r="C26" t="s">
        <v>389</v>
      </c>
      <c r="D26" s="209"/>
      <c r="E26" s="166"/>
      <c r="F26" s="181">
        <v>467.99999999999994</v>
      </c>
      <c r="G26" s="227">
        <f>References!$B$26</f>
        <v>29</v>
      </c>
      <c r="H26" s="170">
        <f t="shared" si="8"/>
        <v>13571.999999999998</v>
      </c>
      <c r="I26" s="167">
        <f t="shared" si="9"/>
        <v>10269.168438051447</v>
      </c>
      <c r="J26" s="163">
        <f>References!$C$49*I26</f>
        <v>15.403752657077113</v>
      </c>
      <c r="K26" s="214">
        <f>J26/References!$G$57</f>
        <v>16.146498659950904</v>
      </c>
      <c r="L26" s="214">
        <f t="shared" si="15"/>
        <v>0.03450106551271561</v>
      </c>
      <c r="M26" s="212">
        <f t="shared" si="16"/>
        <v>2.48</v>
      </c>
      <c r="N26" s="163">
        <f t="shared" si="10"/>
        <v>2.514501065512716</v>
      </c>
      <c r="O26" s="163">
        <f t="shared" si="11"/>
        <v>1160.6399999999999</v>
      </c>
      <c r="P26" s="164">
        <f t="shared" si="12"/>
        <v>2.514501065512716</v>
      </c>
      <c r="Q26" s="164">
        <f t="shared" si="13"/>
        <v>1176.786498659951</v>
      </c>
      <c r="R26" s="164">
        <f t="shared" si="14"/>
        <v>16.14649865995102</v>
      </c>
    </row>
    <row r="27" spans="1:18" s="165" customFormat="1" ht="15">
      <c r="A27" s="256"/>
      <c r="B27" s="161">
        <v>34</v>
      </c>
      <c r="C27" t="s">
        <v>390</v>
      </c>
      <c r="D27" s="209"/>
      <c r="E27" s="166"/>
      <c r="F27" s="181">
        <v>624</v>
      </c>
      <c r="G27" s="227">
        <f>References!$B$26</f>
        <v>29</v>
      </c>
      <c r="H27" s="170">
        <f t="shared" si="8"/>
        <v>18096</v>
      </c>
      <c r="I27" s="167">
        <f t="shared" si="9"/>
        <v>13692.224584068597</v>
      </c>
      <c r="J27" s="163">
        <f>References!$C$49*I27</f>
        <v>20.538336876102818</v>
      </c>
      <c r="K27" s="214">
        <f>J27/References!$G$57</f>
        <v>21.528664879934535</v>
      </c>
      <c r="L27" s="214">
        <f t="shared" si="15"/>
        <v>0.034501065512715604</v>
      </c>
      <c r="M27" s="212">
        <f t="shared" si="16"/>
        <v>2.48</v>
      </c>
      <c r="N27" s="163">
        <f t="shared" si="10"/>
        <v>2.514501065512716</v>
      </c>
      <c r="O27" s="163">
        <f t="shared" si="11"/>
        <v>1547.52</v>
      </c>
      <c r="P27" s="164">
        <f t="shared" si="12"/>
        <v>2.514501065512716</v>
      </c>
      <c r="Q27" s="164">
        <f t="shared" si="13"/>
        <v>1569.0486648799347</v>
      </c>
      <c r="R27" s="164">
        <f t="shared" si="14"/>
        <v>21.528664879934695</v>
      </c>
    </row>
    <row r="28" spans="1:18" s="165" customFormat="1" ht="15">
      <c r="A28" s="256"/>
      <c r="B28" s="161">
        <v>34</v>
      </c>
      <c r="C28" t="s">
        <v>391</v>
      </c>
      <c r="D28" s="209"/>
      <c r="E28" s="166"/>
      <c r="F28" s="181">
        <v>260</v>
      </c>
      <c r="G28" s="227">
        <f>References!$B$26</f>
        <v>29</v>
      </c>
      <c r="H28" s="170">
        <f t="shared" si="8"/>
        <v>7540</v>
      </c>
      <c r="I28" s="167">
        <f t="shared" si="9"/>
        <v>5705.093576695249</v>
      </c>
      <c r="J28" s="163">
        <f>References!$C$49*I28</f>
        <v>8.557640365042841</v>
      </c>
      <c r="K28" s="214">
        <f>J28/References!$G$57</f>
        <v>8.970277033306058</v>
      </c>
      <c r="L28" s="214">
        <f t="shared" si="15"/>
        <v>0.034501065512715604</v>
      </c>
      <c r="M28" s="212">
        <f t="shared" si="16"/>
        <v>2.48</v>
      </c>
      <c r="N28" s="163">
        <f t="shared" si="10"/>
        <v>2.514501065512716</v>
      </c>
      <c r="O28" s="163">
        <f t="shared" si="11"/>
        <v>644.8</v>
      </c>
      <c r="P28" s="164">
        <f t="shared" si="12"/>
        <v>2.514501065512716</v>
      </c>
      <c r="Q28" s="164">
        <f t="shared" si="13"/>
        <v>653.7702770333061</v>
      </c>
      <c r="R28" s="164">
        <f t="shared" si="14"/>
        <v>8.97027703330616</v>
      </c>
    </row>
    <row r="29" spans="1:18" s="165" customFormat="1" ht="15">
      <c r="A29" s="256"/>
      <c r="B29" s="161">
        <v>34</v>
      </c>
      <c r="C29" s="109" t="s">
        <v>392</v>
      </c>
      <c r="D29" s="209"/>
      <c r="E29" s="166"/>
      <c r="F29" s="181">
        <v>312</v>
      </c>
      <c r="G29" s="227">
        <f>References!$B$26</f>
        <v>29</v>
      </c>
      <c r="H29" s="170">
        <f t="shared" si="8"/>
        <v>9048</v>
      </c>
      <c r="I29" s="167">
        <f t="shared" si="9"/>
        <v>6846.112292034299</v>
      </c>
      <c r="J29" s="163">
        <f>References!$C$49*I29</f>
        <v>10.269168438051409</v>
      </c>
      <c r="K29" s="214">
        <f>J29/References!$G$57</f>
        <v>10.764332439967268</v>
      </c>
      <c r="L29" s="214">
        <f t="shared" si="15"/>
        <v>0.034501065512715604</v>
      </c>
      <c r="M29" s="212">
        <f t="shared" si="16"/>
        <v>2.48</v>
      </c>
      <c r="N29" s="163">
        <f t="shared" si="10"/>
        <v>2.514501065512716</v>
      </c>
      <c r="O29" s="163">
        <f t="shared" si="11"/>
        <v>773.76</v>
      </c>
      <c r="P29" s="164">
        <f t="shared" si="12"/>
        <v>2.514501065512716</v>
      </c>
      <c r="Q29" s="164">
        <f t="shared" si="13"/>
        <v>784.5243324399673</v>
      </c>
      <c r="R29" s="164">
        <f t="shared" si="14"/>
        <v>10.764332439967347</v>
      </c>
    </row>
    <row r="30" spans="1:18" s="165" customFormat="1" ht="15">
      <c r="A30" s="256"/>
      <c r="B30" s="161">
        <v>34</v>
      </c>
      <c r="C30" s="109" t="s">
        <v>393</v>
      </c>
      <c r="D30" s="209"/>
      <c r="E30" s="166"/>
      <c r="F30" s="181">
        <v>4992</v>
      </c>
      <c r="G30" s="227">
        <f>References!$B$26</f>
        <v>29</v>
      </c>
      <c r="H30" s="170">
        <f t="shared" si="8"/>
        <v>144768</v>
      </c>
      <c r="I30" s="167">
        <f t="shared" si="9"/>
        <v>109537.79667254878</v>
      </c>
      <c r="J30" s="163">
        <f>References!$C$49*I30</f>
        <v>164.30669500882254</v>
      </c>
      <c r="K30" s="214">
        <f>J30/References!$G$57</f>
        <v>172.22931903947628</v>
      </c>
      <c r="L30" s="214">
        <f t="shared" si="15"/>
        <v>0.034501065512715604</v>
      </c>
      <c r="M30" s="212">
        <f t="shared" si="16"/>
        <v>2.48</v>
      </c>
      <c r="N30" s="163">
        <f t="shared" si="10"/>
        <v>2.514501065512716</v>
      </c>
      <c r="O30" s="163">
        <f t="shared" si="11"/>
        <v>12380.16</v>
      </c>
      <c r="P30" s="164">
        <f t="shared" si="12"/>
        <v>2.514501065512716</v>
      </c>
      <c r="Q30" s="164">
        <f t="shared" si="13"/>
        <v>12552.389319039477</v>
      </c>
      <c r="R30" s="164">
        <f t="shared" si="14"/>
        <v>172.22931903947756</v>
      </c>
    </row>
    <row r="31" spans="1:18" s="165" customFormat="1" ht="15">
      <c r="A31" s="256"/>
      <c r="B31" s="161">
        <v>27</v>
      </c>
      <c r="C31" s="109" t="s">
        <v>394</v>
      </c>
      <c r="D31" s="209"/>
      <c r="E31" s="166"/>
      <c r="F31" s="181">
        <v>1248</v>
      </c>
      <c r="G31" s="227">
        <f>References!$B$26</f>
        <v>29</v>
      </c>
      <c r="H31" s="170">
        <f t="shared" si="8"/>
        <v>36192</v>
      </c>
      <c r="I31" s="167">
        <f t="shared" si="9"/>
        <v>27384.449168137195</v>
      </c>
      <c r="J31" s="163">
        <f>References!$C$49*I31</f>
        <v>41.076673752205636</v>
      </c>
      <c r="K31" s="214">
        <f>J31/References!$G$57</f>
        <v>43.05732975986907</v>
      </c>
      <c r="L31" s="214">
        <f t="shared" si="15"/>
        <v>0.034501065512715604</v>
      </c>
      <c r="M31" s="212">
        <v>3.2</v>
      </c>
      <c r="N31" s="163">
        <f t="shared" si="10"/>
        <v>3.234501065512716</v>
      </c>
      <c r="O31" s="163">
        <f t="shared" si="11"/>
        <v>3993.6000000000004</v>
      </c>
      <c r="P31" s="164">
        <f t="shared" si="12"/>
        <v>3.234501065512716</v>
      </c>
      <c r="Q31" s="164">
        <f t="shared" si="13"/>
        <v>4036.6573297598698</v>
      </c>
      <c r="R31" s="164">
        <f t="shared" si="14"/>
        <v>43.05732975986939</v>
      </c>
    </row>
    <row r="32" spans="1:18" s="165" customFormat="1" ht="15">
      <c r="A32" s="256"/>
      <c r="B32" s="161">
        <v>27</v>
      </c>
      <c r="C32" s="109" t="s">
        <v>395</v>
      </c>
      <c r="D32" s="209"/>
      <c r="E32" s="166"/>
      <c r="F32" s="181">
        <v>104</v>
      </c>
      <c r="G32" s="227">
        <f>References!$B$26</f>
        <v>29</v>
      </c>
      <c r="H32" s="170">
        <f t="shared" si="8"/>
        <v>3016</v>
      </c>
      <c r="I32" s="167">
        <f t="shared" si="9"/>
        <v>2282.0374306780996</v>
      </c>
      <c r="J32" s="163">
        <f>References!$C$49*I32</f>
        <v>3.4230561460171365</v>
      </c>
      <c r="K32" s="214">
        <f>J32/References!$G$57</f>
        <v>3.588110813322423</v>
      </c>
      <c r="L32" s="214">
        <f t="shared" si="15"/>
        <v>0.034501065512715604</v>
      </c>
      <c r="M32" s="212">
        <f>+M31</f>
        <v>3.2</v>
      </c>
      <c r="N32" s="163">
        <f t="shared" si="10"/>
        <v>3.234501065512716</v>
      </c>
      <c r="O32" s="163">
        <f t="shared" si="11"/>
        <v>332.8</v>
      </c>
      <c r="P32" s="164">
        <f t="shared" si="12"/>
        <v>3.234501065512716</v>
      </c>
      <c r="Q32" s="164">
        <f t="shared" si="13"/>
        <v>336.38811081332244</v>
      </c>
      <c r="R32" s="164">
        <f t="shared" si="14"/>
        <v>3.58811081332243</v>
      </c>
    </row>
    <row r="33" spans="1:18" s="165" customFormat="1" ht="15">
      <c r="A33" s="256"/>
      <c r="B33" s="161">
        <v>27</v>
      </c>
      <c r="C33" s="109" t="s">
        <v>396</v>
      </c>
      <c r="D33" s="209"/>
      <c r="E33" s="166"/>
      <c r="F33" s="181">
        <v>4160</v>
      </c>
      <c r="G33" s="227">
        <f>References!$B$21</f>
        <v>47</v>
      </c>
      <c r="H33" s="170">
        <f t="shared" si="8"/>
        <v>195520</v>
      </c>
      <c r="I33" s="167">
        <f t="shared" si="9"/>
        <v>147938.97826464922</v>
      </c>
      <c r="J33" s="163">
        <f>References!$C$49*I33</f>
        <v>221.908467396973</v>
      </c>
      <c r="K33" s="214">
        <f>J33/References!$G$57</f>
        <v>232.6085630705571</v>
      </c>
      <c r="L33" s="214">
        <f t="shared" si="15"/>
        <v>0.055915519968883914</v>
      </c>
      <c r="M33" s="212">
        <v>4.04</v>
      </c>
      <c r="N33" s="163">
        <f t="shared" si="10"/>
        <v>4.095915519968884</v>
      </c>
      <c r="O33" s="163">
        <f t="shared" si="11"/>
        <v>16806.4</v>
      </c>
      <c r="P33" s="164">
        <f t="shared" si="12"/>
        <v>4.095915519968884</v>
      </c>
      <c r="Q33" s="164">
        <f t="shared" si="13"/>
        <v>17039.008563070558</v>
      </c>
      <c r="R33" s="164">
        <f t="shared" si="14"/>
        <v>232.60856307055656</v>
      </c>
    </row>
    <row r="34" spans="1:18" s="165" customFormat="1" ht="15">
      <c r="A34" s="256"/>
      <c r="B34" s="161">
        <v>27</v>
      </c>
      <c r="C34" s="109" t="s">
        <v>397</v>
      </c>
      <c r="D34" s="209"/>
      <c r="E34" s="166"/>
      <c r="F34" s="181">
        <v>2600</v>
      </c>
      <c r="G34" s="227">
        <f>References!$B$21</f>
        <v>47</v>
      </c>
      <c r="H34" s="170">
        <f t="shared" si="8"/>
        <v>122200</v>
      </c>
      <c r="I34" s="167">
        <f t="shared" si="9"/>
        <v>92461.86141540576</v>
      </c>
      <c r="J34" s="163">
        <f>References!$C$49*I34</f>
        <v>138.69279212310812</v>
      </c>
      <c r="K34" s="214">
        <f>J34/References!$G$57</f>
        <v>145.38035191909816</v>
      </c>
      <c r="L34" s="214">
        <f t="shared" si="15"/>
        <v>0.05591551996888391</v>
      </c>
      <c r="M34" s="212">
        <f>+M33</f>
        <v>4.04</v>
      </c>
      <c r="N34" s="163">
        <f t="shared" si="10"/>
        <v>4.095915519968884</v>
      </c>
      <c r="O34" s="163">
        <f t="shared" si="11"/>
        <v>10504</v>
      </c>
      <c r="P34" s="164">
        <f t="shared" si="12"/>
        <v>4.095915519968884</v>
      </c>
      <c r="Q34" s="164">
        <f t="shared" si="13"/>
        <v>10649.380351919097</v>
      </c>
      <c r="R34" s="164">
        <f t="shared" si="14"/>
        <v>145.38035191909694</v>
      </c>
    </row>
    <row r="35" spans="1:18" s="165" customFormat="1" ht="15">
      <c r="A35" s="256"/>
      <c r="B35" s="161">
        <v>27</v>
      </c>
      <c r="C35" s="109" t="s">
        <v>398</v>
      </c>
      <c r="D35" s="209"/>
      <c r="E35" s="166"/>
      <c r="F35" s="181">
        <v>312</v>
      </c>
      <c r="G35" s="227">
        <f>References!$B$21</f>
        <v>47</v>
      </c>
      <c r="H35" s="170">
        <f t="shared" si="8"/>
        <v>14664</v>
      </c>
      <c r="I35" s="167">
        <f t="shared" si="9"/>
        <v>11095.423369848691</v>
      </c>
      <c r="J35" s="163">
        <f>References!$C$49*I35</f>
        <v>16.643135054772976</v>
      </c>
      <c r="K35" s="214">
        <f>J35/References!$G$57</f>
        <v>17.44564223029178</v>
      </c>
      <c r="L35" s="214">
        <f t="shared" si="15"/>
        <v>0.055915519968883914</v>
      </c>
      <c r="M35" s="212">
        <f>+M34</f>
        <v>4.04</v>
      </c>
      <c r="N35" s="163">
        <f t="shared" si="10"/>
        <v>4.095915519968884</v>
      </c>
      <c r="O35" s="163">
        <f t="shared" si="11"/>
        <v>1260.48</v>
      </c>
      <c r="P35" s="164">
        <f t="shared" si="12"/>
        <v>4.095915519968884</v>
      </c>
      <c r="Q35" s="164">
        <f t="shared" si="13"/>
        <v>1277.9256422302917</v>
      </c>
      <c r="R35" s="164">
        <f t="shared" si="14"/>
        <v>17.445642230291696</v>
      </c>
    </row>
    <row r="36" spans="1:18" s="165" customFormat="1" ht="15">
      <c r="A36" s="256"/>
      <c r="B36" s="161">
        <v>27</v>
      </c>
      <c r="C36" s="109" t="s">
        <v>399</v>
      </c>
      <c r="D36" s="209"/>
      <c r="E36" s="166"/>
      <c r="F36" s="181">
        <v>208</v>
      </c>
      <c r="G36" s="227">
        <f>References!$B$21</f>
        <v>47</v>
      </c>
      <c r="H36" s="170">
        <f t="shared" si="8"/>
        <v>9776</v>
      </c>
      <c r="I36" s="167">
        <f t="shared" si="9"/>
        <v>7396.948913232461</v>
      </c>
      <c r="J36" s="163">
        <f>References!$C$49*I36</f>
        <v>11.09542336984865</v>
      </c>
      <c r="K36" s="214">
        <f>J36/References!$G$57</f>
        <v>11.630428153527854</v>
      </c>
      <c r="L36" s="214">
        <f t="shared" si="15"/>
        <v>0.055915519968883914</v>
      </c>
      <c r="M36" s="212">
        <f>+M35</f>
        <v>4.04</v>
      </c>
      <c r="N36" s="163">
        <f t="shared" si="10"/>
        <v>4.095915519968884</v>
      </c>
      <c r="O36" s="163">
        <f t="shared" si="11"/>
        <v>840.32</v>
      </c>
      <c r="P36" s="164">
        <f t="shared" si="12"/>
        <v>4.095915519968884</v>
      </c>
      <c r="Q36" s="164">
        <f t="shared" si="13"/>
        <v>851.9504281535278</v>
      </c>
      <c r="R36" s="164">
        <f t="shared" si="14"/>
        <v>11.63042815352776</v>
      </c>
    </row>
    <row r="37" spans="1:18" s="165" customFormat="1" ht="15">
      <c r="A37" s="256"/>
      <c r="B37" s="161">
        <v>27</v>
      </c>
      <c r="C37" s="109" t="s">
        <v>400</v>
      </c>
      <c r="D37" s="209"/>
      <c r="E37" s="166"/>
      <c r="F37" s="181">
        <v>312</v>
      </c>
      <c r="G37" s="227">
        <f>References!$B$21</f>
        <v>47</v>
      </c>
      <c r="H37" s="170">
        <f t="shared" si="8"/>
        <v>14664</v>
      </c>
      <c r="I37" s="167">
        <f t="shared" si="9"/>
        <v>11095.423369848691</v>
      </c>
      <c r="J37" s="163">
        <f>References!$C$49*I37</f>
        <v>16.643135054772976</v>
      </c>
      <c r="K37" s="214">
        <f>J37/References!$G$57</f>
        <v>17.44564223029178</v>
      </c>
      <c r="L37" s="214">
        <f t="shared" si="15"/>
        <v>0.055915519968883914</v>
      </c>
      <c r="M37" s="212">
        <f>+M36</f>
        <v>4.04</v>
      </c>
      <c r="N37" s="163">
        <f t="shared" si="10"/>
        <v>4.095915519968884</v>
      </c>
      <c r="O37" s="163">
        <f t="shared" si="11"/>
        <v>1260.48</v>
      </c>
      <c r="P37" s="164">
        <f t="shared" si="12"/>
        <v>4.095915519968884</v>
      </c>
      <c r="Q37" s="164">
        <f t="shared" si="13"/>
        <v>1277.9256422302917</v>
      </c>
      <c r="R37" s="164">
        <f t="shared" si="14"/>
        <v>17.445642230291696</v>
      </c>
    </row>
    <row r="38" spans="1:18" s="165" customFormat="1" ht="15">
      <c r="A38" s="256"/>
      <c r="B38" s="161">
        <v>27</v>
      </c>
      <c r="C38" s="109" t="s">
        <v>401</v>
      </c>
      <c r="D38" s="209"/>
      <c r="E38" s="166"/>
      <c r="F38" s="181">
        <v>4524</v>
      </c>
      <c r="G38" s="227">
        <f>References!$B$22</f>
        <v>68</v>
      </c>
      <c r="H38" s="170">
        <f t="shared" si="8"/>
        <v>307632</v>
      </c>
      <c r="I38" s="167">
        <f t="shared" si="9"/>
        <v>232767.81792916617</v>
      </c>
      <c r="J38" s="163">
        <f>References!$C$49*I38</f>
        <v>349.15172689374793</v>
      </c>
      <c r="K38" s="214">
        <f>J38/References!$G$57</f>
        <v>365.98730295888714</v>
      </c>
      <c r="L38" s="214">
        <f t="shared" si="15"/>
        <v>0.08089905016774694</v>
      </c>
      <c r="M38" s="212">
        <v>5.19</v>
      </c>
      <c r="N38" s="163">
        <f t="shared" si="10"/>
        <v>5.270899050167747</v>
      </c>
      <c r="O38" s="163">
        <f t="shared" si="11"/>
        <v>23479.56</v>
      </c>
      <c r="P38" s="164">
        <f t="shared" si="12"/>
        <v>5.270899050167747</v>
      </c>
      <c r="Q38" s="164">
        <f t="shared" si="13"/>
        <v>23845.54730295889</v>
      </c>
      <c r="R38" s="164">
        <f t="shared" si="14"/>
        <v>365.9873029588889</v>
      </c>
    </row>
    <row r="39" spans="1:18" s="165" customFormat="1" ht="15">
      <c r="A39" s="256"/>
      <c r="B39" s="161">
        <v>27</v>
      </c>
      <c r="C39" s="110" t="s">
        <v>401</v>
      </c>
      <c r="D39" s="209"/>
      <c r="E39" s="166"/>
      <c r="F39" s="181">
        <v>104</v>
      </c>
      <c r="G39" s="227">
        <f>References!$B$22</f>
        <v>68</v>
      </c>
      <c r="H39" s="170">
        <f t="shared" si="8"/>
        <v>7072</v>
      </c>
      <c r="I39" s="167">
        <f t="shared" si="9"/>
        <v>5350.984320210717</v>
      </c>
      <c r="J39" s="163">
        <f>References!$C$49*I39</f>
        <v>8.026476480316045</v>
      </c>
      <c r="K39" s="214">
        <f>J39/References!$G$57</f>
        <v>8.413501217445683</v>
      </c>
      <c r="L39" s="214">
        <f t="shared" si="15"/>
        <v>0.08089905016774696</v>
      </c>
      <c r="M39" s="212">
        <f>+M38</f>
        <v>5.19</v>
      </c>
      <c r="N39" s="163">
        <f t="shared" si="10"/>
        <v>5.270899050167747</v>
      </c>
      <c r="O39" s="163">
        <f t="shared" si="11"/>
        <v>539.76</v>
      </c>
      <c r="P39" s="164">
        <f t="shared" si="12"/>
        <v>5.270899050167747</v>
      </c>
      <c r="Q39" s="164">
        <f t="shared" si="13"/>
        <v>548.1735012174457</v>
      </c>
      <c r="R39" s="164">
        <f t="shared" si="14"/>
        <v>8.413501217445742</v>
      </c>
    </row>
    <row r="40" spans="1:18" s="165" customFormat="1" ht="15">
      <c r="A40" s="256"/>
      <c r="B40" s="161">
        <v>27</v>
      </c>
      <c r="C40" s="110" t="s">
        <v>401</v>
      </c>
      <c r="D40" s="209"/>
      <c r="E40" s="166"/>
      <c r="F40" s="181">
        <v>156</v>
      </c>
      <c r="G40" s="227">
        <f>References!$B$22</f>
        <v>68</v>
      </c>
      <c r="H40" s="170">
        <f t="shared" si="8"/>
        <v>10608</v>
      </c>
      <c r="I40" s="167">
        <f t="shared" si="9"/>
        <v>8026.476480316075</v>
      </c>
      <c r="J40" s="163">
        <f>References!$C$49*I40</f>
        <v>12.039714720474068</v>
      </c>
      <c r="K40" s="214">
        <f>J40/References!$G$57</f>
        <v>12.620251826168523</v>
      </c>
      <c r="L40" s="214">
        <f t="shared" si="15"/>
        <v>0.08089905016774694</v>
      </c>
      <c r="M40" s="212">
        <f>+M39</f>
        <v>5.19</v>
      </c>
      <c r="N40" s="163">
        <f t="shared" si="10"/>
        <v>5.270899050167747</v>
      </c>
      <c r="O40" s="163">
        <f t="shared" si="11"/>
        <v>809.6400000000001</v>
      </c>
      <c r="P40" s="164">
        <f t="shared" si="12"/>
        <v>5.270899050167747</v>
      </c>
      <c r="Q40" s="164">
        <f t="shared" si="13"/>
        <v>822.2602518261685</v>
      </c>
      <c r="R40" s="164">
        <f t="shared" si="14"/>
        <v>12.620251826168442</v>
      </c>
    </row>
    <row r="41" spans="1:18" s="165" customFormat="1" ht="15">
      <c r="A41" s="256"/>
      <c r="B41" s="161">
        <v>27</v>
      </c>
      <c r="C41" s="109" t="s">
        <v>402</v>
      </c>
      <c r="D41" s="209"/>
      <c r="E41" s="166"/>
      <c r="F41" s="181">
        <v>2808</v>
      </c>
      <c r="G41" s="227">
        <f>References!$B$22</f>
        <v>68</v>
      </c>
      <c r="H41" s="170">
        <f t="shared" si="8"/>
        <v>190944</v>
      </c>
      <c r="I41" s="167">
        <f t="shared" si="9"/>
        <v>144476.57664568935</v>
      </c>
      <c r="J41" s="163">
        <f>References!$C$49*I41</f>
        <v>216.71486496853322</v>
      </c>
      <c r="K41" s="214">
        <f>J41/References!$G$57</f>
        <v>227.16453287103343</v>
      </c>
      <c r="L41" s="214">
        <f t="shared" si="15"/>
        <v>0.08089905016774694</v>
      </c>
      <c r="M41" s="212">
        <f>+M40</f>
        <v>5.19</v>
      </c>
      <c r="N41" s="163">
        <f t="shared" si="10"/>
        <v>5.270899050167747</v>
      </c>
      <c r="O41" s="163">
        <f t="shared" si="11"/>
        <v>14573.52</v>
      </c>
      <c r="P41" s="164">
        <f t="shared" si="12"/>
        <v>5.270899050167747</v>
      </c>
      <c r="Q41" s="164">
        <f t="shared" si="13"/>
        <v>14800.684532871035</v>
      </c>
      <c r="R41" s="164">
        <f t="shared" si="14"/>
        <v>227.16453287103468</v>
      </c>
    </row>
    <row r="42" spans="1:18" s="165" customFormat="1" ht="15">
      <c r="A42" s="256"/>
      <c r="B42" s="161">
        <v>27</v>
      </c>
      <c r="C42" s="109" t="s">
        <v>403</v>
      </c>
      <c r="D42" s="209"/>
      <c r="E42" s="166"/>
      <c r="F42" s="181">
        <v>1092</v>
      </c>
      <c r="G42" s="227">
        <f>References!$B$22</f>
        <v>68</v>
      </c>
      <c r="H42" s="170">
        <f t="shared" si="8"/>
        <v>74256</v>
      </c>
      <c r="I42" s="167">
        <f t="shared" si="9"/>
        <v>56185.33536221252</v>
      </c>
      <c r="J42" s="163">
        <f>References!$C$49*I42</f>
        <v>84.27800304331846</v>
      </c>
      <c r="K42" s="214">
        <f>J42/References!$G$57</f>
        <v>88.34176278317966</v>
      </c>
      <c r="L42" s="214">
        <f t="shared" si="15"/>
        <v>0.08089905016774694</v>
      </c>
      <c r="M42" s="212">
        <f>+M41</f>
        <v>5.19</v>
      </c>
      <c r="N42" s="163">
        <f t="shared" si="10"/>
        <v>5.270899050167747</v>
      </c>
      <c r="O42" s="163">
        <f t="shared" si="11"/>
        <v>5667.4800000000005</v>
      </c>
      <c r="P42" s="164">
        <f t="shared" si="12"/>
        <v>5.270899050167747</v>
      </c>
      <c r="Q42" s="164">
        <f t="shared" si="13"/>
        <v>5755.82176278318</v>
      </c>
      <c r="R42" s="164">
        <f t="shared" si="14"/>
        <v>88.34176278317955</v>
      </c>
    </row>
    <row r="43" spans="1:18" s="165" customFormat="1" ht="15">
      <c r="A43" s="256"/>
      <c r="B43" s="161">
        <v>27</v>
      </c>
      <c r="C43" s="109" t="s">
        <v>404</v>
      </c>
      <c r="D43" s="209"/>
      <c r="E43" s="166"/>
      <c r="F43" s="181">
        <v>416</v>
      </c>
      <c r="G43" s="227">
        <f>References!$B$22</f>
        <v>68</v>
      </c>
      <c r="H43" s="170">
        <f t="shared" si="8"/>
        <v>28288</v>
      </c>
      <c r="I43" s="167">
        <f t="shared" si="9"/>
        <v>21403.937280842867</v>
      </c>
      <c r="J43" s="163">
        <f>References!$C$49*I43</f>
        <v>32.10590592126418</v>
      </c>
      <c r="K43" s="214">
        <f>J43/References!$G$57</f>
        <v>33.65400486978273</v>
      </c>
      <c r="L43" s="214">
        <f t="shared" si="15"/>
        <v>0.08089905016774696</v>
      </c>
      <c r="M43" s="212">
        <f>+M42</f>
        <v>5.19</v>
      </c>
      <c r="N43" s="163">
        <f t="shared" si="10"/>
        <v>5.270899050167747</v>
      </c>
      <c r="O43" s="163">
        <f t="shared" si="11"/>
        <v>2159.04</v>
      </c>
      <c r="P43" s="164">
        <f t="shared" si="12"/>
        <v>5.270899050167747</v>
      </c>
      <c r="Q43" s="164">
        <f t="shared" si="13"/>
        <v>2192.694004869783</v>
      </c>
      <c r="R43" s="164">
        <f t="shared" si="14"/>
        <v>33.654004869782966</v>
      </c>
    </row>
    <row r="44" spans="1:18" s="165" customFormat="1" ht="15">
      <c r="A44" s="256"/>
      <c r="B44" s="161">
        <v>33</v>
      </c>
      <c r="C44" s="109" t="s">
        <v>405</v>
      </c>
      <c r="D44" s="209"/>
      <c r="E44" s="166"/>
      <c r="F44" s="181">
        <v>6084</v>
      </c>
      <c r="G44" s="227">
        <f>References!$B$27</f>
        <v>175</v>
      </c>
      <c r="H44" s="170">
        <f t="shared" si="8"/>
        <v>1064700</v>
      </c>
      <c r="I44" s="167">
        <f t="shared" si="9"/>
        <v>805598.5585023119</v>
      </c>
      <c r="J44" s="163">
        <f>References!$C$49*I44</f>
        <v>1208.3978377534634</v>
      </c>
      <c r="K44" s="214">
        <f>J44/References!$G$57</f>
        <v>1266.6649810823553</v>
      </c>
      <c r="L44" s="214">
        <f t="shared" si="15"/>
        <v>0.2081960849905252</v>
      </c>
      <c r="M44" s="212">
        <v>9.81</v>
      </c>
      <c r="N44" s="163">
        <f t="shared" si="10"/>
        <v>10.018196084990526</v>
      </c>
      <c r="O44" s="163">
        <f t="shared" si="11"/>
        <v>59684.04</v>
      </c>
      <c r="P44" s="164">
        <f t="shared" si="12"/>
        <v>10.018196084990526</v>
      </c>
      <c r="Q44" s="164">
        <f t="shared" si="13"/>
        <v>60950.70498108236</v>
      </c>
      <c r="R44" s="164">
        <f t="shared" si="14"/>
        <v>1266.6649810823583</v>
      </c>
    </row>
    <row r="45" spans="1:18" s="165" customFormat="1" ht="15">
      <c r="A45" s="256"/>
      <c r="B45" s="161">
        <v>33</v>
      </c>
      <c r="C45" s="109" t="s">
        <v>406</v>
      </c>
      <c r="D45" s="209"/>
      <c r="E45" s="166"/>
      <c r="F45" s="181">
        <v>21112</v>
      </c>
      <c r="G45" s="227">
        <f>References!$B$28</f>
        <v>250</v>
      </c>
      <c r="H45" s="170">
        <f t="shared" si="8"/>
        <v>5278000</v>
      </c>
      <c r="I45" s="167">
        <f t="shared" si="9"/>
        <v>3993565.5036866744</v>
      </c>
      <c r="J45" s="163">
        <f>References!$C$49*I45</f>
        <v>5990.348255529989</v>
      </c>
      <c r="K45" s="214">
        <f>J45/References!$G$57</f>
        <v>6279.19392331424</v>
      </c>
      <c r="L45" s="214">
        <f t="shared" si="15"/>
        <v>0.2974229785578931</v>
      </c>
      <c r="M45" s="212">
        <v>14.7</v>
      </c>
      <c r="N45" s="163">
        <f t="shared" si="10"/>
        <v>14.997422978557893</v>
      </c>
      <c r="O45" s="163">
        <f t="shared" si="11"/>
        <v>310346.39999999997</v>
      </c>
      <c r="P45" s="164">
        <f t="shared" si="12"/>
        <v>14.997422978557893</v>
      </c>
      <c r="Q45" s="164">
        <f t="shared" si="13"/>
        <v>316625.59392331424</v>
      </c>
      <c r="R45" s="164">
        <f t="shared" si="14"/>
        <v>6279.193923314277</v>
      </c>
    </row>
    <row r="46" spans="1:18" s="165" customFormat="1" ht="15">
      <c r="A46" s="256"/>
      <c r="B46" s="161">
        <v>33</v>
      </c>
      <c r="C46" s="109" t="s">
        <v>406</v>
      </c>
      <c r="D46" s="209"/>
      <c r="E46" s="166"/>
      <c r="F46" s="181">
        <v>312</v>
      </c>
      <c r="G46" s="227">
        <f>References!$B$28</f>
        <v>250</v>
      </c>
      <c r="H46" s="170">
        <f t="shared" si="8"/>
        <v>78000</v>
      </c>
      <c r="I46" s="167">
        <f t="shared" si="9"/>
        <v>59018.209414088786</v>
      </c>
      <c r="J46" s="163">
        <f>References!$C$49*I46</f>
        <v>88.52731412113285</v>
      </c>
      <c r="K46" s="214">
        <f>J46/References!$G$57</f>
        <v>92.79596931006267</v>
      </c>
      <c r="L46" s="214">
        <f t="shared" si="15"/>
        <v>0.2974229785578932</v>
      </c>
      <c r="M46" s="212">
        <f>+M45</f>
        <v>14.7</v>
      </c>
      <c r="N46" s="163">
        <f t="shared" si="10"/>
        <v>14.997422978557893</v>
      </c>
      <c r="O46" s="163">
        <f t="shared" si="11"/>
        <v>4586.4</v>
      </c>
      <c r="P46" s="164">
        <f t="shared" si="12"/>
        <v>14.997422978557893</v>
      </c>
      <c r="Q46" s="164">
        <f t="shared" si="13"/>
        <v>4679.1959693100625</v>
      </c>
      <c r="R46" s="164">
        <f t="shared" si="14"/>
        <v>92.7959693100629</v>
      </c>
    </row>
    <row r="47" spans="1:18" s="165" customFormat="1" ht="15">
      <c r="A47" s="256"/>
      <c r="B47" s="161">
        <v>33</v>
      </c>
      <c r="C47" s="109" t="s">
        <v>407</v>
      </c>
      <c r="D47" s="209"/>
      <c r="E47" s="166"/>
      <c r="F47" s="181">
        <v>520</v>
      </c>
      <c r="G47" s="227">
        <f>References!$B$28</f>
        <v>250</v>
      </c>
      <c r="H47" s="170">
        <f t="shared" si="8"/>
        <v>130000</v>
      </c>
      <c r="I47" s="167">
        <f t="shared" si="9"/>
        <v>98363.68235681464</v>
      </c>
      <c r="J47" s="163">
        <f>References!$C$49*I47</f>
        <v>147.5455235352214</v>
      </c>
      <c r="K47" s="214">
        <f>J47/References!$G$57</f>
        <v>154.65994885010446</v>
      </c>
      <c r="L47" s="214">
        <f t="shared" si="15"/>
        <v>0.2974229785578932</v>
      </c>
      <c r="M47" s="212">
        <f>+M46</f>
        <v>14.7</v>
      </c>
      <c r="N47" s="163">
        <f t="shared" si="10"/>
        <v>14.997422978557893</v>
      </c>
      <c r="O47" s="163">
        <f t="shared" si="11"/>
        <v>7644</v>
      </c>
      <c r="P47" s="164">
        <f t="shared" si="12"/>
        <v>14.997422978557893</v>
      </c>
      <c r="Q47" s="164">
        <f t="shared" si="13"/>
        <v>7798.659948850104</v>
      </c>
      <c r="R47" s="164">
        <f t="shared" si="14"/>
        <v>154.65994885010423</v>
      </c>
    </row>
    <row r="48" spans="1:18" s="165" customFormat="1" ht="15">
      <c r="A48" s="256"/>
      <c r="B48" s="161">
        <v>33</v>
      </c>
      <c r="C48" s="109" t="s">
        <v>406</v>
      </c>
      <c r="D48" s="209"/>
      <c r="E48" s="166"/>
      <c r="F48" s="181">
        <v>156</v>
      </c>
      <c r="G48" s="227">
        <f>References!$B$28</f>
        <v>250</v>
      </c>
      <c r="H48" s="170">
        <f t="shared" si="8"/>
        <v>39000</v>
      </c>
      <c r="I48" s="167">
        <f t="shared" si="9"/>
        <v>29509.104707044393</v>
      </c>
      <c r="J48" s="163">
        <f>References!$C$49*I48</f>
        <v>44.26365706056642</v>
      </c>
      <c r="K48" s="214">
        <f>J48/References!$G$57</f>
        <v>46.39798465503134</v>
      </c>
      <c r="L48" s="214">
        <f t="shared" si="15"/>
        <v>0.2974229785578932</v>
      </c>
      <c r="M48" s="212">
        <f>+M47</f>
        <v>14.7</v>
      </c>
      <c r="N48" s="163">
        <f t="shared" si="10"/>
        <v>14.997422978557893</v>
      </c>
      <c r="O48" s="163">
        <f t="shared" si="11"/>
        <v>2293.2</v>
      </c>
      <c r="P48" s="164">
        <f t="shared" si="12"/>
        <v>14.997422978557893</v>
      </c>
      <c r="Q48" s="164">
        <f t="shared" si="13"/>
        <v>2339.5979846550313</v>
      </c>
      <c r="R48" s="164">
        <f t="shared" si="14"/>
        <v>46.39798465503145</v>
      </c>
    </row>
    <row r="49" spans="1:18" s="165" customFormat="1" ht="15">
      <c r="A49" s="256"/>
      <c r="B49" s="161">
        <v>33</v>
      </c>
      <c r="C49" s="109" t="s">
        <v>408</v>
      </c>
      <c r="D49" s="209"/>
      <c r="E49" s="166"/>
      <c r="F49" s="181">
        <v>11752</v>
      </c>
      <c r="G49" s="227">
        <f>References!$B$29</f>
        <v>324</v>
      </c>
      <c r="H49" s="170">
        <f t="shared" si="8"/>
        <v>3807648</v>
      </c>
      <c r="I49" s="167">
        <f t="shared" si="9"/>
        <v>2881032.910758158</v>
      </c>
      <c r="J49" s="163">
        <f>References!$C$49*I49</f>
        <v>4321.549366137221</v>
      </c>
      <c r="K49" s="214">
        <f>J49/References!$G$57</f>
        <v>4529.928037840019</v>
      </c>
      <c r="L49" s="214">
        <f t="shared" si="15"/>
        <v>0.3854601802110295</v>
      </c>
      <c r="M49" s="212">
        <v>18.36</v>
      </c>
      <c r="N49" s="163">
        <f t="shared" si="10"/>
        <v>18.74546018021103</v>
      </c>
      <c r="O49" s="163">
        <f t="shared" si="11"/>
        <v>215766.72</v>
      </c>
      <c r="P49" s="164">
        <f t="shared" si="12"/>
        <v>18.74546018021103</v>
      </c>
      <c r="Q49" s="164">
        <f t="shared" si="13"/>
        <v>220296.64803784003</v>
      </c>
      <c r="R49" s="164">
        <f t="shared" si="14"/>
        <v>4529.928037840029</v>
      </c>
    </row>
    <row r="50" spans="1:18" s="165" customFormat="1" ht="15">
      <c r="A50" s="256"/>
      <c r="B50" s="161">
        <v>33</v>
      </c>
      <c r="C50" s="109" t="s">
        <v>408</v>
      </c>
      <c r="D50" s="209"/>
      <c r="E50" s="166"/>
      <c r="F50" s="181">
        <v>624</v>
      </c>
      <c r="G50" s="227">
        <f>References!$B$29</f>
        <v>324</v>
      </c>
      <c r="H50" s="170">
        <f t="shared" si="8"/>
        <v>202176</v>
      </c>
      <c r="I50" s="167">
        <f t="shared" si="9"/>
        <v>152975.19880131813</v>
      </c>
      <c r="J50" s="163">
        <f>References!$C$49*I50</f>
        <v>229.46279820197634</v>
      </c>
      <c r="K50" s="214">
        <f>J50/References!$G$57</f>
        <v>240.52715245168244</v>
      </c>
      <c r="L50" s="214">
        <f t="shared" si="15"/>
        <v>0.38546018021102957</v>
      </c>
      <c r="M50" s="212">
        <f>+M49</f>
        <v>18.36</v>
      </c>
      <c r="N50" s="163">
        <f t="shared" si="10"/>
        <v>18.74546018021103</v>
      </c>
      <c r="O50" s="163">
        <f t="shared" si="11"/>
        <v>11456.64</v>
      </c>
      <c r="P50" s="164">
        <f t="shared" si="12"/>
        <v>18.74546018021103</v>
      </c>
      <c r="Q50" s="164">
        <f t="shared" si="13"/>
        <v>11697.167152451682</v>
      </c>
      <c r="R50" s="164">
        <f t="shared" si="14"/>
        <v>240.52715245168292</v>
      </c>
    </row>
    <row r="51" spans="1:18" s="165" customFormat="1" ht="15">
      <c r="A51" s="256"/>
      <c r="B51" s="161">
        <v>33</v>
      </c>
      <c r="C51" s="109" t="s">
        <v>408</v>
      </c>
      <c r="D51" s="209"/>
      <c r="E51" s="166"/>
      <c r="F51" s="181">
        <v>156</v>
      </c>
      <c r="G51" s="227">
        <f>References!$B$29</f>
        <v>324</v>
      </c>
      <c r="H51" s="170">
        <f t="shared" si="8"/>
        <v>50544</v>
      </c>
      <c r="I51" s="167">
        <f t="shared" si="9"/>
        <v>38243.79970032953</v>
      </c>
      <c r="J51" s="163">
        <f>References!$C$49*I51</f>
        <v>57.365699550494085</v>
      </c>
      <c r="K51" s="214">
        <f>J51/References!$G$57</f>
        <v>60.13178811292061</v>
      </c>
      <c r="L51" s="214">
        <f t="shared" si="15"/>
        <v>0.38546018021102957</v>
      </c>
      <c r="M51" s="212">
        <f>+M50</f>
        <v>18.36</v>
      </c>
      <c r="N51" s="163">
        <f t="shared" si="10"/>
        <v>18.74546018021103</v>
      </c>
      <c r="O51" s="163">
        <f t="shared" si="11"/>
        <v>2864.16</v>
      </c>
      <c r="P51" s="164">
        <f t="shared" si="12"/>
        <v>18.74546018021103</v>
      </c>
      <c r="Q51" s="164">
        <f t="shared" si="13"/>
        <v>2924.2917881129206</v>
      </c>
      <c r="R51" s="164">
        <f t="shared" si="14"/>
        <v>60.13178811292073</v>
      </c>
    </row>
    <row r="52" spans="1:18" s="165" customFormat="1" ht="15">
      <c r="A52" s="256"/>
      <c r="B52" s="161">
        <v>33</v>
      </c>
      <c r="C52" s="109" t="s">
        <v>409</v>
      </c>
      <c r="D52" s="209"/>
      <c r="E52" s="166"/>
      <c r="F52" s="181">
        <v>104</v>
      </c>
      <c r="G52" s="227">
        <f>References!$B$29</f>
        <v>324</v>
      </c>
      <c r="H52" s="170">
        <f t="shared" si="8"/>
        <v>33696</v>
      </c>
      <c r="I52" s="167">
        <f t="shared" si="9"/>
        <v>25495.866466886357</v>
      </c>
      <c r="J52" s="163">
        <f>References!$C$49*I52</f>
        <v>38.24379970032939</v>
      </c>
      <c r="K52" s="214">
        <f>J52/References!$G$57</f>
        <v>40.08785874194707</v>
      </c>
      <c r="L52" s="214">
        <f t="shared" si="15"/>
        <v>0.38546018021102957</v>
      </c>
      <c r="M52" s="212">
        <f>+M51</f>
        <v>18.36</v>
      </c>
      <c r="N52" s="163">
        <f t="shared" si="10"/>
        <v>18.74546018021103</v>
      </c>
      <c r="O52" s="163">
        <f t="shared" si="11"/>
        <v>1909.44</v>
      </c>
      <c r="P52" s="164">
        <f t="shared" si="12"/>
        <v>18.74546018021103</v>
      </c>
      <c r="Q52" s="164">
        <f t="shared" si="13"/>
        <v>1949.527858741947</v>
      </c>
      <c r="R52" s="164">
        <f t="shared" si="14"/>
        <v>40.087858741947</v>
      </c>
    </row>
    <row r="53" spans="1:18" s="165" customFormat="1" ht="15">
      <c r="A53" s="256"/>
      <c r="B53" s="161">
        <v>33</v>
      </c>
      <c r="C53" s="109" t="s">
        <v>410</v>
      </c>
      <c r="D53" s="209"/>
      <c r="E53" s="166"/>
      <c r="F53" s="181">
        <v>11544</v>
      </c>
      <c r="G53" s="227">
        <f>References!$B$30</f>
        <v>473</v>
      </c>
      <c r="H53" s="170">
        <f t="shared" si="8"/>
        <v>5460312</v>
      </c>
      <c r="I53" s="167">
        <f t="shared" si="9"/>
        <v>4131510.7318238714</v>
      </c>
      <c r="J53" s="163">
        <f>References!$C$49*I53</f>
        <v>6197.266097735784</v>
      </c>
      <c r="K53" s="214">
        <f>J53/References!$G$57</f>
        <v>6496.089035581627</v>
      </c>
      <c r="L53" s="214">
        <f t="shared" si="15"/>
        <v>0.5627242754315339</v>
      </c>
      <c r="M53" s="212">
        <v>25.69</v>
      </c>
      <c r="N53" s="163">
        <f t="shared" si="10"/>
        <v>26.252724275431536</v>
      </c>
      <c r="O53" s="163">
        <f t="shared" si="11"/>
        <v>296565.36</v>
      </c>
      <c r="P53" s="164">
        <f t="shared" si="12"/>
        <v>26.252724275431536</v>
      </c>
      <c r="Q53" s="164">
        <f t="shared" si="13"/>
        <v>303061.44903558167</v>
      </c>
      <c r="R53" s="164">
        <f t="shared" si="14"/>
        <v>6496.089035581681</v>
      </c>
    </row>
    <row r="54" spans="1:18" s="165" customFormat="1" ht="15">
      <c r="A54" s="256"/>
      <c r="B54" s="161">
        <v>33</v>
      </c>
      <c r="C54" s="109" t="s">
        <v>410</v>
      </c>
      <c r="D54" s="209"/>
      <c r="E54" s="166"/>
      <c r="F54" s="181">
        <v>2912</v>
      </c>
      <c r="G54" s="227">
        <f>References!$B$30</f>
        <v>473</v>
      </c>
      <c r="H54" s="170">
        <f t="shared" si="8"/>
        <v>1377376</v>
      </c>
      <c r="I54" s="167">
        <f t="shared" si="9"/>
        <v>1042182.8873069225</v>
      </c>
      <c r="J54" s="163">
        <f>References!$C$49*I54</f>
        <v>1563.274330960378</v>
      </c>
      <c r="K54" s="214">
        <f>J54/References!$G$57</f>
        <v>1638.6530900566268</v>
      </c>
      <c r="L54" s="214">
        <f t="shared" si="15"/>
        <v>0.5627242754315339</v>
      </c>
      <c r="M54" s="212">
        <f>+M53</f>
        <v>25.69</v>
      </c>
      <c r="N54" s="163">
        <f t="shared" si="10"/>
        <v>26.252724275431536</v>
      </c>
      <c r="O54" s="163">
        <f t="shared" si="11"/>
        <v>74809.28</v>
      </c>
      <c r="P54" s="164">
        <f t="shared" si="12"/>
        <v>26.252724275431536</v>
      </c>
      <c r="Q54" s="164">
        <f t="shared" si="13"/>
        <v>76447.93309005663</v>
      </c>
      <c r="R54" s="164">
        <f t="shared" si="14"/>
        <v>1638.6530900566286</v>
      </c>
    </row>
    <row r="55" spans="1:18" s="165" customFormat="1" ht="15">
      <c r="A55" s="256"/>
      <c r="B55" s="161">
        <v>33</v>
      </c>
      <c r="C55" s="109" t="s">
        <v>410</v>
      </c>
      <c r="D55" s="209"/>
      <c r="E55" s="166"/>
      <c r="F55" s="181">
        <v>1404</v>
      </c>
      <c r="G55" s="227">
        <f>References!$B$30</f>
        <v>473</v>
      </c>
      <c r="H55" s="170">
        <f t="shared" si="8"/>
        <v>664092</v>
      </c>
      <c r="I55" s="167">
        <f t="shared" si="9"/>
        <v>502481.03495155193</v>
      </c>
      <c r="J55" s="163">
        <f>References!$C$49*I55</f>
        <v>753.721552427325</v>
      </c>
      <c r="K55" s="214">
        <f>J55/References!$G$57</f>
        <v>790.0648827058735</v>
      </c>
      <c r="L55" s="214">
        <f t="shared" si="15"/>
        <v>0.5627242754315338</v>
      </c>
      <c r="M55" s="212">
        <f aca="true" t="shared" si="17" ref="M55:M69">+M54</f>
        <v>25.69</v>
      </c>
      <c r="N55" s="163">
        <f t="shared" si="10"/>
        <v>26.252724275431536</v>
      </c>
      <c r="O55" s="163">
        <f t="shared" si="11"/>
        <v>36068.76</v>
      </c>
      <c r="P55" s="164">
        <f t="shared" si="12"/>
        <v>26.252724275431536</v>
      </c>
      <c r="Q55" s="164">
        <f t="shared" si="13"/>
        <v>36858.82488270588</v>
      </c>
      <c r="R55" s="164">
        <f t="shared" si="14"/>
        <v>790.0648827058758</v>
      </c>
    </row>
    <row r="56" spans="1:18" s="165" customFormat="1" ht="15">
      <c r="A56" s="256"/>
      <c r="B56" s="161">
        <v>33</v>
      </c>
      <c r="C56" s="109" t="s">
        <v>410</v>
      </c>
      <c r="D56" s="209"/>
      <c r="E56" s="166"/>
      <c r="F56" s="181">
        <v>208</v>
      </c>
      <c r="G56" s="227">
        <f>References!$B$30</f>
        <v>473</v>
      </c>
      <c r="H56" s="170">
        <f t="shared" si="8"/>
        <v>98384</v>
      </c>
      <c r="I56" s="167">
        <f aca="true" t="shared" si="18" ref="I56:I87">$C$116*H56</f>
        <v>74441.63480763733</v>
      </c>
      <c r="J56" s="163">
        <f>References!$C$49*I56</f>
        <v>111.66245221145557</v>
      </c>
      <c r="K56" s="214">
        <f>J56/References!$G$57</f>
        <v>117.04664928975906</v>
      </c>
      <c r="L56" s="214">
        <f t="shared" si="15"/>
        <v>0.5627242754315339</v>
      </c>
      <c r="M56" s="212">
        <f t="shared" si="17"/>
        <v>25.69</v>
      </c>
      <c r="N56" s="163">
        <f t="shared" si="10"/>
        <v>26.252724275431536</v>
      </c>
      <c r="O56" s="163">
        <f aca="true" t="shared" si="19" ref="O56:O87">F56*M56</f>
        <v>5343.52</v>
      </c>
      <c r="P56" s="164">
        <f aca="true" t="shared" si="20" ref="P56:P87">N56</f>
        <v>26.252724275431536</v>
      </c>
      <c r="Q56" s="164">
        <f aca="true" t="shared" si="21" ref="Q56:Q87">F56*P56</f>
        <v>5460.56664928976</v>
      </c>
      <c r="R56" s="164">
        <f aca="true" t="shared" si="22" ref="R56:R87">Q56-O56</f>
        <v>117.04664928975944</v>
      </c>
    </row>
    <row r="57" spans="1:18" s="165" customFormat="1" ht="15">
      <c r="A57" s="256"/>
      <c r="B57" s="161">
        <v>33</v>
      </c>
      <c r="C57" s="109" t="s">
        <v>410</v>
      </c>
      <c r="D57" s="209"/>
      <c r="E57" s="166"/>
      <c r="F57" s="181">
        <v>780</v>
      </c>
      <c r="G57" s="227">
        <f>References!$B$30</f>
        <v>473</v>
      </c>
      <c r="H57" s="170">
        <f t="shared" si="8"/>
        <v>368940</v>
      </c>
      <c r="I57" s="167">
        <f t="shared" si="18"/>
        <v>279156.13052863994</v>
      </c>
      <c r="J57" s="163">
        <f>References!$C$49*I57</f>
        <v>418.73419579295836</v>
      </c>
      <c r="K57" s="214">
        <f>J57/References!$G$57</f>
        <v>438.92493483659644</v>
      </c>
      <c r="L57" s="214">
        <f t="shared" si="15"/>
        <v>0.5627242754315339</v>
      </c>
      <c r="M57" s="212">
        <f t="shared" si="17"/>
        <v>25.69</v>
      </c>
      <c r="N57" s="163">
        <f t="shared" si="10"/>
        <v>26.252724275431536</v>
      </c>
      <c r="O57" s="163">
        <f t="shared" si="19"/>
        <v>20038.2</v>
      </c>
      <c r="P57" s="164">
        <f t="shared" si="20"/>
        <v>26.252724275431536</v>
      </c>
      <c r="Q57" s="164">
        <f t="shared" si="21"/>
        <v>20477.124934836596</v>
      </c>
      <c r="R57" s="164">
        <f t="shared" si="22"/>
        <v>438.92493483659564</v>
      </c>
    </row>
    <row r="58" spans="1:18" s="165" customFormat="1" ht="15">
      <c r="A58" s="256"/>
      <c r="B58" s="161">
        <v>33</v>
      </c>
      <c r="C58" s="109" t="s">
        <v>410</v>
      </c>
      <c r="D58" s="209"/>
      <c r="E58" s="166"/>
      <c r="F58" s="181">
        <v>312</v>
      </c>
      <c r="G58" s="227">
        <f>References!$B$30</f>
        <v>473</v>
      </c>
      <c r="H58" s="170">
        <f t="shared" si="8"/>
        <v>147576</v>
      </c>
      <c r="I58" s="167">
        <f t="shared" si="18"/>
        <v>111662.45221145598</v>
      </c>
      <c r="J58" s="163">
        <f>References!$C$49*I58</f>
        <v>167.49367831718334</v>
      </c>
      <c r="K58" s="214">
        <f>J58/References!$G$57</f>
        <v>175.56997393463857</v>
      </c>
      <c r="L58" s="214">
        <f t="shared" si="15"/>
        <v>0.5627242754315339</v>
      </c>
      <c r="M58" s="212">
        <f t="shared" si="17"/>
        <v>25.69</v>
      </c>
      <c r="N58" s="163">
        <f t="shared" si="10"/>
        <v>26.252724275431536</v>
      </c>
      <c r="O58" s="163">
        <f t="shared" si="19"/>
        <v>8015.280000000001</v>
      </c>
      <c r="P58" s="164">
        <f t="shared" si="20"/>
        <v>26.252724275431536</v>
      </c>
      <c r="Q58" s="164">
        <f t="shared" si="21"/>
        <v>8190.849973934639</v>
      </c>
      <c r="R58" s="164">
        <f t="shared" si="22"/>
        <v>175.56997393463826</v>
      </c>
    </row>
    <row r="59" spans="1:18" s="165" customFormat="1" ht="15">
      <c r="A59" s="256"/>
      <c r="B59" s="161">
        <v>33</v>
      </c>
      <c r="C59" s="109" t="s">
        <v>411</v>
      </c>
      <c r="D59" s="209"/>
      <c r="E59" s="166"/>
      <c r="F59" s="181">
        <v>832</v>
      </c>
      <c r="G59" s="227">
        <f>References!$B$30</f>
        <v>473</v>
      </c>
      <c r="H59" s="170">
        <f t="shared" si="8"/>
        <v>393536</v>
      </c>
      <c r="I59" s="167">
        <f t="shared" si="18"/>
        <v>297766.5392305493</v>
      </c>
      <c r="J59" s="163">
        <f>References!$C$49*I59</f>
        <v>446.6498088458223</v>
      </c>
      <c r="K59" s="214">
        <f>J59/References!$G$57</f>
        <v>468.18659715903624</v>
      </c>
      <c r="L59" s="214">
        <f t="shared" si="15"/>
        <v>0.5627242754315339</v>
      </c>
      <c r="M59" s="212">
        <f t="shared" si="17"/>
        <v>25.69</v>
      </c>
      <c r="N59" s="163">
        <f t="shared" si="10"/>
        <v>26.252724275431536</v>
      </c>
      <c r="O59" s="163">
        <f t="shared" si="19"/>
        <v>21374.08</v>
      </c>
      <c r="P59" s="164">
        <f t="shared" si="20"/>
        <v>26.252724275431536</v>
      </c>
      <c r="Q59" s="164">
        <f t="shared" si="21"/>
        <v>21842.26659715904</v>
      </c>
      <c r="R59" s="164">
        <f t="shared" si="22"/>
        <v>468.1865971590378</v>
      </c>
    </row>
    <row r="60" spans="1:18" s="165" customFormat="1" ht="15">
      <c r="A60" s="256"/>
      <c r="B60" s="161">
        <v>33</v>
      </c>
      <c r="C60" s="109" t="s">
        <v>411</v>
      </c>
      <c r="D60" s="209"/>
      <c r="E60" s="166"/>
      <c r="F60" s="181">
        <v>624</v>
      </c>
      <c r="G60" s="227">
        <f>References!$B$30</f>
        <v>473</v>
      </c>
      <c r="H60" s="170">
        <f t="shared" si="8"/>
        <v>295152</v>
      </c>
      <c r="I60" s="167">
        <f t="shared" si="18"/>
        <v>223324.90442291196</v>
      </c>
      <c r="J60" s="163">
        <f>References!$C$49*I60</f>
        <v>334.9873566343667</v>
      </c>
      <c r="K60" s="214">
        <f>J60/References!$G$57</f>
        <v>351.13994786927714</v>
      </c>
      <c r="L60" s="214">
        <f t="shared" si="15"/>
        <v>0.5627242754315339</v>
      </c>
      <c r="M60" s="212">
        <f t="shared" si="17"/>
        <v>25.69</v>
      </c>
      <c r="N60" s="163">
        <f t="shared" si="10"/>
        <v>26.252724275431536</v>
      </c>
      <c r="O60" s="163">
        <f t="shared" si="19"/>
        <v>16030.560000000001</v>
      </c>
      <c r="P60" s="164">
        <f t="shared" si="20"/>
        <v>26.252724275431536</v>
      </c>
      <c r="Q60" s="164">
        <f t="shared" si="21"/>
        <v>16381.699947869278</v>
      </c>
      <c r="R60" s="164">
        <f t="shared" si="22"/>
        <v>351.1399478692765</v>
      </c>
    </row>
    <row r="61" spans="1:18" s="165" customFormat="1" ht="15">
      <c r="A61" s="256"/>
      <c r="B61" s="161">
        <v>33</v>
      </c>
      <c r="C61" s="109" t="s">
        <v>411</v>
      </c>
      <c r="D61" s="209"/>
      <c r="E61" s="166"/>
      <c r="F61" s="181">
        <v>312</v>
      </c>
      <c r="G61" s="227">
        <f>References!$B$30</f>
        <v>473</v>
      </c>
      <c r="H61" s="170">
        <f t="shared" si="8"/>
        <v>147576</v>
      </c>
      <c r="I61" s="167">
        <f t="shared" si="18"/>
        <v>111662.45221145598</v>
      </c>
      <c r="J61" s="163">
        <f>References!$C$49*I61</f>
        <v>167.49367831718334</v>
      </c>
      <c r="K61" s="214">
        <f>J61/References!$G$57</f>
        <v>175.56997393463857</v>
      </c>
      <c r="L61" s="214">
        <f t="shared" si="15"/>
        <v>0.5627242754315339</v>
      </c>
      <c r="M61" s="212">
        <f t="shared" si="17"/>
        <v>25.69</v>
      </c>
      <c r="N61" s="163">
        <f t="shared" si="10"/>
        <v>26.252724275431536</v>
      </c>
      <c r="O61" s="163">
        <f t="shared" si="19"/>
        <v>8015.280000000001</v>
      </c>
      <c r="P61" s="164">
        <f t="shared" si="20"/>
        <v>26.252724275431536</v>
      </c>
      <c r="Q61" s="164">
        <f t="shared" si="21"/>
        <v>8190.849973934639</v>
      </c>
      <c r="R61" s="164">
        <f t="shared" si="22"/>
        <v>175.56997393463826</v>
      </c>
    </row>
    <row r="62" spans="1:18" s="165" customFormat="1" ht="15">
      <c r="A62" s="256"/>
      <c r="B62" s="161">
        <v>33</v>
      </c>
      <c r="C62" s="109" t="s">
        <v>412</v>
      </c>
      <c r="D62" s="209"/>
      <c r="E62" s="166"/>
      <c r="F62" s="181">
        <v>312</v>
      </c>
      <c r="G62" s="227">
        <f>References!$B$30</f>
        <v>473</v>
      </c>
      <c r="H62" s="170">
        <f t="shared" si="8"/>
        <v>147576</v>
      </c>
      <c r="I62" s="167">
        <f t="shared" si="18"/>
        <v>111662.45221145598</v>
      </c>
      <c r="J62" s="163">
        <f>References!$C$49*I62</f>
        <v>167.49367831718334</v>
      </c>
      <c r="K62" s="214">
        <f>J62/References!$G$57</f>
        <v>175.56997393463857</v>
      </c>
      <c r="L62" s="214">
        <f t="shared" si="15"/>
        <v>0.5627242754315339</v>
      </c>
      <c r="M62" s="212">
        <f t="shared" si="17"/>
        <v>25.69</v>
      </c>
      <c r="N62" s="163">
        <f t="shared" si="10"/>
        <v>26.252724275431536</v>
      </c>
      <c r="O62" s="163">
        <f t="shared" si="19"/>
        <v>8015.280000000001</v>
      </c>
      <c r="P62" s="164">
        <f t="shared" si="20"/>
        <v>26.252724275431536</v>
      </c>
      <c r="Q62" s="164">
        <f t="shared" si="21"/>
        <v>8190.849973934639</v>
      </c>
      <c r="R62" s="164">
        <f t="shared" si="22"/>
        <v>175.56997393463826</v>
      </c>
    </row>
    <row r="63" spans="1:18" s="165" customFormat="1" ht="15">
      <c r="A63" s="256"/>
      <c r="B63" s="161">
        <v>33</v>
      </c>
      <c r="C63" s="109" t="s">
        <v>412</v>
      </c>
      <c r="D63" s="209"/>
      <c r="E63" s="166"/>
      <c r="F63" s="181">
        <v>1248</v>
      </c>
      <c r="G63" s="227">
        <f>References!$B$30</f>
        <v>473</v>
      </c>
      <c r="H63" s="170">
        <f t="shared" si="8"/>
        <v>590304</v>
      </c>
      <c r="I63" s="167">
        <f t="shared" si="18"/>
        <v>446649.8088458239</v>
      </c>
      <c r="J63" s="163">
        <f>References!$C$49*I63</f>
        <v>669.9747132687334</v>
      </c>
      <c r="K63" s="214">
        <f>J63/References!$G$57</f>
        <v>702.2798957385543</v>
      </c>
      <c r="L63" s="214">
        <f t="shared" si="15"/>
        <v>0.5627242754315339</v>
      </c>
      <c r="M63" s="212">
        <f t="shared" si="17"/>
        <v>25.69</v>
      </c>
      <c r="N63" s="163">
        <f t="shared" si="10"/>
        <v>26.252724275431536</v>
      </c>
      <c r="O63" s="163">
        <f t="shared" si="19"/>
        <v>32061.120000000003</v>
      </c>
      <c r="P63" s="164">
        <f t="shared" si="20"/>
        <v>26.252724275431536</v>
      </c>
      <c r="Q63" s="164">
        <f t="shared" si="21"/>
        <v>32763.399895738556</v>
      </c>
      <c r="R63" s="164">
        <f t="shared" si="22"/>
        <v>702.279895738553</v>
      </c>
    </row>
    <row r="64" spans="1:18" s="165" customFormat="1" ht="15">
      <c r="A64" s="256"/>
      <c r="B64" s="161">
        <v>33</v>
      </c>
      <c r="C64" s="109" t="s">
        <v>413</v>
      </c>
      <c r="D64" s="209"/>
      <c r="E64" s="166"/>
      <c r="F64" s="181">
        <v>935.9999999999999</v>
      </c>
      <c r="G64" s="227">
        <f>References!$B$30</f>
        <v>473</v>
      </c>
      <c r="H64" s="170">
        <f t="shared" si="8"/>
        <v>442727.99999999994</v>
      </c>
      <c r="I64" s="167">
        <f t="shared" si="18"/>
        <v>334987.3566343679</v>
      </c>
      <c r="J64" s="163">
        <f>References!$C$49*I64</f>
        <v>502.48103495155</v>
      </c>
      <c r="K64" s="214">
        <f>J64/References!$G$57</f>
        <v>526.7099218039157</v>
      </c>
      <c r="L64" s="214">
        <f t="shared" si="15"/>
        <v>0.5627242754315339</v>
      </c>
      <c r="M64" s="212">
        <f t="shared" si="17"/>
        <v>25.69</v>
      </c>
      <c r="N64" s="163">
        <f t="shared" si="10"/>
        <v>26.252724275431536</v>
      </c>
      <c r="O64" s="163">
        <f t="shared" si="19"/>
        <v>24045.839999999997</v>
      </c>
      <c r="P64" s="164">
        <f t="shared" si="20"/>
        <v>26.252724275431536</v>
      </c>
      <c r="Q64" s="164">
        <f t="shared" si="21"/>
        <v>24572.549921803915</v>
      </c>
      <c r="R64" s="164">
        <f t="shared" si="22"/>
        <v>526.7099218039184</v>
      </c>
    </row>
    <row r="65" spans="1:18" s="165" customFormat="1" ht="15">
      <c r="A65" s="256"/>
      <c r="B65" s="161">
        <v>33</v>
      </c>
      <c r="C65" s="109" t="s">
        <v>414</v>
      </c>
      <c r="D65" s="209"/>
      <c r="E65" s="166"/>
      <c r="F65" s="181">
        <v>1248</v>
      </c>
      <c r="G65" s="227">
        <f>References!$B$30</f>
        <v>473</v>
      </c>
      <c r="H65" s="170">
        <f t="shared" si="8"/>
        <v>590304</v>
      </c>
      <c r="I65" s="167">
        <f t="shared" si="18"/>
        <v>446649.8088458239</v>
      </c>
      <c r="J65" s="163">
        <f>References!$C$49*I65</f>
        <v>669.9747132687334</v>
      </c>
      <c r="K65" s="214">
        <f>J65/References!$G$57</f>
        <v>702.2798957385543</v>
      </c>
      <c r="L65" s="214">
        <f t="shared" si="15"/>
        <v>0.5627242754315339</v>
      </c>
      <c r="M65" s="212">
        <f t="shared" si="17"/>
        <v>25.69</v>
      </c>
      <c r="N65" s="163">
        <f t="shared" si="10"/>
        <v>26.252724275431536</v>
      </c>
      <c r="O65" s="163">
        <f t="shared" si="19"/>
        <v>32061.120000000003</v>
      </c>
      <c r="P65" s="164">
        <f t="shared" si="20"/>
        <v>26.252724275431536</v>
      </c>
      <c r="Q65" s="164">
        <f t="shared" si="21"/>
        <v>32763.399895738556</v>
      </c>
      <c r="R65" s="164">
        <f t="shared" si="22"/>
        <v>702.279895738553</v>
      </c>
    </row>
    <row r="66" spans="1:18" s="165" customFormat="1" ht="15">
      <c r="A66" s="256"/>
      <c r="B66" s="161">
        <v>33</v>
      </c>
      <c r="C66" s="109" t="s">
        <v>414</v>
      </c>
      <c r="D66" s="209"/>
      <c r="E66" s="166"/>
      <c r="F66" s="181">
        <v>208</v>
      </c>
      <c r="G66" s="227">
        <f>References!$B$30</f>
        <v>473</v>
      </c>
      <c r="H66" s="170">
        <f t="shared" si="8"/>
        <v>98384</v>
      </c>
      <c r="I66" s="167">
        <f t="shared" si="18"/>
        <v>74441.63480763733</v>
      </c>
      <c r="J66" s="163">
        <f>References!$C$49*I66</f>
        <v>111.66245221145557</v>
      </c>
      <c r="K66" s="214">
        <f>J66/References!$G$57</f>
        <v>117.04664928975906</v>
      </c>
      <c r="L66" s="214">
        <f t="shared" si="15"/>
        <v>0.5627242754315339</v>
      </c>
      <c r="M66" s="212">
        <f t="shared" si="17"/>
        <v>25.69</v>
      </c>
      <c r="N66" s="163">
        <f t="shared" si="10"/>
        <v>26.252724275431536</v>
      </c>
      <c r="O66" s="163">
        <f t="shared" si="19"/>
        <v>5343.52</v>
      </c>
      <c r="P66" s="164">
        <f t="shared" si="20"/>
        <v>26.252724275431536</v>
      </c>
      <c r="Q66" s="164">
        <f t="shared" si="21"/>
        <v>5460.56664928976</v>
      </c>
      <c r="R66" s="164">
        <f t="shared" si="22"/>
        <v>117.04664928975944</v>
      </c>
    </row>
    <row r="67" spans="1:18" s="165" customFormat="1" ht="15">
      <c r="A67" s="256"/>
      <c r="B67" s="161">
        <v>33</v>
      </c>
      <c r="C67" s="109" t="s">
        <v>414</v>
      </c>
      <c r="D67" s="209"/>
      <c r="E67" s="166"/>
      <c r="F67" s="181">
        <v>416</v>
      </c>
      <c r="G67" s="227">
        <f>References!$B$30</f>
        <v>473</v>
      </c>
      <c r="H67" s="170">
        <f t="shared" si="8"/>
        <v>196768</v>
      </c>
      <c r="I67" s="167">
        <f t="shared" si="18"/>
        <v>148883.26961527465</v>
      </c>
      <c r="J67" s="163">
        <f>References!$C$49*I67</f>
        <v>223.32490442291115</v>
      </c>
      <c r="K67" s="214">
        <f>J67/References!$G$57</f>
        <v>234.09329857951812</v>
      </c>
      <c r="L67" s="214">
        <f t="shared" si="15"/>
        <v>0.5627242754315339</v>
      </c>
      <c r="M67" s="212">
        <f t="shared" si="17"/>
        <v>25.69</v>
      </c>
      <c r="N67" s="163">
        <f t="shared" si="10"/>
        <v>26.252724275431536</v>
      </c>
      <c r="O67" s="163">
        <f t="shared" si="19"/>
        <v>10687.04</v>
      </c>
      <c r="P67" s="164">
        <f t="shared" si="20"/>
        <v>26.252724275431536</v>
      </c>
      <c r="Q67" s="164">
        <f t="shared" si="21"/>
        <v>10921.13329857952</v>
      </c>
      <c r="R67" s="164">
        <f t="shared" si="22"/>
        <v>234.0932985795189</v>
      </c>
    </row>
    <row r="68" spans="1:18" s="165" customFormat="1" ht="15">
      <c r="A68" s="256"/>
      <c r="B68" s="161">
        <v>33</v>
      </c>
      <c r="C68" s="109" t="s">
        <v>415</v>
      </c>
      <c r="D68" s="209"/>
      <c r="E68" s="166"/>
      <c r="F68" s="181">
        <v>260</v>
      </c>
      <c r="G68" s="227">
        <f>References!$B$30</f>
        <v>473</v>
      </c>
      <c r="H68" s="170">
        <f t="shared" si="8"/>
        <v>122980</v>
      </c>
      <c r="I68" s="167">
        <f t="shared" si="18"/>
        <v>93052.04350954665</v>
      </c>
      <c r="J68" s="163">
        <f>References!$C$49*I68</f>
        <v>139.57806526431946</v>
      </c>
      <c r="K68" s="214">
        <f>J68/References!$G$57</f>
        <v>146.30831161219882</v>
      </c>
      <c r="L68" s="214">
        <f t="shared" si="15"/>
        <v>0.5627242754315339</v>
      </c>
      <c r="M68" s="212">
        <f t="shared" si="17"/>
        <v>25.69</v>
      </c>
      <c r="N68" s="163">
        <f t="shared" si="10"/>
        <v>26.252724275431536</v>
      </c>
      <c r="O68" s="163">
        <f t="shared" si="19"/>
        <v>6679.400000000001</v>
      </c>
      <c r="P68" s="164">
        <f t="shared" si="20"/>
        <v>26.252724275431536</v>
      </c>
      <c r="Q68" s="164">
        <f t="shared" si="21"/>
        <v>6825.708311612199</v>
      </c>
      <c r="R68" s="164">
        <f t="shared" si="22"/>
        <v>146.30831161219885</v>
      </c>
    </row>
    <row r="69" spans="1:18" s="165" customFormat="1" ht="15">
      <c r="A69" s="256"/>
      <c r="B69" s="161">
        <v>33</v>
      </c>
      <c r="C69" s="109" t="s">
        <v>415</v>
      </c>
      <c r="D69" s="209"/>
      <c r="E69" s="166"/>
      <c r="F69" s="181">
        <v>520</v>
      </c>
      <c r="G69" s="227">
        <f>References!$B$30</f>
        <v>473</v>
      </c>
      <c r="H69" s="170">
        <f t="shared" si="8"/>
        <v>245960</v>
      </c>
      <c r="I69" s="167">
        <f t="shared" si="18"/>
        <v>186104.0870190933</v>
      </c>
      <c r="J69" s="163">
        <f>References!$C$49*I69</f>
        <v>279.1561305286389</v>
      </c>
      <c r="K69" s="214">
        <f>J69/References!$G$57</f>
        <v>292.61662322439764</v>
      </c>
      <c r="L69" s="214">
        <f t="shared" si="15"/>
        <v>0.5627242754315339</v>
      </c>
      <c r="M69" s="212">
        <f t="shared" si="17"/>
        <v>25.69</v>
      </c>
      <c r="N69" s="163">
        <f t="shared" si="10"/>
        <v>26.252724275431536</v>
      </c>
      <c r="O69" s="163">
        <f t="shared" si="19"/>
        <v>13358.800000000001</v>
      </c>
      <c r="P69" s="164">
        <f t="shared" si="20"/>
        <v>26.252724275431536</v>
      </c>
      <c r="Q69" s="164">
        <f t="shared" si="21"/>
        <v>13651.416623224399</v>
      </c>
      <c r="R69" s="164">
        <f t="shared" si="22"/>
        <v>292.6166232243977</v>
      </c>
    </row>
    <row r="70" spans="1:18" s="165" customFormat="1" ht="15">
      <c r="A70" s="256"/>
      <c r="B70" s="161">
        <v>33</v>
      </c>
      <c r="C70" s="109" t="s">
        <v>416</v>
      </c>
      <c r="D70" s="209"/>
      <c r="E70" s="166"/>
      <c r="F70" s="181">
        <v>6396</v>
      </c>
      <c r="G70" s="227">
        <f>References!$B$31</f>
        <v>613</v>
      </c>
      <c r="H70" s="170">
        <f t="shared" si="8"/>
        <v>3920748</v>
      </c>
      <c r="I70" s="167">
        <f t="shared" si="18"/>
        <v>2966609.314408587</v>
      </c>
      <c r="J70" s="163">
        <f>References!$C$49*I70</f>
        <v>4449.913971612864</v>
      </c>
      <c r="K70" s="214">
        <f>J70/References!$G$57</f>
        <v>4664.482193339611</v>
      </c>
      <c r="L70" s="214">
        <f t="shared" si="15"/>
        <v>0.7292811434239541</v>
      </c>
      <c r="M70" s="212">
        <v>32.7</v>
      </c>
      <c r="N70" s="163">
        <f t="shared" si="10"/>
        <v>33.42928114342396</v>
      </c>
      <c r="O70" s="163">
        <f t="shared" si="19"/>
        <v>209149.2</v>
      </c>
      <c r="P70" s="164">
        <f t="shared" si="20"/>
        <v>33.42928114342396</v>
      </c>
      <c r="Q70" s="164">
        <f t="shared" si="21"/>
        <v>213813.68219333963</v>
      </c>
      <c r="R70" s="164">
        <f t="shared" si="22"/>
        <v>4664.482193339616</v>
      </c>
    </row>
    <row r="71" spans="1:18" s="165" customFormat="1" ht="15">
      <c r="A71" s="256"/>
      <c r="B71" s="161">
        <v>33</v>
      </c>
      <c r="C71" s="109" t="s">
        <v>416</v>
      </c>
      <c r="D71" s="209"/>
      <c r="E71" s="166"/>
      <c r="F71" s="181">
        <v>3535.9999999999995</v>
      </c>
      <c r="G71" s="227">
        <f>References!$B$31</f>
        <v>613</v>
      </c>
      <c r="H71" s="170">
        <f t="shared" si="8"/>
        <v>2167567.9999999995</v>
      </c>
      <c r="I71" s="167">
        <f t="shared" si="18"/>
        <v>1640076.6941445842</v>
      </c>
      <c r="J71" s="163">
        <f>References!$C$49*I71</f>
        <v>2460.115041216867</v>
      </c>
      <c r="K71" s="214">
        <f>J71/References!$G$57</f>
        <v>2578.738123147101</v>
      </c>
      <c r="L71" s="214">
        <f t="shared" si="15"/>
        <v>0.729281143423954</v>
      </c>
      <c r="M71" s="212">
        <f>+M70</f>
        <v>32.7</v>
      </c>
      <c r="N71" s="163">
        <f t="shared" si="10"/>
        <v>33.42928114342396</v>
      </c>
      <c r="O71" s="163">
        <f t="shared" si="19"/>
        <v>115627.2</v>
      </c>
      <c r="P71" s="164">
        <f t="shared" si="20"/>
        <v>33.42928114342396</v>
      </c>
      <c r="Q71" s="164">
        <f t="shared" si="21"/>
        <v>118205.93812314709</v>
      </c>
      <c r="R71" s="164">
        <f t="shared" si="22"/>
        <v>2578.7381231470936</v>
      </c>
    </row>
    <row r="72" spans="1:18" s="165" customFormat="1" ht="15">
      <c r="A72" s="256"/>
      <c r="B72" s="161">
        <v>33</v>
      </c>
      <c r="C72" s="109" t="s">
        <v>416</v>
      </c>
      <c r="D72" s="209"/>
      <c r="E72" s="166"/>
      <c r="F72" s="181">
        <v>624</v>
      </c>
      <c r="G72" s="227">
        <f>References!$B$31</f>
        <v>613</v>
      </c>
      <c r="H72" s="170">
        <f t="shared" si="8"/>
        <v>382512</v>
      </c>
      <c r="I72" s="167">
        <f t="shared" si="18"/>
        <v>289425.2989666914</v>
      </c>
      <c r="J72" s="163">
        <f>References!$C$49*I72</f>
        <v>434.13794845003554</v>
      </c>
      <c r="K72" s="214">
        <f>J72/References!$G$57</f>
        <v>455.0714334965474</v>
      </c>
      <c r="L72" s="214">
        <f t="shared" si="15"/>
        <v>0.7292811434239541</v>
      </c>
      <c r="M72" s="212">
        <f aca="true" t="shared" si="23" ref="M72:M77">+M71</f>
        <v>32.7</v>
      </c>
      <c r="N72" s="163">
        <f t="shared" si="10"/>
        <v>33.42928114342396</v>
      </c>
      <c r="O72" s="163">
        <f t="shared" si="19"/>
        <v>20404.800000000003</v>
      </c>
      <c r="P72" s="164">
        <f t="shared" si="20"/>
        <v>33.42928114342396</v>
      </c>
      <c r="Q72" s="164">
        <f t="shared" si="21"/>
        <v>20859.871433496548</v>
      </c>
      <c r="R72" s="164">
        <f t="shared" si="22"/>
        <v>455.07143349654507</v>
      </c>
    </row>
    <row r="73" spans="1:18" s="165" customFormat="1" ht="15">
      <c r="A73" s="256"/>
      <c r="B73" s="161">
        <v>33</v>
      </c>
      <c r="C73" s="109" t="s">
        <v>416</v>
      </c>
      <c r="D73" s="209"/>
      <c r="E73" s="166"/>
      <c r="F73" s="181">
        <v>208</v>
      </c>
      <c r="G73" s="227">
        <f>References!$B$31</f>
        <v>613</v>
      </c>
      <c r="H73" s="170">
        <f t="shared" si="8"/>
        <v>127504</v>
      </c>
      <c r="I73" s="167">
        <f t="shared" si="18"/>
        <v>96475.0996555638</v>
      </c>
      <c r="J73" s="163">
        <f>References!$C$49*I73</f>
        <v>144.71264948334516</v>
      </c>
      <c r="K73" s="214">
        <f>J73/References!$G$57</f>
        <v>151.69047783218244</v>
      </c>
      <c r="L73" s="214">
        <f t="shared" si="15"/>
        <v>0.729281143423954</v>
      </c>
      <c r="M73" s="212">
        <f t="shared" si="23"/>
        <v>32.7</v>
      </c>
      <c r="N73" s="163">
        <f t="shared" si="10"/>
        <v>33.42928114342396</v>
      </c>
      <c r="O73" s="163">
        <f t="shared" si="19"/>
        <v>6801.6</v>
      </c>
      <c r="P73" s="164">
        <f t="shared" si="20"/>
        <v>33.42928114342396</v>
      </c>
      <c r="Q73" s="164">
        <f t="shared" si="21"/>
        <v>6953.290477832183</v>
      </c>
      <c r="R73" s="164">
        <f t="shared" si="22"/>
        <v>151.6904778321823</v>
      </c>
    </row>
    <row r="74" spans="1:18" s="165" customFormat="1" ht="15">
      <c r="A74" s="256"/>
      <c r="B74" s="161">
        <v>33</v>
      </c>
      <c r="C74" s="109" t="s">
        <v>417</v>
      </c>
      <c r="D74" s="209"/>
      <c r="E74" s="166"/>
      <c r="F74" s="181">
        <v>520</v>
      </c>
      <c r="G74" s="227">
        <f>References!$B$31</f>
        <v>613</v>
      </c>
      <c r="H74" s="170">
        <f t="shared" si="8"/>
        <v>318760</v>
      </c>
      <c r="I74" s="167">
        <f t="shared" si="18"/>
        <v>241187.7491389095</v>
      </c>
      <c r="J74" s="163">
        <f>References!$C$49*I74</f>
        <v>361.78162370836293</v>
      </c>
      <c r="K74" s="214">
        <f>J74/References!$G$57</f>
        <v>379.22619458045614</v>
      </c>
      <c r="L74" s="214">
        <f t="shared" si="15"/>
        <v>0.7292811434239541</v>
      </c>
      <c r="M74" s="212">
        <f t="shared" si="23"/>
        <v>32.7</v>
      </c>
      <c r="N74" s="163">
        <f t="shared" si="10"/>
        <v>33.42928114342396</v>
      </c>
      <c r="O74" s="163">
        <f t="shared" si="19"/>
        <v>17004</v>
      </c>
      <c r="P74" s="164">
        <f t="shared" si="20"/>
        <v>33.42928114342396</v>
      </c>
      <c r="Q74" s="164">
        <f t="shared" si="21"/>
        <v>17383.226194580457</v>
      </c>
      <c r="R74" s="164">
        <f t="shared" si="22"/>
        <v>379.22619458045665</v>
      </c>
    </row>
    <row r="75" spans="1:18" s="165" customFormat="1" ht="15">
      <c r="A75" s="256"/>
      <c r="B75" s="161">
        <v>33</v>
      </c>
      <c r="C75" s="109" t="s">
        <v>417</v>
      </c>
      <c r="D75" s="209"/>
      <c r="E75" s="166"/>
      <c r="F75" s="181">
        <v>416</v>
      </c>
      <c r="G75" s="227">
        <f>References!$B$31</f>
        <v>613</v>
      </c>
      <c r="H75" s="170">
        <f aca="true" t="shared" si="24" ref="H75:H104">F75*G75</f>
        <v>255008</v>
      </c>
      <c r="I75" s="167">
        <f t="shared" si="18"/>
        <v>192950.1993111276</v>
      </c>
      <c r="J75" s="163">
        <f>References!$C$49*I75</f>
        <v>289.4252989666903</v>
      </c>
      <c r="K75" s="214">
        <f>J75/References!$G$57</f>
        <v>303.3809556643649</v>
      </c>
      <c r="L75" s="214">
        <f t="shared" si="15"/>
        <v>0.729281143423954</v>
      </c>
      <c r="M75" s="212">
        <f t="shared" si="23"/>
        <v>32.7</v>
      </c>
      <c r="N75" s="163">
        <f aca="true" t="shared" si="25" ref="N75:N104">L75+M75</f>
        <v>33.42928114342396</v>
      </c>
      <c r="O75" s="163">
        <f t="shared" si="19"/>
        <v>13603.2</v>
      </c>
      <c r="P75" s="164">
        <f t="shared" si="20"/>
        <v>33.42928114342396</v>
      </c>
      <c r="Q75" s="164">
        <f t="shared" si="21"/>
        <v>13906.580955664365</v>
      </c>
      <c r="R75" s="164">
        <f t="shared" si="22"/>
        <v>303.3809556643646</v>
      </c>
    </row>
    <row r="76" spans="1:18" s="165" customFormat="1" ht="15">
      <c r="A76" s="256"/>
      <c r="B76" s="161">
        <v>33</v>
      </c>
      <c r="C76" s="109" t="s">
        <v>416</v>
      </c>
      <c r="D76" s="209"/>
      <c r="E76" s="166"/>
      <c r="F76" s="181">
        <v>260</v>
      </c>
      <c r="G76" s="227">
        <f>References!$B$31</f>
        <v>613</v>
      </c>
      <c r="H76" s="170">
        <f t="shared" si="24"/>
        <v>159380</v>
      </c>
      <c r="I76" s="167">
        <f t="shared" si="18"/>
        <v>120593.87456945475</v>
      </c>
      <c r="J76" s="163">
        <f>References!$C$49*I76</f>
        <v>180.89081185418146</v>
      </c>
      <c r="K76" s="214">
        <f>J76/References!$G$57</f>
        <v>189.61309729022807</v>
      </c>
      <c r="L76" s="214">
        <f t="shared" si="15"/>
        <v>0.7292811434239541</v>
      </c>
      <c r="M76" s="212">
        <f t="shared" si="23"/>
        <v>32.7</v>
      </c>
      <c r="N76" s="163">
        <f t="shared" si="25"/>
        <v>33.42928114342396</v>
      </c>
      <c r="O76" s="163">
        <f t="shared" si="19"/>
        <v>8502</v>
      </c>
      <c r="P76" s="164">
        <f t="shared" si="20"/>
        <v>33.42928114342396</v>
      </c>
      <c r="Q76" s="164">
        <f t="shared" si="21"/>
        <v>8691.613097290228</v>
      </c>
      <c r="R76" s="164">
        <f t="shared" si="22"/>
        <v>189.61309729022832</v>
      </c>
    </row>
    <row r="77" spans="1:18" s="165" customFormat="1" ht="15">
      <c r="A77" s="256"/>
      <c r="B77" s="161">
        <v>33</v>
      </c>
      <c r="C77" s="109" t="s">
        <v>418</v>
      </c>
      <c r="D77" s="209"/>
      <c r="E77" s="166"/>
      <c r="F77" s="181">
        <v>624</v>
      </c>
      <c r="G77" s="227">
        <f>References!$B$31</f>
        <v>613</v>
      </c>
      <c r="H77" s="170">
        <f t="shared" si="24"/>
        <v>382512</v>
      </c>
      <c r="I77" s="167">
        <f t="shared" si="18"/>
        <v>289425.2989666914</v>
      </c>
      <c r="J77" s="163">
        <f>References!$C$49*I77</f>
        <v>434.13794845003554</v>
      </c>
      <c r="K77" s="214">
        <f>J77/References!$G$57</f>
        <v>455.0714334965474</v>
      </c>
      <c r="L77" s="214">
        <f t="shared" si="15"/>
        <v>0.7292811434239541</v>
      </c>
      <c r="M77" s="212">
        <f t="shared" si="23"/>
        <v>32.7</v>
      </c>
      <c r="N77" s="163">
        <f t="shared" si="25"/>
        <v>33.42928114342396</v>
      </c>
      <c r="O77" s="163">
        <f t="shared" si="19"/>
        <v>20404.800000000003</v>
      </c>
      <c r="P77" s="164">
        <f t="shared" si="20"/>
        <v>33.42928114342396</v>
      </c>
      <c r="Q77" s="164">
        <f t="shared" si="21"/>
        <v>20859.871433496548</v>
      </c>
      <c r="R77" s="164">
        <f t="shared" si="22"/>
        <v>455.07143349654507</v>
      </c>
    </row>
    <row r="78" spans="1:18" s="165" customFormat="1" ht="15">
      <c r="A78" s="256"/>
      <c r="B78" s="161">
        <v>33</v>
      </c>
      <c r="C78" s="109" t="s">
        <v>419</v>
      </c>
      <c r="D78" s="209"/>
      <c r="E78" s="166"/>
      <c r="F78" s="181">
        <v>6811.999999999999</v>
      </c>
      <c r="G78" s="227">
        <f>References!$B$32</f>
        <v>840</v>
      </c>
      <c r="H78" s="170">
        <f t="shared" si="24"/>
        <v>5722079.999999999</v>
      </c>
      <c r="I78" s="167">
        <f t="shared" si="18"/>
        <v>4329575.842617553</v>
      </c>
      <c r="J78" s="163">
        <f>References!$C$49*I78</f>
        <v>6494.363763926305</v>
      </c>
      <c r="K78" s="214">
        <f>J78/References!$G$57</f>
        <v>6807.512308586197</v>
      </c>
      <c r="L78" s="214">
        <f t="shared" si="15"/>
        <v>0.9993412079545211</v>
      </c>
      <c r="M78" s="212">
        <v>44.11</v>
      </c>
      <c r="N78" s="163">
        <f t="shared" si="25"/>
        <v>45.10934120795452</v>
      </c>
      <c r="O78" s="163">
        <f t="shared" si="19"/>
        <v>300477.31999999995</v>
      </c>
      <c r="P78" s="164">
        <f t="shared" si="20"/>
        <v>45.10934120795452</v>
      </c>
      <c r="Q78" s="164">
        <f t="shared" si="21"/>
        <v>307284.83230858616</v>
      </c>
      <c r="R78" s="164">
        <f t="shared" si="22"/>
        <v>6807.512308586214</v>
      </c>
    </row>
    <row r="79" spans="1:18" s="165" customFormat="1" ht="15">
      <c r="A79" s="256"/>
      <c r="B79" s="161">
        <v>33</v>
      </c>
      <c r="C79" s="109" t="s">
        <v>419</v>
      </c>
      <c r="D79" s="209"/>
      <c r="E79" s="166"/>
      <c r="F79" s="181">
        <v>5512</v>
      </c>
      <c r="G79" s="227">
        <f>References!$B$32</f>
        <v>840</v>
      </c>
      <c r="H79" s="170">
        <f t="shared" si="24"/>
        <v>4630080</v>
      </c>
      <c r="I79" s="167">
        <f t="shared" si="18"/>
        <v>3503320.9108203105</v>
      </c>
      <c r="J79" s="163">
        <f>References!$C$49*I79</f>
        <v>5254.981366230446</v>
      </c>
      <c r="K79" s="214">
        <f>J79/References!$G$57</f>
        <v>5508.36873824532</v>
      </c>
      <c r="L79" s="214">
        <f t="shared" si="15"/>
        <v>0.9993412079545211</v>
      </c>
      <c r="M79" s="212">
        <f>+M78</f>
        <v>44.11</v>
      </c>
      <c r="N79" s="163">
        <f t="shared" si="25"/>
        <v>45.10934120795452</v>
      </c>
      <c r="O79" s="163">
        <f t="shared" si="19"/>
        <v>243134.32</v>
      </c>
      <c r="P79" s="164">
        <f t="shared" si="20"/>
        <v>45.10934120795452</v>
      </c>
      <c r="Q79" s="164">
        <f t="shared" si="21"/>
        <v>248642.6887382453</v>
      </c>
      <c r="R79" s="164">
        <f t="shared" si="22"/>
        <v>5508.368738245306</v>
      </c>
    </row>
    <row r="80" spans="1:18" s="165" customFormat="1" ht="15">
      <c r="A80" s="256"/>
      <c r="B80" s="161">
        <v>33</v>
      </c>
      <c r="C80" s="109" t="s">
        <v>419</v>
      </c>
      <c r="D80" s="209"/>
      <c r="E80" s="166"/>
      <c r="F80" s="181">
        <v>4055.9999999999995</v>
      </c>
      <c r="G80" s="227">
        <f>References!$B$32</f>
        <v>840</v>
      </c>
      <c r="H80" s="170">
        <f t="shared" si="24"/>
        <v>3407039.9999999995</v>
      </c>
      <c r="I80" s="167">
        <f t="shared" si="18"/>
        <v>2577915.3872073977</v>
      </c>
      <c r="J80" s="163">
        <f>References!$C$49*I80</f>
        <v>3866.873080811082</v>
      </c>
      <c r="K80" s="214">
        <f>J80/References!$G$57</f>
        <v>4053.327939463537</v>
      </c>
      <c r="L80" s="214">
        <f t="shared" si="15"/>
        <v>0.9993412079545211</v>
      </c>
      <c r="M80" s="212">
        <f aca="true" t="shared" si="26" ref="M80:M95">+M79</f>
        <v>44.11</v>
      </c>
      <c r="N80" s="163">
        <f t="shared" si="25"/>
        <v>45.10934120795452</v>
      </c>
      <c r="O80" s="163">
        <f t="shared" si="19"/>
        <v>178910.15999999997</v>
      </c>
      <c r="P80" s="164">
        <f t="shared" si="20"/>
        <v>45.10934120795452</v>
      </c>
      <c r="Q80" s="164">
        <f t="shared" si="21"/>
        <v>182963.48793946352</v>
      </c>
      <c r="R80" s="164">
        <f t="shared" si="22"/>
        <v>4053.3279394635465</v>
      </c>
    </row>
    <row r="81" spans="1:18" s="165" customFormat="1" ht="15">
      <c r="A81" s="256"/>
      <c r="B81" s="161">
        <v>33</v>
      </c>
      <c r="C81" s="109" t="s">
        <v>419</v>
      </c>
      <c r="D81" s="209"/>
      <c r="E81" s="166"/>
      <c r="F81" s="181">
        <v>1456</v>
      </c>
      <c r="G81" s="227">
        <f>References!$B$32</f>
        <v>840</v>
      </c>
      <c r="H81" s="170">
        <f t="shared" si="24"/>
        <v>1223040</v>
      </c>
      <c r="I81" s="167">
        <f t="shared" si="18"/>
        <v>925405.5236129122</v>
      </c>
      <c r="J81" s="163">
        <f>References!$C$49*I81</f>
        <v>1388.108285419363</v>
      </c>
      <c r="K81" s="214">
        <f>J81/References!$G$57</f>
        <v>1455.0407987817825</v>
      </c>
      <c r="L81" s="214">
        <f t="shared" si="15"/>
        <v>0.999341207954521</v>
      </c>
      <c r="M81" s="212">
        <f t="shared" si="26"/>
        <v>44.11</v>
      </c>
      <c r="N81" s="163">
        <f t="shared" si="25"/>
        <v>45.10934120795452</v>
      </c>
      <c r="O81" s="163">
        <f t="shared" si="19"/>
        <v>64224.159999999996</v>
      </c>
      <c r="P81" s="164">
        <f t="shared" si="20"/>
        <v>45.10934120795452</v>
      </c>
      <c r="Q81" s="164">
        <f t="shared" si="21"/>
        <v>65679.20079878178</v>
      </c>
      <c r="R81" s="164">
        <f t="shared" si="22"/>
        <v>1455.0407987817816</v>
      </c>
    </row>
    <row r="82" spans="1:18" s="165" customFormat="1" ht="15">
      <c r="A82" s="256"/>
      <c r="B82" s="161">
        <v>33</v>
      </c>
      <c r="C82" s="109" t="s">
        <v>419</v>
      </c>
      <c r="D82" s="209"/>
      <c r="E82" s="166"/>
      <c r="F82" s="181">
        <v>1560</v>
      </c>
      <c r="G82" s="227">
        <f>References!$B$32</f>
        <v>840</v>
      </c>
      <c r="H82" s="170">
        <f t="shared" si="24"/>
        <v>1310400</v>
      </c>
      <c r="I82" s="167">
        <f t="shared" si="18"/>
        <v>991505.9181566916</v>
      </c>
      <c r="J82" s="163">
        <f>References!$C$49*I82</f>
        <v>1487.2588772350318</v>
      </c>
      <c r="K82" s="214">
        <f>J82/References!$G$57</f>
        <v>1558.972284409053</v>
      </c>
      <c r="L82" s="214">
        <f t="shared" si="15"/>
        <v>0.9993412079545211</v>
      </c>
      <c r="M82" s="212">
        <f t="shared" si="26"/>
        <v>44.11</v>
      </c>
      <c r="N82" s="163">
        <f t="shared" si="25"/>
        <v>45.10934120795452</v>
      </c>
      <c r="O82" s="163">
        <f t="shared" si="19"/>
        <v>68811.6</v>
      </c>
      <c r="P82" s="164">
        <f t="shared" si="20"/>
        <v>45.10934120795452</v>
      </c>
      <c r="Q82" s="164">
        <f t="shared" si="21"/>
        <v>70370.57228440905</v>
      </c>
      <c r="R82" s="164">
        <f t="shared" si="22"/>
        <v>1558.972284409043</v>
      </c>
    </row>
    <row r="83" spans="1:18" s="165" customFormat="1" ht="15">
      <c r="A83" s="256"/>
      <c r="B83" s="161">
        <v>33</v>
      </c>
      <c r="C83" s="109" t="s">
        <v>419</v>
      </c>
      <c r="D83" s="209"/>
      <c r="E83" s="166"/>
      <c r="F83" s="181">
        <v>624</v>
      </c>
      <c r="G83" s="227">
        <f>References!$B$32</f>
        <v>840</v>
      </c>
      <c r="H83" s="170">
        <f t="shared" si="24"/>
        <v>524160</v>
      </c>
      <c r="I83" s="167">
        <f t="shared" si="18"/>
        <v>396602.36726267665</v>
      </c>
      <c r="J83" s="163">
        <f>References!$C$49*I83</f>
        <v>594.9035508940127</v>
      </c>
      <c r="K83" s="214">
        <f>J83/References!$G$57</f>
        <v>623.5889137636211</v>
      </c>
      <c r="L83" s="214">
        <f t="shared" si="15"/>
        <v>0.9993412079545211</v>
      </c>
      <c r="M83" s="212">
        <f t="shared" si="26"/>
        <v>44.11</v>
      </c>
      <c r="N83" s="163">
        <f t="shared" si="25"/>
        <v>45.10934120795452</v>
      </c>
      <c r="O83" s="163">
        <f t="shared" si="19"/>
        <v>27524.64</v>
      </c>
      <c r="P83" s="164">
        <f t="shared" si="20"/>
        <v>45.10934120795452</v>
      </c>
      <c r="Q83" s="164">
        <f t="shared" si="21"/>
        <v>28148.22891376362</v>
      </c>
      <c r="R83" s="164">
        <f t="shared" si="22"/>
        <v>623.5889137636223</v>
      </c>
    </row>
    <row r="84" spans="1:18" s="165" customFormat="1" ht="15">
      <c r="A84" s="256"/>
      <c r="B84" s="161">
        <v>33</v>
      </c>
      <c r="C84" s="109" t="s">
        <v>420</v>
      </c>
      <c r="D84" s="209"/>
      <c r="E84" s="166"/>
      <c r="F84" s="181">
        <v>832</v>
      </c>
      <c r="G84" s="227">
        <f>References!$B$32</f>
        <v>840</v>
      </c>
      <c r="H84" s="170">
        <f t="shared" si="24"/>
        <v>698880</v>
      </c>
      <c r="I84" s="167">
        <f t="shared" si="18"/>
        <v>528803.1563502356</v>
      </c>
      <c r="J84" s="163">
        <f>References!$C$49*I84</f>
        <v>793.2047345253504</v>
      </c>
      <c r="K84" s="214">
        <f>J84/References!$G$57</f>
        <v>831.4518850181616</v>
      </c>
      <c r="L84" s="214">
        <f t="shared" si="15"/>
        <v>0.9993412079545212</v>
      </c>
      <c r="M84" s="212">
        <f t="shared" si="26"/>
        <v>44.11</v>
      </c>
      <c r="N84" s="163">
        <f t="shared" si="25"/>
        <v>45.10934120795452</v>
      </c>
      <c r="O84" s="163">
        <f t="shared" si="19"/>
        <v>36699.52</v>
      </c>
      <c r="P84" s="164">
        <f t="shared" si="20"/>
        <v>45.10934120795452</v>
      </c>
      <c r="Q84" s="164">
        <f t="shared" si="21"/>
        <v>37530.97188501816</v>
      </c>
      <c r="R84" s="164">
        <f t="shared" si="22"/>
        <v>831.451885018163</v>
      </c>
    </row>
    <row r="85" spans="1:18" s="165" customFormat="1" ht="15">
      <c r="A85" s="256"/>
      <c r="B85" s="161">
        <v>33</v>
      </c>
      <c r="C85" s="109" t="s">
        <v>420</v>
      </c>
      <c r="D85" s="209"/>
      <c r="E85" s="166"/>
      <c r="F85" s="181">
        <v>1456</v>
      </c>
      <c r="G85" s="227">
        <f>References!$B$32</f>
        <v>840</v>
      </c>
      <c r="H85" s="170">
        <f t="shared" si="24"/>
        <v>1223040</v>
      </c>
      <c r="I85" s="167">
        <f t="shared" si="18"/>
        <v>925405.5236129122</v>
      </c>
      <c r="J85" s="163">
        <f>References!$C$49*I85</f>
        <v>1388.108285419363</v>
      </c>
      <c r="K85" s="214">
        <f>J85/References!$G$57</f>
        <v>1455.0407987817825</v>
      </c>
      <c r="L85" s="214">
        <f t="shared" si="15"/>
        <v>0.999341207954521</v>
      </c>
      <c r="M85" s="212">
        <f t="shared" si="26"/>
        <v>44.11</v>
      </c>
      <c r="N85" s="163">
        <f t="shared" si="25"/>
        <v>45.10934120795452</v>
      </c>
      <c r="O85" s="163">
        <f t="shared" si="19"/>
        <v>64224.159999999996</v>
      </c>
      <c r="P85" s="164">
        <f t="shared" si="20"/>
        <v>45.10934120795452</v>
      </c>
      <c r="Q85" s="164">
        <f t="shared" si="21"/>
        <v>65679.20079878178</v>
      </c>
      <c r="R85" s="164">
        <f t="shared" si="22"/>
        <v>1455.0407987817816</v>
      </c>
    </row>
    <row r="86" spans="1:18" s="165" customFormat="1" ht="15">
      <c r="A86" s="256"/>
      <c r="B86" s="161">
        <v>33</v>
      </c>
      <c r="C86" s="109" t="s">
        <v>420</v>
      </c>
      <c r="D86" s="209"/>
      <c r="E86" s="166"/>
      <c r="F86" s="181">
        <v>312</v>
      </c>
      <c r="G86" s="227">
        <f>References!$B$32</f>
        <v>840</v>
      </c>
      <c r="H86" s="170">
        <f t="shared" si="24"/>
        <v>262080</v>
      </c>
      <c r="I86" s="167">
        <f t="shared" si="18"/>
        <v>198301.18363133832</v>
      </c>
      <c r="J86" s="163">
        <f>References!$C$49*I86</f>
        <v>297.45177544700636</v>
      </c>
      <c r="K86" s="214">
        <f>J86/References!$G$57</f>
        <v>311.79445688181056</v>
      </c>
      <c r="L86" s="214">
        <f t="shared" si="15"/>
        <v>0.9993412079545211</v>
      </c>
      <c r="M86" s="212">
        <f t="shared" si="26"/>
        <v>44.11</v>
      </c>
      <c r="N86" s="163">
        <f t="shared" si="25"/>
        <v>45.10934120795452</v>
      </c>
      <c r="O86" s="163">
        <f t="shared" si="19"/>
        <v>13762.32</v>
      </c>
      <c r="P86" s="164">
        <f t="shared" si="20"/>
        <v>45.10934120795452</v>
      </c>
      <c r="Q86" s="164">
        <f t="shared" si="21"/>
        <v>14074.11445688181</v>
      </c>
      <c r="R86" s="164">
        <f t="shared" si="22"/>
        <v>311.79445688181113</v>
      </c>
    </row>
    <row r="87" spans="1:18" s="165" customFormat="1" ht="15">
      <c r="A87" s="256"/>
      <c r="B87" s="161">
        <v>33</v>
      </c>
      <c r="C87" s="109" t="s">
        <v>421</v>
      </c>
      <c r="D87" s="209"/>
      <c r="E87" s="166"/>
      <c r="F87" s="181">
        <v>780</v>
      </c>
      <c r="G87" s="227">
        <f>References!$B$32</f>
        <v>840</v>
      </c>
      <c r="H87" s="170">
        <f t="shared" si="24"/>
        <v>655200</v>
      </c>
      <c r="I87" s="167">
        <f t="shared" si="18"/>
        <v>495752.9590783458</v>
      </c>
      <c r="J87" s="163">
        <f>References!$C$49*I87</f>
        <v>743.6294386175159</v>
      </c>
      <c r="K87" s="214">
        <f>J87/References!$G$57</f>
        <v>779.4861422045265</v>
      </c>
      <c r="L87" s="214">
        <f t="shared" si="15"/>
        <v>0.9993412079545211</v>
      </c>
      <c r="M87" s="212">
        <f t="shared" si="26"/>
        <v>44.11</v>
      </c>
      <c r="N87" s="163">
        <f t="shared" si="25"/>
        <v>45.10934120795452</v>
      </c>
      <c r="O87" s="163">
        <f t="shared" si="19"/>
        <v>34405.8</v>
      </c>
      <c r="P87" s="164">
        <f t="shared" si="20"/>
        <v>45.10934120795452</v>
      </c>
      <c r="Q87" s="164">
        <f t="shared" si="21"/>
        <v>35185.286142204524</v>
      </c>
      <c r="R87" s="164">
        <f t="shared" si="22"/>
        <v>779.4861422045215</v>
      </c>
    </row>
    <row r="88" spans="1:18" s="165" customFormat="1" ht="15">
      <c r="A88" s="256"/>
      <c r="B88" s="161">
        <v>33</v>
      </c>
      <c r="C88" s="109" t="s">
        <v>421</v>
      </c>
      <c r="D88" s="209"/>
      <c r="E88" s="166"/>
      <c r="F88" s="181">
        <v>935.9999999999999</v>
      </c>
      <c r="G88" s="227">
        <f>References!$B$32</f>
        <v>840</v>
      </c>
      <c r="H88" s="170">
        <f t="shared" si="24"/>
        <v>786239.9999999999</v>
      </c>
      <c r="I88" s="167">
        <f aca="true" t="shared" si="27" ref="I88:I104">$C$116*H88</f>
        <v>594903.5508940149</v>
      </c>
      <c r="J88" s="163">
        <f>References!$C$49*I88</f>
        <v>892.355326341019</v>
      </c>
      <c r="K88" s="214">
        <f>J88/References!$G$57</f>
        <v>935.3833706454316</v>
      </c>
      <c r="L88" s="214">
        <f t="shared" si="15"/>
        <v>0.9993412079545211</v>
      </c>
      <c r="M88" s="212">
        <f t="shared" si="26"/>
        <v>44.11</v>
      </c>
      <c r="N88" s="163">
        <f t="shared" si="25"/>
        <v>45.10934120795452</v>
      </c>
      <c r="O88" s="163">
        <f aca="true" t="shared" si="28" ref="O88:O104">F88*M88</f>
        <v>41286.95999999999</v>
      </c>
      <c r="P88" s="164">
        <f aca="true" t="shared" si="29" ref="P88:P104">N88</f>
        <v>45.10934120795452</v>
      </c>
      <c r="Q88" s="164">
        <f aca="true" t="shared" si="30" ref="Q88:Q104">F88*P88</f>
        <v>42222.34337064543</v>
      </c>
      <c r="R88" s="164">
        <f aca="true" t="shared" si="31" ref="R88:R104">Q88-O88</f>
        <v>935.3833706454388</v>
      </c>
    </row>
    <row r="89" spans="1:18" s="165" customFormat="1" ht="15">
      <c r="A89" s="256"/>
      <c r="B89" s="161">
        <v>33</v>
      </c>
      <c r="C89" s="109" t="s">
        <v>421</v>
      </c>
      <c r="D89" s="209"/>
      <c r="E89" s="166"/>
      <c r="F89" s="181">
        <v>467.99999999999994</v>
      </c>
      <c r="G89" s="227">
        <f>References!$B$32</f>
        <v>840</v>
      </c>
      <c r="H89" s="170">
        <f t="shared" si="24"/>
        <v>393119.99999999994</v>
      </c>
      <c r="I89" s="167">
        <f t="shared" si="27"/>
        <v>297451.77544700744</v>
      </c>
      <c r="J89" s="163">
        <f>References!$C$49*I89</f>
        <v>446.1776631705095</v>
      </c>
      <c r="K89" s="214">
        <f>J89/References!$G$57</f>
        <v>467.6916853227158</v>
      </c>
      <c r="L89" s="214">
        <f aca="true" t="shared" si="32" ref="L89:L104">(K89/F89)</f>
        <v>0.9993412079545211</v>
      </c>
      <c r="M89" s="212">
        <f t="shared" si="26"/>
        <v>44.11</v>
      </c>
      <c r="N89" s="163">
        <f t="shared" si="25"/>
        <v>45.10934120795452</v>
      </c>
      <c r="O89" s="163">
        <f t="shared" si="28"/>
        <v>20643.479999999996</v>
      </c>
      <c r="P89" s="164">
        <f t="shared" si="29"/>
        <v>45.10934120795452</v>
      </c>
      <c r="Q89" s="164">
        <f t="shared" si="30"/>
        <v>21111.171685322715</v>
      </c>
      <c r="R89" s="164">
        <f t="shared" si="31"/>
        <v>467.6916853227194</v>
      </c>
    </row>
    <row r="90" spans="1:18" s="165" customFormat="1" ht="15">
      <c r="A90" s="256"/>
      <c r="B90" s="161">
        <v>33</v>
      </c>
      <c r="C90" s="109" t="s">
        <v>421</v>
      </c>
      <c r="D90" s="209"/>
      <c r="E90" s="166"/>
      <c r="F90" s="181">
        <v>624</v>
      </c>
      <c r="G90" s="227">
        <f>References!$B$32</f>
        <v>840</v>
      </c>
      <c r="H90" s="170">
        <f t="shared" si="24"/>
        <v>524160</v>
      </c>
      <c r="I90" s="167">
        <f t="shared" si="27"/>
        <v>396602.36726267665</v>
      </c>
      <c r="J90" s="163">
        <f>References!$C$49*I90</f>
        <v>594.9035508940127</v>
      </c>
      <c r="K90" s="214">
        <f>J90/References!$G$57</f>
        <v>623.5889137636211</v>
      </c>
      <c r="L90" s="214">
        <f t="shared" si="32"/>
        <v>0.9993412079545211</v>
      </c>
      <c r="M90" s="212">
        <f t="shared" si="26"/>
        <v>44.11</v>
      </c>
      <c r="N90" s="163">
        <f t="shared" si="25"/>
        <v>45.10934120795452</v>
      </c>
      <c r="O90" s="163">
        <f t="shared" si="28"/>
        <v>27524.64</v>
      </c>
      <c r="P90" s="164">
        <f t="shared" si="29"/>
        <v>45.10934120795452</v>
      </c>
      <c r="Q90" s="164">
        <f t="shared" si="30"/>
        <v>28148.22891376362</v>
      </c>
      <c r="R90" s="164">
        <f t="shared" si="31"/>
        <v>623.5889137636223</v>
      </c>
    </row>
    <row r="91" spans="1:18" s="165" customFormat="1" ht="15">
      <c r="A91" s="256"/>
      <c r="B91" s="161">
        <v>33</v>
      </c>
      <c r="C91" s="109" t="s">
        <v>422</v>
      </c>
      <c r="D91" s="209"/>
      <c r="E91" s="166"/>
      <c r="F91" s="181">
        <v>416</v>
      </c>
      <c r="G91" s="227">
        <f>References!$B$32</f>
        <v>840</v>
      </c>
      <c r="H91" s="170">
        <f t="shared" si="24"/>
        <v>349440</v>
      </c>
      <c r="I91" s="167">
        <f t="shared" si="27"/>
        <v>264401.5781751178</v>
      </c>
      <c r="J91" s="163">
        <f>References!$C$49*I91</f>
        <v>396.6023672626752</v>
      </c>
      <c r="K91" s="214">
        <f>J91/References!$G$57</f>
        <v>415.7259425090808</v>
      </c>
      <c r="L91" s="214">
        <f t="shared" si="32"/>
        <v>0.9993412079545212</v>
      </c>
      <c r="M91" s="212">
        <f t="shared" si="26"/>
        <v>44.11</v>
      </c>
      <c r="N91" s="163">
        <f t="shared" si="25"/>
        <v>45.10934120795452</v>
      </c>
      <c r="O91" s="163">
        <f t="shared" si="28"/>
        <v>18349.76</v>
      </c>
      <c r="P91" s="164">
        <f t="shared" si="29"/>
        <v>45.10934120795452</v>
      </c>
      <c r="Q91" s="164">
        <f t="shared" si="30"/>
        <v>18765.48594250908</v>
      </c>
      <c r="R91" s="164">
        <f t="shared" si="31"/>
        <v>415.7259425090815</v>
      </c>
    </row>
    <row r="92" spans="1:18" s="165" customFormat="1" ht="15">
      <c r="A92" s="256"/>
      <c r="B92" s="161">
        <v>33</v>
      </c>
      <c r="C92" s="109" t="s">
        <v>422</v>
      </c>
      <c r="D92" s="209"/>
      <c r="E92" s="166"/>
      <c r="F92" s="181">
        <v>416</v>
      </c>
      <c r="G92" s="227">
        <f>References!$B$32</f>
        <v>840</v>
      </c>
      <c r="H92" s="170">
        <f t="shared" si="24"/>
        <v>349440</v>
      </c>
      <c r="I92" s="167">
        <f t="shared" si="27"/>
        <v>264401.5781751178</v>
      </c>
      <c r="J92" s="163">
        <f>References!$C$49*I92</f>
        <v>396.6023672626752</v>
      </c>
      <c r="K92" s="214">
        <f>J92/References!$G$57</f>
        <v>415.7259425090808</v>
      </c>
      <c r="L92" s="214">
        <f t="shared" si="32"/>
        <v>0.9993412079545212</v>
      </c>
      <c r="M92" s="212">
        <f t="shared" si="26"/>
        <v>44.11</v>
      </c>
      <c r="N92" s="163">
        <f t="shared" si="25"/>
        <v>45.10934120795452</v>
      </c>
      <c r="O92" s="163">
        <f t="shared" si="28"/>
        <v>18349.76</v>
      </c>
      <c r="P92" s="164">
        <f t="shared" si="29"/>
        <v>45.10934120795452</v>
      </c>
      <c r="Q92" s="164">
        <f t="shared" si="30"/>
        <v>18765.48594250908</v>
      </c>
      <c r="R92" s="164">
        <f t="shared" si="31"/>
        <v>415.7259425090815</v>
      </c>
    </row>
    <row r="93" spans="1:18" s="165" customFormat="1" ht="15">
      <c r="A93" s="256"/>
      <c r="B93" s="161">
        <v>33</v>
      </c>
      <c r="C93" s="109" t="s">
        <v>423</v>
      </c>
      <c r="D93" s="209"/>
      <c r="E93" s="166"/>
      <c r="F93" s="181">
        <v>520</v>
      </c>
      <c r="G93" s="227">
        <f>References!$B$32</f>
        <v>840</v>
      </c>
      <c r="H93" s="170">
        <f t="shared" si="24"/>
        <v>436800</v>
      </c>
      <c r="I93" s="167">
        <f t="shared" si="27"/>
        <v>330501.9727188972</v>
      </c>
      <c r="J93" s="163">
        <f>References!$C$49*I93</f>
        <v>495.75295907834396</v>
      </c>
      <c r="K93" s="214">
        <f>J93/References!$G$57</f>
        <v>519.657428136351</v>
      </c>
      <c r="L93" s="214">
        <f t="shared" si="32"/>
        <v>0.9993412079545211</v>
      </c>
      <c r="M93" s="212">
        <f t="shared" si="26"/>
        <v>44.11</v>
      </c>
      <c r="N93" s="163">
        <f t="shared" si="25"/>
        <v>45.10934120795452</v>
      </c>
      <c r="O93" s="163">
        <f t="shared" si="28"/>
        <v>22937.2</v>
      </c>
      <c r="P93" s="164">
        <f t="shared" si="29"/>
        <v>45.10934120795452</v>
      </c>
      <c r="Q93" s="164">
        <f t="shared" si="30"/>
        <v>23456.85742813635</v>
      </c>
      <c r="R93" s="164">
        <f t="shared" si="31"/>
        <v>519.6574281363501</v>
      </c>
    </row>
    <row r="94" spans="1:18" s="165" customFormat="1" ht="15">
      <c r="A94" s="256"/>
      <c r="B94" s="161">
        <v>33</v>
      </c>
      <c r="C94" s="109" t="s">
        <v>424</v>
      </c>
      <c r="D94" s="209"/>
      <c r="E94" s="166"/>
      <c r="F94" s="181">
        <v>624</v>
      </c>
      <c r="G94" s="227">
        <f>References!$B$32</f>
        <v>840</v>
      </c>
      <c r="H94" s="170">
        <f t="shared" si="24"/>
        <v>524160</v>
      </c>
      <c r="I94" s="167">
        <f t="shared" si="27"/>
        <v>396602.36726267665</v>
      </c>
      <c r="J94" s="163">
        <f>References!$C$49*I94</f>
        <v>594.9035508940127</v>
      </c>
      <c r="K94" s="214">
        <f>J94/References!$G$57</f>
        <v>623.5889137636211</v>
      </c>
      <c r="L94" s="214">
        <f t="shared" si="32"/>
        <v>0.9993412079545211</v>
      </c>
      <c r="M94" s="212">
        <f t="shared" si="26"/>
        <v>44.11</v>
      </c>
      <c r="N94" s="163">
        <f t="shared" si="25"/>
        <v>45.10934120795452</v>
      </c>
      <c r="O94" s="163">
        <f t="shared" si="28"/>
        <v>27524.64</v>
      </c>
      <c r="P94" s="164">
        <f t="shared" si="29"/>
        <v>45.10934120795452</v>
      </c>
      <c r="Q94" s="164">
        <f t="shared" si="30"/>
        <v>28148.22891376362</v>
      </c>
      <c r="R94" s="164">
        <f t="shared" si="31"/>
        <v>623.5889137636223</v>
      </c>
    </row>
    <row r="95" spans="1:18" s="165" customFormat="1" ht="15">
      <c r="A95" s="256"/>
      <c r="B95" s="161">
        <v>33</v>
      </c>
      <c r="C95" s="109" t="s">
        <v>425</v>
      </c>
      <c r="D95" s="209"/>
      <c r="E95" s="166"/>
      <c r="F95" s="181">
        <v>728</v>
      </c>
      <c r="G95" s="227">
        <f>References!$B$32</f>
        <v>840</v>
      </c>
      <c r="H95" s="170">
        <f t="shared" si="24"/>
        <v>611520</v>
      </c>
      <c r="I95" s="167">
        <f t="shared" si="27"/>
        <v>462702.7618064561</v>
      </c>
      <c r="J95" s="163">
        <f>References!$C$49*I95</f>
        <v>694.0541427096815</v>
      </c>
      <c r="K95" s="214">
        <f>J95/References!$G$57</f>
        <v>727.5203993908913</v>
      </c>
      <c r="L95" s="214">
        <f t="shared" si="32"/>
        <v>0.999341207954521</v>
      </c>
      <c r="M95" s="212">
        <f t="shared" si="26"/>
        <v>44.11</v>
      </c>
      <c r="N95" s="163">
        <f t="shared" si="25"/>
        <v>45.10934120795452</v>
      </c>
      <c r="O95" s="163">
        <f t="shared" si="28"/>
        <v>32112.079999999998</v>
      </c>
      <c r="P95" s="164">
        <f t="shared" si="29"/>
        <v>45.10934120795452</v>
      </c>
      <c r="Q95" s="164">
        <f t="shared" si="30"/>
        <v>32839.60039939089</v>
      </c>
      <c r="R95" s="164">
        <f t="shared" si="31"/>
        <v>727.5203993908908</v>
      </c>
    </row>
    <row r="96" spans="1:18" s="165" customFormat="1" ht="15">
      <c r="A96" s="256"/>
      <c r="B96" s="161">
        <v>33</v>
      </c>
      <c r="C96" s="109" t="s">
        <v>426</v>
      </c>
      <c r="D96" s="209"/>
      <c r="E96" s="166"/>
      <c r="F96" s="181">
        <v>780</v>
      </c>
      <c r="G96" s="227">
        <f>References!$B$33</f>
        <v>980</v>
      </c>
      <c r="H96" s="170">
        <f t="shared" si="24"/>
        <v>764400</v>
      </c>
      <c r="I96" s="167">
        <f t="shared" si="27"/>
        <v>578378.4522580701</v>
      </c>
      <c r="J96" s="163">
        <f>References!$C$49*I96</f>
        <v>867.567678387102</v>
      </c>
      <c r="K96" s="214">
        <f>J96/References!$G$57</f>
        <v>909.4004992386142</v>
      </c>
      <c r="L96" s="214">
        <f t="shared" si="32"/>
        <v>1.1658980759469413</v>
      </c>
      <c r="M96" s="212">
        <v>54.39</v>
      </c>
      <c r="N96" s="163">
        <f t="shared" si="25"/>
        <v>55.55589807594694</v>
      </c>
      <c r="O96" s="163">
        <f t="shared" si="28"/>
        <v>42424.2</v>
      </c>
      <c r="P96" s="164">
        <f t="shared" si="29"/>
        <v>55.55589807594694</v>
      </c>
      <c r="Q96" s="164">
        <f t="shared" si="30"/>
        <v>43333.600499238615</v>
      </c>
      <c r="R96" s="164">
        <f t="shared" si="31"/>
        <v>909.4004992386181</v>
      </c>
    </row>
    <row r="97" spans="1:18" s="165" customFormat="1" ht="15">
      <c r="A97" s="256"/>
      <c r="B97" s="161">
        <v>33</v>
      </c>
      <c r="C97" s="109" t="s">
        <v>427</v>
      </c>
      <c r="D97" s="209"/>
      <c r="E97" s="166"/>
      <c r="F97" s="181">
        <v>260</v>
      </c>
      <c r="G97" s="227">
        <f>References!$B$33</f>
        <v>980</v>
      </c>
      <c r="H97" s="170">
        <f t="shared" si="24"/>
        <v>254800</v>
      </c>
      <c r="I97" s="167">
        <f t="shared" si="27"/>
        <v>192792.8174193567</v>
      </c>
      <c r="J97" s="163">
        <f>References!$C$49*I97</f>
        <v>289.18922612903395</v>
      </c>
      <c r="K97" s="214">
        <f>J97/References!$G$57</f>
        <v>303.13349974620473</v>
      </c>
      <c r="L97" s="214">
        <f t="shared" si="32"/>
        <v>1.1658980759469413</v>
      </c>
      <c r="M97" s="212">
        <v>54.39</v>
      </c>
      <c r="N97" s="163">
        <f t="shared" si="25"/>
        <v>55.55589807594694</v>
      </c>
      <c r="O97" s="163">
        <f t="shared" si="28"/>
        <v>14141.4</v>
      </c>
      <c r="P97" s="164">
        <f t="shared" si="29"/>
        <v>55.55589807594694</v>
      </c>
      <c r="Q97" s="164">
        <f t="shared" si="30"/>
        <v>14444.533499746205</v>
      </c>
      <c r="R97" s="164">
        <f t="shared" si="31"/>
        <v>303.1334997462054</v>
      </c>
    </row>
    <row r="98" spans="1:18" s="165" customFormat="1" ht="15">
      <c r="A98" s="256"/>
      <c r="B98" s="161">
        <v>33</v>
      </c>
      <c r="C98" s="109" t="s">
        <v>426</v>
      </c>
      <c r="D98" s="209"/>
      <c r="E98" s="166"/>
      <c r="F98" s="181">
        <v>624</v>
      </c>
      <c r="G98" s="227">
        <f>References!$B$33</f>
        <v>980</v>
      </c>
      <c r="H98" s="170">
        <f t="shared" si="24"/>
        <v>611520</v>
      </c>
      <c r="I98" s="167">
        <f t="shared" si="27"/>
        <v>462702.7618064561</v>
      </c>
      <c r="J98" s="163">
        <f>References!$C$49*I98</f>
        <v>694.0541427096815</v>
      </c>
      <c r="K98" s="214">
        <f>J98/References!$G$57</f>
        <v>727.5203993908913</v>
      </c>
      <c r="L98" s="214">
        <f t="shared" si="32"/>
        <v>1.165898075946941</v>
      </c>
      <c r="M98" s="212">
        <v>54.39</v>
      </c>
      <c r="N98" s="163">
        <f t="shared" si="25"/>
        <v>55.55589807594694</v>
      </c>
      <c r="O98" s="163">
        <f t="shared" si="28"/>
        <v>33939.36</v>
      </c>
      <c r="P98" s="164">
        <f t="shared" si="29"/>
        <v>55.55589807594694</v>
      </c>
      <c r="Q98" s="164">
        <f t="shared" si="30"/>
        <v>34666.880399390895</v>
      </c>
      <c r="R98" s="164">
        <f t="shared" si="31"/>
        <v>727.5203993908945</v>
      </c>
    </row>
    <row r="99" spans="1:18" s="165" customFormat="1" ht="15">
      <c r="A99" s="256"/>
      <c r="B99" s="161">
        <v>33</v>
      </c>
      <c r="C99" s="109" t="s">
        <v>426</v>
      </c>
      <c r="D99" s="209"/>
      <c r="E99" s="166"/>
      <c r="F99" s="181">
        <v>312</v>
      </c>
      <c r="G99" s="227">
        <f>References!$B$33</f>
        <v>980</v>
      </c>
      <c r="H99" s="170">
        <f t="shared" si="24"/>
        <v>305760</v>
      </c>
      <c r="I99" s="167">
        <f t="shared" si="27"/>
        <v>231351.38090322804</v>
      </c>
      <c r="J99" s="163">
        <f>References!$C$49*I99</f>
        <v>347.02707135484076</v>
      </c>
      <c r="K99" s="214">
        <f>J99/References!$G$57</f>
        <v>363.76019969544564</v>
      </c>
      <c r="L99" s="214">
        <f t="shared" si="32"/>
        <v>1.165898075946941</v>
      </c>
      <c r="M99" s="212">
        <v>54.39</v>
      </c>
      <c r="N99" s="163">
        <f t="shared" si="25"/>
        <v>55.55589807594694</v>
      </c>
      <c r="O99" s="163">
        <f t="shared" si="28"/>
        <v>16969.68</v>
      </c>
      <c r="P99" s="164">
        <f t="shared" si="29"/>
        <v>55.55589807594694</v>
      </c>
      <c r="Q99" s="164">
        <f t="shared" si="30"/>
        <v>17333.440199695448</v>
      </c>
      <c r="R99" s="164">
        <f t="shared" si="31"/>
        <v>363.7601996954472</v>
      </c>
    </row>
    <row r="100" spans="1:18" s="165" customFormat="1" ht="15">
      <c r="A100" s="256"/>
      <c r="B100" s="161">
        <v>33</v>
      </c>
      <c r="C100" s="109" t="s">
        <v>426</v>
      </c>
      <c r="D100" s="209"/>
      <c r="E100" s="166"/>
      <c r="F100" s="181">
        <v>624</v>
      </c>
      <c r="G100" s="227">
        <f>References!$B$33</f>
        <v>980</v>
      </c>
      <c r="H100" s="170">
        <f t="shared" si="24"/>
        <v>611520</v>
      </c>
      <c r="I100" s="167">
        <f t="shared" si="27"/>
        <v>462702.7618064561</v>
      </c>
      <c r="J100" s="163">
        <f>References!$C$49*I100</f>
        <v>694.0541427096815</v>
      </c>
      <c r="K100" s="214">
        <f>J100/References!$G$57</f>
        <v>727.5203993908913</v>
      </c>
      <c r="L100" s="214">
        <f t="shared" si="32"/>
        <v>1.165898075946941</v>
      </c>
      <c r="M100" s="212">
        <v>54.39</v>
      </c>
      <c r="N100" s="163">
        <f t="shared" si="25"/>
        <v>55.55589807594694</v>
      </c>
      <c r="O100" s="163">
        <f t="shared" si="28"/>
        <v>33939.36</v>
      </c>
      <c r="P100" s="164">
        <f t="shared" si="29"/>
        <v>55.55589807594694</v>
      </c>
      <c r="Q100" s="164">
        <f t="shared" si="30"/>
        <v>34666.880399390895</v>
      </c>
      <c r="R100" s="164">
        <f t="shared" si="31"/>
        <v>727.5203993908945</v>
      </c>
    </row>
    <row r="101" spans="1:18" s="165" customFormat="1" ht="15">
      <c r="A101" s="256"/>
      <c r="B101" s="161">
        <v>35</v>
      </c>
      <c r="C101" s="109" t="s">
        <v>428</v>
      </c>
      <c r="D101" s="209"/>
      <c r="E101" s="166"/>
      <c r="F101" s="181">
        <v>52</v>
      </c>
      <c r="G101" s="229">
        <f>References!B36</f>
        <v>892</v>
      </c>
      <c r="H101" s="170">
        <f t="shared" si="24"/>
        <v>46384</v>
      </c>
      <c r="I101" s="167">
        <f t="shared" si="27"/>
        <v>35096.16186491147</v>
      </c>
      <c r="J101" s="163">
        <f>References!$C$49*I101</f>
        <v>52.644242797367006</v>
      </c>
      <c r="K101" s="214">
        <f>J101/References!$G$57</f>
        <v>55.18266974971728</v>
      </c>
      <c r="L101" s="214">
        <f t="shared" si="32"/>
        <v>1.061205187494563</v>
      </c>
      <c r="M101" s="212">
        <v>54.18</v>
      </c>
      <c r="N101" s="163">
        <f t="shared" si="25"/>
        <v>55.241205187494565</v>
      </c>
      <c r="O101" s="163">
        <f t="shared" si="28"/>
        <v>2817.36</v>
      </c>
      <c r="P101" s="164">
        <f t="shared" si="29"/>
        <v>55.241205187494565</v>
      </c>
      <c r="Q101" s="164">
        <f t="shared" si="30"/>
        <v>2872.5426697497173</v>
      </c>
      <c r="R101" s="164">
        <f t="shared" si="31"/>
        <v>55.182669749717206</v>
      </c>
    </row>
    <row r="102" spans="1:18" s="165" customFormat="1" ht="15">
      <c r="A102" s="256"/>
      <c r="B102" s="161">
        <v>35</v>
      </c>
      <c r="C102" s="109" t="s">
        <v>429</v>
      </c>
      <c r="D102" s="209"/>
      <c r="E102" s="166"/>
      <c r="F102" s="181">
        <v>312</v>
      </c>
      <c r="G102" s="227">
        <f>References!B37</f>
        <v>1301</v>
      </c>
      <c r="H102" s="170">
        <f t="shared" si="24"/>
        <v>405912</v>
      </c>
      <c r="I102" s="167">
        <f t="shared" si="27"/>
        <v>307130.761790918</v>
      </c>
      <c r="J102" s="163">
        <f>References!$C$49*I102</f>
        <v>460.6961426863753</v>
      </c>
      <c r="K102" s="214">
        <f>J102/References!$G$57</f>
        <v>482.9102242895661</v>
      </c>
      <c r="L102" s="214">
        <f t="shared" si="32"/>
        <v>1.547789180415276</v>
      </c>
      <c r="M102" s="212">
        <v>69.58</v>
      </c>
      <c r="N102" s="163">
        <f t="shared" si="25"/>
        <v>71.12778918041528</v>
      </c>
      <c r="O102" s="163">
        <f t="shared" si="28"/>
        <v>21708.96</v>
      </c>
      <c r="P102" s="164">
        <f t="shared" si="29"/>
        <v>71.12778918041528</v>
      </c>
      <c r="Q102" s="164">
        <f t="shared" si="30"/>
        <v>22191.870224289567</v>
      </c>
      <c r="R102" s="164">
        <f t="shared" si="31"/>
        <v>482.91022428956785</v>
      </c>
    </row>
    <row r="103" spans="1:18" s="165" customFormat="1" ht="15">
      <c r="A103" s="256"/>
      <c r="B103" s="161">
        <v>35</v>
      </c>
      <c r="C103" s="109" t="s">
        <v>430</v>
      </c>
      <c r="D103" s="209"/>
      <c r="E103" s="166"/>
      <c r="F103" s="181">
        <v>156</v>
      </c>
      <c r="G103" s="227">
        <f>References!B38</f>
        <v>1686</v>
      </c>
      <c r="H103" s="170">
        <f t="shared" si="24"/>
        <v>263016</v>
      </c>
      <c r="I103" s="167">
        <f t="shared" si="27"/>
        <v>199009.4021443074</v>
      </c>
      <c r="J103" s="163">
        <f>References!$C$49*I103</f>
        <v>298.51410321645994</v>
      </c>
      <c r="K103" s="214">
        <f>J103/References!$G$57</f>
        <v>312.9080085135313</v>
      </c>
      <c r="L103" s="214">
        <f t="shared" si="32"/>
        <v>2.0058205673944314</v>
      </c>
      <c r="M103" s="212">
        <v>76.98</v>
      </c>
      <c r="N103" s="163">
        <f t="shared" si="25"/>
        <v>78.98582056739444</v>
      </c>
      <c r="O103" s="163">
        <f t="shared" si="28"/>
        <v>12008.880000000001</v>
      </c>
      <c r="P103" s="164">
        <f t="shared" si="29"/>
        <v>78.98582056739444</v>
      </c>
      <c r="Q103" s="164">
        <f t="shared" si="30"/>
        <v>12321.788008513533</v>
      </c>
      <c r="R103" s="164">
        <f t="shared" si="31"/>
        <v>312.90800851353197</v>
      </c>
    </row>
    <row r="104" spans="1:18" s="165" customFormat="1" ht="15">
      <c r="A104" s="211"/>
      <c r="B104" s="161">
        <v>27</v>
      </c>
      <c r="C104" s="109" t="s">
        <v>432</v>
      </c>
      <c r="D104" s="209"/>
      <c r="E104" s="166"/>
      <c r="F104" s="220">
        <v>4861.2880794702</v>
      </c>
      <c r="G104" s="227">
        <f>References!B42</f>
        <v>125</v>
      </c>
      <c r="H104" s="170">
        <f t="shared" si="24"/>
        <v>607661.0099337749</v>
      </c>
      <c r="I104" s="167">
        <f t="shared" si="27"/>
        <v>459782.8812442079</v>
      </c>
      <c r="J104" s="163">
        <f>References!$C$49*I104</f>
        <v>689.6743218663092</v>
      </c>
      <c r="K104" s="214">
        <f>J104/References!$G$57</f>
        <v>722.9293901120034</v>
      </c>
      <c r="L104" s="214">
        <f t="shared" si="32"/>
        <v>0.14871148927894656</v>
      </c>
      <c r="M104" s="212">
        <v>15.55</v>
      </c>
      <c r="N104" s="163">
        <f t="shared" si="25"/>
        <v>15.698711489278947</v>
      </c>
      <c r="O104" s="163">
        <f t="shared" si="28"/>
        <v>75593.0296357616</v>
      </c>
      <c r="P104" s="164">
        <f t="shared" si="29"/>
        <v>15.698711489278947</v>
      </c>
      <c r="Q104" s="164">
        <f t="shared" si="30"/>
        <v>76315.95902587361</v>
      </c>
      <c r="R104" s="164">
        <f t="shared" si="31"/>
        <v>722.9293901120109</v>
      </c>
    </row>
    <row r="105" spans="1:18" s="165" customFormat="1" ht="15">
      <c r="A105" s="171"/>
      <c r="B105" s="150"/>
      <c r="C105" s="173" t="s">
        <v>7</v>
      </c>
      <c r="D105" s="174">
        <f>SUM(D24:D104)</f>
        <v>0</v>
      </c>
      <c r="E105" s="174"/>
      <c r="F105" s="174">
        <f>SUM(F24:F104)</f>
        <v>141309.2880794702</v>
      </c>
      <c r="G105" s="230"/>
      <c r="H105" s="174">
        <f>SUM(H24:H104)</f>
        <v>58582877.00993378</v>
      </c>
      <c r="I105" s="177">
        <f>SUM(I24:I104)</f>
        <v>44326365.42887281</v>
      </c>
      <c r="J105" s="179"/>
      <c r="K105" s="179"/>
      <c r="L105" s="179"/>
      <c r="M105" s="179"/>
      <c r="N105" s="179"/>
      <c r="O105" s="179">
        <f>SUM(O24:O104)</f>
        <v>3247218.629635762</v>
      </c>
      <c r="P105" s="179"/>
      <c r="Q105" s="179">
        <f>SUM(Q24:Q104)</f>
        <v>3316914.204726902</v>
      </c>
      <c r="R105" s="179">
        <f>SUM(R24:R104)</f>
        <v>69695.57509114106</v>
      </c>
    </row>
    <row r="106" spans="3:18" ht="25.5" customHeight="1">
      <c r="C106" s="183" t="s">
        <v>358</v>
      </c>
      <c r="D106" s="184">
        <f>D23+D105</f>
        <v>45626.74296875</v>
      </c>
      <c r="E106" s="184"/>
      <c r="F106" s="184">
        <f>F23+F105</f>
        <v>2214622.2037044703</v>
      </c>
      <c r="G106" s="184"/>
      <c r="H106" s="184">
        <f>H23+H105</f>
        <v>142173484.14118376</v>
      </c>
      <c r="I106" s="184">
        <f>I23+I105</f>
        <v>107574672.56634635</v>
      </c>
      <c r="J106" s="163"/>
      <c r="K106" s="185"/>
      <c r="L106" s="185"/>
      <c r="M106" s="185"/>
      <c r="N106" s="185"/>
      <c r="O106" s="234">
        <f>O23+O105</f>
        <v>10467446.242042013</v>
      </c>
      <c r="P106" s="234"/>
      <c r="Q106" s="234">
        <f>Q23+Q105</f>
        <v>10636588.886542909</v>
      </c>
      <c r="R106" s="234">
        <f>R23+R105</f>
        <v>169142.64450089665</v>
      </c>
    </row>
    <row r="107" spans="7:10" ht="15">
      <c r="G107" s="231"/>
      <c r="J107" s="187"/>
    </row>
    <row r="108" spans="7:10" ht="15">
      <c r="G108" s="231"/>
      <c r="J108" s="187"/>
    </row>
    <row r="109" spans="1:3" ht="15">
      <c r="A109" s="169"/>
      <c r="C109" s="190"/>
    </row>
    <row r="110" spans="1:3" ht="15">
      <c r="A110" s="169"/>
      <c r="C110" s="190"/>
    </row>
    <row r="111" spans="1:8" ht="15">
      <c r="A111" s="169"/>
      <c r="B111" s="258" t="s">
        <v>359</v>
      </c>
      <c r="C111" s="258"/>
      <c r="D111" s="160"/>
      <c r="E111" s="191"/>
      <c r="F111" s="191"/>
      <c r="H111" s="224"/>
    </row>
    <row r="112" spans="1:15" ht="15">
      <c r="A112" s="169"/>
      <c r="B112" s="160"/>
      <c r="C112" s="192" t="s">
        <v>7</v>
      </c>
      <c r="D112" s="160"/>
      <c r="E112" s="119"/>
      <c r="F112" s="119"/>
      <c r="H112" s="193" t="s">
        <v>360</v>
      </c>
      <c r="J112" s="194"/>
      <c r="O112" s="186"/>
    </row>
    <row r="113" spans="1:15" ht="15">
      <c r="A113" s="169"/>
      <c r="B113" s="160" t="s">
        <v>361</v>
      </c>
      <c r="C113" s="225">
        <f>'Co. Pro Tonnage'!E9</f>
        <v>53787.336283173165</v>
      </c>
      <c r="D113" s="160"/>
      <c r="E113" s="180"/>
      <c r="F113" s="180"/>
      <c r="G113" s="195"/>
      <c r="H113" s="222" t="s">
        <v>364</v>
      </c>
      <c r="I113" s="223"/>
      <c r="J113" s="194"/>
      <c r="O113" s="186"/>
    </row>
    <row r="114" spans="1:10" ht="15">
      <c r="A114" s="169"/>
      <c r="B114" s="160" t="s">
        <v>362</v>
      </c>
      <c r="C114" s="196">
        <f>C113*2000</f>
        <v>107574672.56634633</v>
      </c>
      <c r="D114" s="160"/>
      <c r="E114" s="196"/>
      <c r="F114" s="196"/>
      <c r="G114" s="196"/>
      <c r="H114" s="197"/>
      <c r="J114" s="194"/>
    </row>
    <row r="115" spans="1:15" ht="15">
      <c r="A115" s="169"/>
      <c r="B115" s="160" t="s">
        <v>363</v>
      </c>
      <c r="C115" s="196">
        <f>F23+F105</f>
        <v>2214622.2037044703</v>
      </c>
      <c r="D115" s="160"/>
      <c r="E115" s="180"/>
      <c r="F115" s="180"/>
      <c r="G115" s="180"/>
      <c r="I115" s="213"/>
      <c r="J115" s="194"/>
      <c r="O115" s="186"/>
    </row>
    <row r="116" spans="2:15" ht="15">
      <c r="B116" s="198" t="s">
        <v>365</v>
      </c>
      <c r="C116" s="199">
        <f>C114/$H$106</f>
        <v>0.7566437104370357</v>
      </c>
      <c r="D116" s="160"/>
      <c r="E116" s="199"/>
      <c r="F116" s="199"/>
      <c r="G116" s="199"/>
      <c r="H116" s="200"/>
      <c r="J116" s="194"/>
      <c r="M116" s="201"/>
      <c r="N116" s="201"/>
      <c r="O116" s="202"/>
    </row>
    <row r="117" spans="5:15" ht="15">
      <c r="E117" s="194"/>
      <c r="G117" s="203"/>
      <c r="H117" s="204"/>
      <c r="J117" s="194"/>
      <c r="M117" s="205"/>
      <c r="N117" s="206"/>
      <c r="O117" s="188"/>
    </row>
    <row r="118" spans="4:15" ht="15">
      <c r="D118" s="207"/>
      <c r="E118" s="208"/>
      <c r="G118" s="203"/>
      <c r="H118" s="204"/>
      <c r="J118" s="194"/>
      <c r="M118" s="205"/>
      <c r="N118" s="206"/>
      <c r="O118" s="188"/>
    </row>
    <row r="119" spans="4:15" ht="15">
      <c r="D119" s="207"/>
      <c r="E119" s="208"/>
      <c r="G119" s="203"/>
      <c r="H119" s="204"/>
      <c r="J119" s="194"/>
      <c r="M119" s="205"/>
      <c r="N119" s="206"/>
      <c r="O119" s="188"/>
    </row>
    <row r="120" spans="4:9" ht="15">
      <c r="D120" s="160"/>
      <c r="I120" s="160"/>
    </row>
    <row r="121" spans="4:9" ht="15">
      <c r="D121" s="160"/>
      <c r="E121" s="194"/>
      <c r="I121" s="160"/>
    </row>
    <row r="122" spans="4:9" ht="15">
      <c r="D122" s="160"/>
      <c r="I122" s="160"/>
    </row>
    <row r="123" spans="4:9" ht="15">
      <c r="D123" s="160"/>
      <c r="I123" s="160"/>
    </row>
    <row r="124" ht="15">
      <c r="D124" s="160"/>
    </row>
  </sheetData>
  <sheetProtection/>
  <mergeCells count="3">
    <mergeCell ref="A2:A22"/>
    <mergeCell ref="A24:A103"/>
    <mergeCell ref="B111:C111"/>
  </mergeCells>
  <printOptions/>
  <pageMargins left="0.45" right="0.2" top="0.25" bottom="0.25" header="0.3" footer="0.3"/>
  <pageSetup fitToHeight="0" fitToWidth="1" horizontalDpi="600" verticalDpi="600" orientation="landscape" scale="47" r:id="rId1"/>
</worksheet>
</file>

<file path=xl/worksheets/sheet4.xml><?xml version="1.0" encoding="utf-8"?>
<worksheet xmlns="http://schemas.openxmlformats.org/spreadsheetml/2006/main" xmlns:r="http://schemas.openxmlformats.org/officeDocument/2006/relationships">
  <sheetPr>
    <pageSetUpPr fitToPage="1"/>
  </sheetPr>
  <dimension ref="A1:R22"/>
  <sheetViews>
    <sheetView zoomScalePageLayoutView="0" workbookViewId="0" topLeftCell="A1">
      <selection activeCell="J12" sqref="J12"/>
    </sheetView>
  </sheetViews>
  <sheetFormatPr defaultColWidth="9.140625" defaultRowHeight="15"/>
  <cols>
    <col min="1" max="1" width="28.8515625" style="0" bestFit="1" customWidth="1"/>
    <col min="3" max="3" width="12.8515625" style="0" bestFit="1" customWidth="1"/>
    <col min="4" max="4" width="12.421875" style="0" bestFit="1" customWidth="1"/>
    <col min="5" max="5" width="14.28125" style="0" bestFit="1" customWidth="1"/>
    <col min="6" max="6" width="11.00390625" style="0" bestFit="1" customWidth="1"/>
    <col min="7" max="7" width="17.57421875" style="0" bestFit="1" customWidth="1"/>
    <col min="8" max="8" width="13.57421875" style="0" bestFit="1" customWidth="1"/>
    <col min="9" max="9" width="14.28125" style="0" bestFit="1" customWidth="1"/>
    <col min="10" max="10" width="12.7109375" style="0" bestFit="1" customWidth="1"/>
    <col min="11" max="11" width="2.421875" style="0" customWidth="1"/>
    <col min="12" max="13" width="10.421875" style="0" bestFit="1" customWidth="1"/>
    <col min="14" max="14" width="14.421875" style="0" bestFit="1" customWidth="1"/>
    <col min="15" max="15" width="14.421875" style="0" customWidth="1"/>
    <col min="16" max="16" width="12.8515625" style="0" bestFit="1" customWidth="1"/>
    <col min="17" max="17" width="10.00390625" style="0" bestFit="1" customWidth="1"/>
    <col min="18" max="18" width="12.57421875" style="0" bestFit="1" customWidth="1"/>
  </cols>
  <sheetData>
    <row r="1" spans="1:10" ht="26.25">
      <c r="A1" s="71" t="s">
        <v>250</v>
      </c>
      <c r="B1" s="64"/>
      <c r="C1" s="64"/>
      <c r="D1" s="64"/>
      <c r="E1" s="64"/>
      <c r="F1" s="64"/>
      <c r="G1" s="64"/>
      <c r="H1" s="64"/>
      <c r="I1" s="64"/>
      <c r="J1" s="64"/>
    </row>
    <row r="2" spans="1:10" ht="20.25">
      <c r="A2" s="70" t="s">
        <v>251</v>
      </c>
      <c r="B2" s="64"/>
      <c r="C2" s="64"/>
      <c r="D2" s="64"/>
      <c r="E2" s="64"/>
      <c r="F2" s="64"/>
      <c r="G2" s="64"/>
      <c r="H2" s="64"/>
      <c r="I2" s="64"/>
      <c r="J2" s="64"/>
    </row>
    <row r="3" spans="1:16" ht="15.75">
      <c r="A3" s="112" t="s">
        <v>434</v>
      </c>
      <c r="G3" s="68" t="s">
        <v>271</v>
      </c>
      <c r="I3" s="68" t="s">
        <v>271</v>
      </c>
      <c r="L3" s="127"/>
      <c r="M3" s="126"/>
      <c r="N3" s="126"/>
      <c r="O3" s="245"/>
      <c r="P3" s="128"/>
    </row>
    <row r="4" spans="1:16" ht="15.75">
      <c r="A4" s="64"/>
      <c r="B4" s="64"/>
      <c r="C4" s="68" t="s">
        <v>7</v>
      </c>
      <c r="D4" s="68" t="s">
        <v>6</v>
      </c>
      <c r="E4" s="68" t="s">
        <v>271</v>
      </c>
      <c r="F4" s="69" t="s">
        <v>252</v>
      </c>
      <c r="G4" s="68" t="s">
        <v>253</v>
      </c>
      <c r="H4" s="69" t="s">
        <v>254</v>
      </c>
      <c r="I4" s="68" t="s">
        <v>2</v>
      </c>
      <c r="J4" s="68" t="s">
        <v>2</v>
      </c>
      <c r="L4" s="128"/>
      <c r="M4" s="128"/>
      <c r="N4" s="128"/>
      <c r="O4" s="128"/>
      <c r="P4" s="128"/>
    </row>
    <row r="5" spans="1:17" ht="20.25">
      <c r="A5" s="64"/>
      <c r="B5" s="64"/>
      <c r="C5" s="66" t="s">
        <v>255</v>
      </c>
      <c r="D5" s="66" t="s">
        <v>271</v>
      </c>
      <c r="E5" s="66" t="s">
        <v>255</v>
      </c>
      <c r="F5" s="67" t="s">
        <v>256</v>
      </c>
      <c r="G5" s="66" t="s">
        <v>257</v>
      </c>
      <c r="H5" s="67" t="s">
        <v>256</v>
      </c>
      <c r="I5" s="66" t="s">
        <v>258</v>
      </c>
      <c r="J5" s="66" t="s">
        <v>3</v>
      </c>
      <c r="L5" s="129"/>
      <c r="M5" s="129"/>
      <c r="N5" s="129"/>
      <c r="O5" s="129"/>
      <c r="P5" s="129"/>
      <c r="Q5" s="129"/>
    </row>
    <row r="6" spans="1:18" ht="15.75">
      <c r="A6" s="65" t="s">
        <v>259</v>
      </c>
      <c r="B6" s="64"/>
      <c r="C6" s="91">
        <v>33423.860000000015</v>
      </c>
      <c r="D6" s="121">
        <v>0.6575077713851466</v>
      </c>
      <c r="E6" s="123">
        <f>+D6*C6</f>
        <v>21976.447699689157</v>
      </c>
      <c r="F6" s="72">
        <v>68</v>
      </c>
      <c r="G6" s="75">
        <f>+F6*E6</f>
        <v>1494398.4435788626</v>
      </c>
      <c r="H6" s="74">
        <v>71</v>
      </c>
      <c r="I6" s="75">
        <f>+H6*E6</f>
        <v>1560327.7866779303</v>
      </c>
      <c r="J6" s="92">
        <f>+I6-G6</f>
        <v>65929.34309906769</v>
      </c>
      <c r="K6" s="111"/>
      <c r="L6" s="132"/>
      <c r="M6" s="132"/>
      <c r="N6" s="132"/>
      <c r="O6" s="132"/>
      <c r="P6" s="133"/>
      <c r="Q6" s="240"/>
      <c r="R6" s="108"/>
    </row>
    <row r="7" spans="1:16" ht="15.75">
      <c r="A7" s="64"/>
      <c r="B7" s="64"/>
      <c r="C7" s="73"/>
      <c r="D7" s="75"/>
      <c r="E7" s="75"/>
      <c r="F7" s="72"/>
      <c r="G7" s="75"/>
      <c r="H7" s="74"/>
      <c r="I7" s="75"/>
      <c r="J7" s="92"/>
      <c r="L7" s="133"/>
      <c r="M7" s="133"/>
      <c r="N7" s="133"/>
      <c r="O7" s="133"/>
      <c r="P7" s="133"/>
    </row>
    <row r="8" spans="1:18" ht="18">
      <c r="A8" s="65" t="s">
        <v>260</v>
      </c>
      <c r="B8" s="64"/>
      <c r="C8" s="98">
        <v>40512.840000000004</v>
      </c>
      <c r="D8" s="121">
        <v>0.7852051</v>
      </c>
      <c r="E8" s="124">
        <f>+D8*C8</f>
        <v>31810.888583484004</v>
      </c>
      <c r="F8" s="72">
        <f>+F6</f>
        <v>68</v>
      </c>
      <c r="G8" s="76">
        <f>+F8*E8</f>
        <v>2163140.423676912</v>
      </c>
      <c r="H8" s="74">
        <f>+H6</f>
        <v>71</v>
      </c>
      <c r="I8" s="76">
        <f>+H8*E8</f>
        <v>2258573.089427364</v>
      </c>
      <c r="J8" s="94">
        <f>+I8-G8</f>
        <v>95432.66575045185</v>
      </c>
      <c r="K8" s="111"/>
      <c r="L8" s="134"/>
      <c r="M8" s="134"/>
      <c r="N8" s="134"/>
      <c r="O8" s="134"/>
      <c r="P8" s="135"/>
      <c r="Q8" s="240"/>
      <c r="R8" s="108"/>
    </row>
    <row r="9" spans="1:18" ht="15.75">
      <c r="A9" s="65"/>
      <c r="B9" s="64"/>
      <c r="C9" s="96">
        <f>+C8+C6</f>
        <v>73936.70000000001</v>
      </c>
      <c r="D9" s="75"/>
      <c r="E9" s="96">
        <f>+E8+E6</f>
        <v>53787.336283173165</v>
      </c>
      <c r="F9" s="72"/>
      <c r="G9" s="122">
        <f>+G8+G6</f>
        <v>3657538.867255775</v>
      </c>
      <c r="H9" s="74"/>
      <c r="J9" s="122">
        <f>+J8+J6</f>
        <v>161362.00884951954</v>
      </c>
      <c r="K9" s="122"/>
      <c r="L9" s="122"/>
      <c r="M9" s="122"/>
      <c r="N9" s="122"/>
      <c r="O9" s="122"/>
      <c r="P9" s="122"/>
      <c r="R9" s="108"/>
    </row>
    <row r="10" spans="1:16" ht="15.75">
      <c r="A10" s="64"/>
      <c r="B10" s="64"/>
      <c r="C10" s="73"/>
      <c r="D10" s="75"/>
      <c r="E10" s="75"/>
      <c r="F10" s="72"/>
      <c r="G10" s="75"/>
      <c r="H10" s="74"/>
      <c r="I10" s="75"/>
      <c r="J10" s="92"/>
      <c r="L10" s="131"/>
      <c r="M10" s="131"/>
      <c r="N10" s="131"/>
      <c r="O10" s="131"/>
      <c r="P10" s="131"/>
    </row>
    <row r="11" spans="1:16" ht="15.75">
      <c r="A11" s="65" t="s">
        <v>261</v>
      </c>
      <c r="B11" s="64"/>
      <c r="C11" s="91">
        <v>18977.64800000002</v>
      </c>
      <c r="D11" s="121">
        <v>0.6373866772110004</v>
      </c>
      <c r="E11" s="123">
        <f>+D11*C11</f>
        <v>12096.1</v>
      </c>
      <c r="F11" s="72">
        <f>+F8</f>
        <v>68</v>
      </c>
      <c r="G11" s="75">
        <f>+F11*E11</f>
        <v>822534.8</v>
      </c>
      <c r="H11" s="74">
        <f>+H8</f>
        <v>71</v>
      </c>
      <c r="I11" s="75">
        <f>+H11*E11</f>
        <v>858823.1</v>
      </c>
      <c r="J11" s="92">
        <f>+I11-G11</f>
        <v>36288.29999999993</v>
      </c>
      <c r="L11" s="130"/>
      <c r="M11" s="130"/>
      <c r="N11" s="132"/>
      <c r="O11" s="132"/>
      <c r="P11" s="133"/>
    </row>
    <row r="12" spans="1:16" ht="17.25">
      <c r="A12" s="65" t="s">
        <v>262</v>
      </c>
      <c r="B12" s="64"/>
      <c r="C12" s="93">
        <v>1294.282</v>
      </c>
      <c r="D12" s="93">
        <v>0</v>
      </c>
      <c r="E12" s="124">
        <f>+D12*C12</f>
        <v>0</v>
      </c>
      <c r="F12" s="72"/>
      <c r="G12" s="76">
        <f>+F12*C12</f>
        <v>0</v>
      </c>
      <c r="H12" s="77"/>
      <c r="I12" s="76"/>
      <c r="J12" s="94">
        <f>+I12-G12</f>
        <v>0</v>
      </c>
      <c r="L12" s="131"/>
      <c r="M12" s="131"/>
      <c r="N12" s="131"/>
      <c r="O12" s="131"/>
      <c r="P12" s="131"/>
    </row>
    <row r="13" spans="1:16" ht="20.25">
      <c r="A13" s="64"/>
      <c r="B13" s="64"/>
      <c r="C13" s="95">
        <f>SUM(C11:C12)</f>
        <v>20271.93000000002</v>
      </c>
      <c r="D13" s="95"/>
      <c r="E13" s="95">
        <f>SUM(E11:E12)</f>
        <v>12096.1</v>
      </c>
      <c r="F13" s="72"/>
      <c r="G13" s="78">
        <f>SUM(G11:G12)</f>
        <v>822534.8</v>
      </c>
      <c r="H13" s="73"/>
      <c r="I13" s="78">
        <f>SUM(I11:I12)</f>
        <v>858823.1</v>
      </c>
      <c r="J13" s="78">
        <f>SUM(J11:J12)</f>
        <v>36288.29999999993</v>
      </c>
      <c r="L13" s="78"/>
      <c r="M13" s="78"/>
      <c r="N13" s="78"/>
      <c r="O13" s="78"/>
      <c r="P13" s="78"/>
    </row>
    <row r="14" spans="1:16" ht="15.75">
      <c r="A14" s="64"/>
      <c r="B14" s="64"/>
      <c r="C14" s="96"/>
      <c r="D14" s="96"/>
      <c r="E14" s="96"/>
      <c r="F14" s="72"/>
      <c r="G14" s="73"/>
      <c r="H14" s="73"/>
      <c r="I14" s="73"/>
      <c r="J14" s="73"/>
      <c r="L14" s="131"/>
      <c r="M14" s="131"/>
      <c r="N14" s="131"/>
      <c r="O14" s="131"/>
      <c r="P14" s="131"/>
    </row>
    <row r="15" spans="1:16" ht="18">
      <c r="A15" s="64"/>
      <c r="B15" s="64"/>
      <c r="C15" s="97">
        <f>+C13+C9</f>
        <v>94208.63000000003</v>
      </c>
      <c r="D15" s="97"/>
      <c r="E15" s="97">
        <f>+E13+E9</f>
        <v>65883.43628317317</v>
      </c>
      <c r="F15" s="72"/>
      <c r="G15" s="79">
        <f>+G13+G9</f>
        <v>4480073.667255775</v>
      </c>
      <c r="H15" s="79"/>
      <c r="I15" s="79">
        <f>+I13+N9</f>
        <v>858823.1</v>
      </c>
      <c r="J15" s="79">
        <f>+J13+J9</f>
        <v>197650.30884951947</v>
      </c>
      <c r="K15" s="79"/>
      <c r="L15" s="79"/>
      <c r="M15" s="79"/>
      <c r="N15" s="79"/>
      <c r="O15" s="79"/>
      <c r="P15" s="79"/>
    </row>
    <row r="16" spans="1:15" ht="17.25">
      <c r="A16" s="64"/>
      <c r="B16" s="64"/>
      <c r="C16" s="98"/>
      <c r="D16" s="98"/>
      <c r="E16" s="98"/>
      <c r="F16" s="72"/>
      <c r="G16" s="76"/>
      <c r="H16" s="73"/>
      <c r="I16" s="73"/>
      <c r="J16" s="73"/>
      <c r="K16" s="64"/>
      <c r="L16" s="64"/>
      <c r="N16" s="64"/>
      <c r="O16" s="64"/>
    </row>
    <row r="17" spans="1:15" ht="15.75">
      <c r="A17" s="64"/>
      <c r="B17" s="64"/>
      <c r="C17" s="73"/>
      <c r="D17" s="73"/>
      <c r="E17" s="73"/>
      <c r="F17" s="72"/>
      <c r="G17" s="77"/>
      <c r="H17" s="73"/>
      <c r="I17" s="73"/>
      <c r="J17" s="73"/>
      <c r="K17" s="64"/>
      <c r="L17" s="64"/>
      <c r="N17" s="64"/>
      <c r="O17" s="64"/>
    </row>
    <row r="18" spans="1:15" ht="15.75">
      <c r="A18" s="64"/>
      <c r="B18" s="64"/>
      <c r="C18" s="91"/>
      <c r="D18" s="91"/>
      <c r="E18" s="91"/>
      <c r="F18" s="99"/>
      <c r="G18" s="73"/>
      <c r="H18" s="99"/>
      <c r="I18" s="99"/>
      <c r="J18" s="99"/>
      <c r="K18" s="64"/>
      <c r="L18" s="64"/>
      <c r="N18" s="64"/>
      <c r="O18" s="64"/>
    </row>
    <row r="19" spans="3:10" ht="15">
      <c r="C19" s="62"/>
      <c r="D19" s="62"/>
      <c r="E19" s="62"/>
      <c r="F19" s="62"/>
      <c r="G19" s="125"/>
      <c r="H19" s="62"/>
      <c r="I19" s="62"/>
      <c r="J19" s="62"/>
    </row>
    <row r="20" spans="1:15" ht="15.75">
      <c r="A20" s="64"/>
      <c r="B20" s="64"/>
      <c r="C20" s="99"/>
      <c r="D20" s="99"/>
      <c r="E20" s="99"/>
      <c r="F20" s="99"/>
      <c r="G20" s="100"/>
      <c r="H20" s="99"/>
      <c r="I20" s="99"/>
      <c r="J20" s="99"/>
      <c r="K20" s="64"/>
      <c r="L20" s="64"/>
      <c r="N20" s="64"/>
      <c r="O20" s="64"/>
    </row>
    <row r="21" spans="3:10" ht="15">
      <c r="C21" s="62"/>
      <c r="D21" s="62"/>
      <c r="E21" s="62"/>
      <c r="F21" s="62"/>
      <c r="G21" s="62"/>
      <c r="H21" s="62"/>
      <c r="I21" s="62"/>
      <c r="J21" s="62"/>
    </row>
    <row r="22" spans="3:10" ht="15">
      <c r="C22" s="62"/>
      <c r="D22" s="62"/>
      <c r="E22" s="62"/>
      <c r="F22" s="62"/>
      <c r="G22" s="62"/>
      <c r="H22" s="62"/>
      <c r="I22" s="62"/>
      <c r="J22" s="62"/>
    </row>
  </sheetData>
  <sheetProtection/>
  <printOptions/>
  <pageMargins left="0.45" right="0.2" top="0.75" bottom="0.75" header="0.3" footer="0.3"/>
  <pageSetup fitToHeight="1" fitToWidth="1" horizontalDpi="600" verticalDpi="600" orientation="landscape"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Waste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LaRue</dc:creator>
  <cp:keywords/>
  <dc:description/>
  <cp:lastModifiedBy>Weinstein, Mike</cp:lastModifiedBy>
  <cp:lastPrinted>2016-10-24T21:13:08Z</cp:lastPrinted>
  <dcterms:created xsi:type="dcterms:W3CDTF">2013-04-10T21:01:30Z</dcterms:created>
  <dcterms:modified xsi:type="dcterms:W3CDTF">2016-10-24T21:13:32Z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HighlyConfidenti">
    <vt:lpwstr>0</vt:lpwstr>
  </property>
  <property fmtid="{D5CDD505-2E9C-101B-9397-08002B2CF9AE}" pid="5" name="DocketNumb">
    <vt:lpwstr>161170</vt:lpwstr>
  </property>
  <property fmtid="{D5CDD505-2E9C-101B-9397-08002B2CF9AE}" pid="6" name="IsConfidenti">
    <vt:lpwstr>0</vt:lpwstr>
  </property>
  <property fmtid="{D5CDD505-2E9C-101B-9397-08002B2CF9AE}" pid="7" name="Dat">
    <vt:lpwstr>2016-10-27T00:00:00Z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2016-10-27T00:00:00Z</vt:lpwstr>
  </property>
  <property fmtid="{D5CDD505-2E9C-101B-9397-08002B2CF9AE}" pid="11" name="Pref">
    <vt:lpwstr>TG</vt:lpwstr>
  </property>
  <property fmtid="{D5CDD505-2E9C-101B-9397-08002B2CF9AE}" pid="12" name="CaseCompanyNam">
    <vt:lpwstr>Waste Management of Washington, Inc.</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